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state="hidden" r:id="rId2"/>
  </sheets>
  <calcPr calcId="162913" refMode="R1C1"/>
</workbook>
</file>

<file path=xl/calcChain.xml><?xml version="1.0" encoding="utf-8"?>
<calcChain xmlns="http://schemas.openxmlformats.org/spreadsheetml/2006/main">
  <c r="F19" i="1" l="1"/>
  <c r="H7" i="1"/>
  <c r="I24" i="1"/>
  <c r="H24" i="1"/>
  <c r="G24" i="1"/>
  <c r="F24" i="1"/>
  <c r="E24" i="1"/>
  <c r="D24" i="1"/>
  <c r="G23" i="1" l="1"/>
  <c r="D23" i="1"/>
  <c r="F64" i="2" l="1"/>
  <c r="F71" i="2"/>
  <c r="I86" i="2"/>
  <c r="I17" i="1" s="1"/>
  <c r="H86" i="2"/>
  <c r="G86" i="2"/>
  <c r="G17" i="1" s="1"/>
  <c r="E86" i="2"/>
  <c r="D86" i="2"/>
  <c r="D17" i="1" s="1"/>
  <c r="F85" i="2"/>
  <c r="F84" i="2"/>
  <c r="F83" i="2"/>
  <c r="F82" i="2"/>
  <c r="F80" i="2"/>
  <c r="F86" i="2" s="1"/>
  <c r="F17" i="1" s="1"/>
  <c r="F78" i="2"/>
  <c r="F77" i="2"/>
  <c r="F76" i="2"/>
  <c r="F75" i="2"/>
  <c r="F73" i="2"/>
  <c r="I79" i="2"/>
  <c r="I16" i="1" s="1"/>
  <c r="H79" i="2"/>
  <c r="G79" i="2"/>
  <c r="G16" i="1" s="1"/>
  <c r="E79" i="2"/>
  <c r="D79" i="2"/>
  <c r="D16" i="1" s="1"/>
  <c r="I72" i="2"/>
  <c r="H72" i="2"/>
  <c r="G72" i="2"/>
  <c r="E72" i="2"/>
  <c r="D72" i="2"/>
  <c r="F70" i="2"/>
  <c r="F69" i="2"/>
  <c r="F68" i="2"/>
  <c r="F66" i="2"/>
  <c r="F63" i="2"/>
  <c r="F62" i="2"/>
  <c r="F61" i="2"/>
  <c r="F59" i="2"/>
  <c r="I65" i="2"/>
  <c r="H65" i="2"/>
  <c r="G65" i="2"/>
  <c r="E65" i="2"/>
  <c r="D65" i="2"/>
  <c r="I101" i="2"/>
  <c r="H101" i="2"/>
  <c r="G101" i="2"/>
  <c r="G22" i="1" s="1"/>
  <c r="E101" i="2"/>
  <c r="E22" i="1" s="1"/>
  <c r="D101" i="2"/>
  <c r="D22" i="1" s="1"/>
  <c r="I98" i="2"/>
  <c r="H98" i="2"/>
  <c r="G98" i="2"/>
  <c r="G21" i="1" s="1"/>
  <c r="E98" i="2"/>
  <c r="E21" i="1" s="1"/>
  <c r="D98" i="2"/>
  <c r="D21" i="1" s="1"/>
  <c r="I95" i="2"/>
  <c r="H95" i="2"/>
  <c r="G95" i="2"/>
  <c r="G20" i="1" s="1"/>
  <c r="E95" i="2"/>
  <c r="E20" i="1" s="1"/>
  <c r="D95" i="2"/>
  <c r="D20" i="1" s="1"/>
  <c r="I92" i="2"/>
  <c r="H92" i="2"/>
  <c r="G92" i="2"/>
  <c r="G19" i="1" s="1"/>
  <c r="E92" i="2"/>
  <c r="E19" i="1" s="1"/>
  <c r="D92" i="2"/>
  <c r="D19" i="1" s="1"/>
  <c r="E89" i="2"/>
  <c r="E18" i="1" s="1"/>
  <c r="F89" i="2"/>
  <c r="F18" i="1" s="1"/>
  <c r="G89" i="2"/>
  <c r="G18" i="1" s="1"/>
  <c r="H89" i="2"/>
  <c r="I89" i="2"/>
  <c r="D89" i="2"/>
  <c r="D18" i="1" s="1"/>
  <c r="I58" i="2"/>
  <c r="I13" i="1" s="1"/>
  <c r="H58" i="2"/>
  <c r="G58" i="2"/>
  <c r="G13" i="1" s="1"/>
  <c r="F58" i="2"/>
  <c r="F13" i="1" s="1"/>
  <c r="E58" i="2"/>
  <c r="D58" i="2"/>
  <c r="D13" i="1" s="1"/>
  <c r="I52" i="2"/>
  <c r="I12" i="1" s="1"/>
  <c r="H52" i="2"/>
  <c r="G52" i="2"/>
  <c r="G12" i="1" s="1"/>
  <c r="E52" i="2"/>
  <c r="E46" i="2"/>
  <c r="G46" i="2"/>
  <c r="G11" i="1" s="1"/>
  <c r="H46" i="2"/>
  <c r="I46" i="2"/>
  <c r="I11" i="1" s="1"/>
  <c r="E40" i="2"/>
  <c r="F40" i="2"/>
  <c r="F10" i="1" s="1"/>
  <c r="G40" i="2"/>
  <c r="G10" i="1" s="1"/>
  <c r="H40" i="2"/>
  <c r="I40" i="2"/>
  <c r="I10" i="1" s="1"/>
  <c r="D40" i="2"/>
  <c r="D10" i="1" s="1"/>
  <c r="E34" i="2"/>
  <c r="H34" i="2"/>
  <c r="E28" i="2"/>
  <c r="G28" i="2"/>
  <c r="G8" i="1" s="1"/>
  <c r="H28" i="2"/>
  <c r="I28" i="2"/>
  <c r="I8" i="1" s="1"/>
  <c r="I22" i="2"/>
  <c r="D28" i="2"/>
  <c r="D8" i="1" s="1"/>
  <c r="G22" i="2"/>
  <c r="G7" i="1" s="1"/>
  <c r="H22" i="2"/>
  <c r="D22" i="2"/>
  <c r="D7" i="1" s="1"/>
  <c r="F19" i="2"/>
  <c r="E19" i="2"/>
  <c r="F18" i="2"/>
  <c r="E18" i="2"/>
  <c r="F17" i="2"/>
  <c r="E17" i="2"/>
  <c r="H16" i="2"/>
  <c r="F16" i="2"/>
  <c r="E16" i="2"/>
  <c r="F15" i="2"/>
  <c r="E15" i="2"/>
  <c r="H14" i="2"/>
  <c r="F14" i="2"/>
  <c r="E14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E22" i="2" s="1"/>
  <c r="E7" i="1" s="1"/>
  <c r="G7" i="2"/>
  <c r="F7" i="2"/>
  <c r="E7" i="2"/>
  <c r="G6" i="2"/>
  <c r="F6" i="2"/>
  <c r="E6" i="2"/>
  <c r="G5" i="2"/>
  <c r="F5" i="2"/>
  <c r="E5" i="2"/>
  <c r="G4" i="2"/>
  <c r="F4" i="2"/>
  <c r="F22" i="2" s="1"/>
  <c r="F7" i="1" s="1"/>
  <c r="E4" i="2"/>
  <c r="F99" i="2"/>
  <c r="F101" i="2" s="1"/>
  <c r="F22" i="1" s="1"/>
  <c r="F96" i="2"/>
  <c r="F98" i="2" s="1"/>
  <c r="F21" i="1" s="1"/>
  <c r="F93" i="2"/>
  <c r="F95" i="2" s="1"/>
  <c r="F20" i="1" s="1"/>
  <c r="F90" i="2"/>
  <c r="F92" i="2" s="1"/>
  <c r="F87" i="2"/>
  <c r="F57" i="2"/>
  <c r="F56" i="2"/>
  <c r="F55" i="2"/>
  <c r="F53" i="2"/>
  <c r="D53" i="2"/>
  <c r="F51" i="2"/>
  <c r="F50" i="2"/>
  <c r="F49" i="2"/>
  <c r="F47" i="2"/>
  <c r="F52" i="2" s="1"/>
  <c r="F12" i="1" s="1"/>
  <c r="D47" i="2"/>
  <c r="D52" i="2" s="1"/>
  <c r="D12" i="1" s="1"/>
  <c r="F45" i="2"/>
  <c r="F44" i="2"/>
  <c r="F43" i="2"/>
  <c r="F41" i="2"/>
  <c r="F46" i="2" s="1"/>
  <c r="F11" i="1" s="1"/>
  <c r="D41" i="2"/>
  <c r="D46" i="2" s="1"/>
  <c r="D11" i="1" s="1"/>
  <c r="F39" i="2"/>
  <c r="F38" i="2"/>
  <c r="F37" i="2"/>
  <c r="F35" i="2"/>
  <c r="D35" i="2"/>
  <c r="F32" i="2"/>
  <c r="F31" i="2"/>
  <c r="D32" i="2"/>
  <c r="D31" i="2"/>
  <c r="I29" i="2"/>
  <c r="I34" i="2" s="1"/>
  <c r="I9" i="1" s="1"/>
  <c r="G30" i="2"/>
  <c r="G29" i="2"/>
  <c r="G34" i="2" s="1"/>
  <c r="G9" i="1" s="1"/>
  <c r="F29" i="2"/>
  <c r="F34" i="2" s="1"/>
  <c r="F9" i="1" s="1"/>
  <c r="D29" i="2"/>
  <c r="D34" i="2" s="1"/>
  <c r="D9" i="1" s="1"/>
  <c r="F26" i="2"/>
  <c r="F25" i="2"/>
  <c r="D26" i="2"/>
  <c r="D25" i="2"/>
  <c r="I23" i="2"/>
  <c r="G24" i="2"/>
  <c r="G23" i="2"/>
  <c r="F23" i="2"/>
  <c r="F28" i="2" s="1"/>
  <c r="F8" i="1" s="1"/>
  <c r="D23" i="2"/>
  <c r="F33" i="2"/>
  <c r="F27" i="2"/>
  <c r="D15" i="1" l="1"/>
  <c r="D14" i="1"/>
  <c r="G14" i="1"/>
  <c r="G15" i="1"/>
  <c r="I15" i="1"/>
  <c r="I14" i="1"/>
  <c r="F72" i="2"/>
  <c r="F79" i="2"/>
  <c r="F16" i="1" s="1"/>
  <c r="F65" i="2"/>
  <c r="F14" i="1" l="1"/>
  <c r="F15" i="1"/>
</calcChain>
</file>

<file path=xl/sharedStrings.xml><?xml version="1.0" encoding="utf-8"?>
<sst xmlns="http://schemas.openxmlformats.org/spreadsheetml/2006/main" count="186" uniqueCount="67">
  <si>
    <t>№ по ПЗУ</t>
  </si>
  <si>
    <t>Наименование корпуса, сооружения</t>
  </si>
  <si>
    <t>Ед.
изм.</t>
  </si>
  <si>
    <t xml:space="preserve">Наименование, диметр арматуры 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</si>
  <si>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6 А500С</t>
    </r>
  </si>
  <si>
    <t>Объект: «Животноводческий комплекс молочного направления, предназначенный для содержания и доения коров, выращивания и откорма молодняка крупного рогатого скота молочных пород. Молочная ферма» южнее д. Кононовский, МР Стерлитамакский район Республики Башкортостан.</t>
  </si>
  <si>
    <t>К5</t>
  </si>
  <si>
    <t>К6.1</t>
  </si>
  <si>
    <t>К6.2</t>
  </si>
  <si>
    <t>К7.1</t>
  </si>
  <si>
    <t>К7.2</t>
  </si>
  <si>
    <t>К7.3</t>
  </si>
  <si>
    <t>К7.4</t>
  </si>
  <si>
    <t>К8</t>
  </si>
  <si>
    <t>К9</t>
  </si>
  <si>
    <t>К10</t>
  </si>
  <si>
    <t>К11</t>
  </si>
  <si>
    <t>К12.6</t>
  </si>
  <si>
    <t>К12.7</t>
  </si>
  <si>
    <t>К12.8</t>
  </si>
  <si>
    <t>К12.9</t>
  </si>
  <si>
    <t>К12.10</t>
  </si>
  <si>
    <t>Телятник 0-2 мес.</t>
  </si>
  <si>
    <t>Телятник для телок 3-5 мес.</t>
  </si>
  <si>
    <t>Телятник для телок 6-12 мес.</t>
  </si>
  <si>
    <t xml:space="preserve">Коровник для молодняка (для телок случного возраста и до 2-х месяцев стельности возрастом 13-18 мес.) </t>
  </si>
  <si>
    <t xml:space="preserve">Коровник для нетелей (от 2-х месяцев стельности возрастом 19-24 мес.) </t>
  </si>
  <si>
    <t xml:space="preserve">Переходная галерея №6 </t>
  </si>
  <si>
    <t xml:space="preserve">Переходная галерея №7 </t>
  </si>
  <si>
    <t xml:space="preserve">Переходная галерея №8 </t>
  </si>
  <si>
    <t xml:space="preserve">Переходная галерея №9 </t>
  </si>
  <si>
    <t xml:space="preserve">Переходная галерея №10 </t>
  </si>
  <si>
    <t>ИТОГО: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</si>
  <si>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10 А500С</t>
    </r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</si>
  <si>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12 А500С</t>
    </r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</si>
  <si>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25 А500С</t>
    </r>
  </si>
  <si>
    <t>кг.</t>
  </si>
  <si>
    <t>ФМ1</t>
  </si>
  <si>
    <t>ФМ2</t>
  </si>
  <si>
    <t>ФМ3</t>
  </si>
  <si>
    <t>ФМ4</t>
  </si>
  <si>
    <t>Полы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</si>
  <si>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8 А500С</t>
    </r>
  </si>
  <si>
    <t>ФМ1-1</t>
  </si>
  <si>
    <t>ФМ5</t>
  </si>
  <si>
    <t>ФМ6</t>
  </si>
  <si>
    <t>ФМ7</t>
  </si>
  <si>
    <t>ФМ8</t>
  </si>
  <si>
    <t>ПЦ1</t>
  </si>
  <si>
    <t>ПЦ2</t>
  </si>
  <si>
    <t>ПЦ3</t>
  </si>
  <si>
    <t>ПЦ4</t>
  </si>
  <si>
    <t>ПЦ5</t>
  </si>
  <si>
    <t>ПЦ6</t>
  </si>
  <si>
    <t>ПЦ7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</si>
  <si>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Times New Roman"/>
        <family val="1"/>
        <charset val="204"/>
      </rPr>
      <t>22 А500С</t>
    </r>
  </si>
  <si>
    <t>Стены</t>
  </si>
  <si>
    <t>Кол-во</t>
  </si>
  <si>
    <r>
      <rPr>
        <b/>
        <sz val="11"/>
        <color theme="1"/>
        <rFont val="Calibri"/>
        <family val="2"/>
        <charset val="204"/>
      </rPr>
      <t>Ø</t>
    </r>
    <r>
      <rPr>
        <b/>
        <sz val="11"/>
        <color theme="1"/>
        <rFont val="Times New Roman"/>
        <family val="1"/>
        <charset val="204"/>
      </rPr>
      <t>6 А500С</t>
    </r>
  </si>
  <si>
    <r>
      <rPr>
        <b/>
        <sz val="11"/>
        <color theme="1"/>
        <rFont val="Calibri"/>
        <family val="2"/>
        <charset val="204"/>
      </rPr>
      <t>Ø</t>
    </r>
    <r>
      <rPr>
        <b/>
        <sz val="11"/>
        <color theme="1"/>
        <rFont val="Times New Roman"/>
        <family val="1"/>
        <charset val="204"/>
      </rPr>
      <t>8 А500С</t>
    </r>
  </si>
  <si>
    <r>
      <rPr>
        <b/>
        <sz val="11"/>
        <color theme="1"/>
        <rFont val="Calibri"/>
        <family val="2"/>
        <charset val="204"/>
      </rPr>
      <t>Ø</t>
    </r>
    <r>
      <rPr>
        <b/>
        <sz val="11"/>
        <color theme="1"/>
        <rFont val="Times New Roman"/>
        <family val="1"/>
        <charset val="204"/>
      </rPr>
      <t>10 А500С</t>
    </r>
  </si>
  <si>
    <r>
      <rPr>
        <b/>
        <sz val="11"/>
        <color theme="1"/>
        <rFont val="Calibri"/>
        <family val="2"/>
        <charset val="204"/>
      </rPr>
      <t>Ø</t>
    </r>
    <r>
      <rPr>
        <b/>
        <sz val="11"/>
        <color theme="1"/>
        <rFont val="Times New Roman"/>
        <family val="1"/>
        <charset val="204"/>
      </rPr>
      <t>12 А500С</t>
    </r>
  </si>
  <si>
    <r>
      <rPr>
        <b/>
        <sz val="11"/>
        <color theme="1"/>
        <rFont val="Calibri"/>
        <family val="2"/>
        <charset val="204"/>
      </rPr>
      <t>Ø</t>
    </r>
    <r>
      <rPr>
        <b/>
        <sz val="11"/>
        <color theme="1"/>
        <rFont val="Times New Roman"/>
        <family val="1"/>
        <charset val="204"/>
      </rPr>
      <t>22 А500С</t>
    </r>
  </si>
  <si>
    <r>
      <rPr>
        <b/>
        <sz val="11"/>
        <color theme="1"/>
        <rFont val="Calibri"/>
        <family val="2"/>
        <charset val="204"/>
      </rPr>
      <t>Ø</t>
    </r>
    <r>
      <rPr>
        <b/>
        <sz val="11"/>
        <color theme="1"/>
        <rFont val="Times New Roman"/>
        <family val="1"/>
        <charset val="204"/>
      </rPr>
      <t>25 А500С</t>
    </r>
  </si>
  <si>
    <t>Потребность в стальной арматуре на 30.01.2024г.</t>
  </si>
  <si>
    <t>К20.2</t>
  </si>
  <si>
    <t>Силосно-сенажные траншеи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</si>
</sst>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/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165" fontId="4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4" workbookViewId="0">
      <selection activeCell="E30" sqref="E30"/>
    </sheetView>
  </sheetViews>
  <sheetFormatPr defaultRowHeight="15" x14ac:dyDescent="0.25"/>
  <cols>
    <col min="1" max="1" width="6.7109375" customWidth="1"/>
    <col min="2" max="2" width="50.7109375" customWidth="1"/>
    <col min="3" max="3" width="5.7109375" customWidth="1"/>
    <col min="4" max="9" width="11.7109375" customWidth="1"/>
    <col min="10" max="13" width="10.7109375" customWidth="1"/>
  </cols>
  <sheetData>
    <row r="1" spans="1:15" x14ac:dyDescent="0.25">
      <c r="B1" s="21" t="s">
        <v>64</v>
      </c>
      <c r="C1" s="21"/>
      <c r="D1" s="21"/>
      <c r="E1" s="21"/>
      <c r="F1" s="21"/>
      <c r="G1" s="21"/>
      <c r="H1" s="2"/>
    </row>
    <row r="3" spans="1:15" ht="47.25" customHeight="1" x14ac:dyDescent="0.25">
      <c r="B3" s="20" t="s">
        <v>5</v>
      </c>
      <c r="C3" s="20"/>
      <c r="D3" s="20"/>
      <c r="E3" s="20"/>
      <c r="F3" s="20"/>
      <c r="G3" s="20"/>
      <c r="H3" s="3"/>
    </row>
    <row r="5" spans="1:15" x14ac:dyDescent="0.25">
      <c r="A5" s="17" t="s">
        <v>0</v>
      </c>
      <c r="B5" s="18" t="s">
        <v>1</v>
      </c>
      <c r="C5" s="17" t="s">
        <v>2</v>
      </c>
      <c r="D5" s="22" t="s">
        <v>3</v>
      </c>
      <c r="E5" s="23"/>
      <c r="F5" s="23"/>
      <c r="G5" s="23"/>
      <c r="H5" s="23"/>
      <c r="I5" s="24"/>
      <c r="J5" s="1"/>
      <c r="K5" s="1"/>
      <c r="L5" s="1"/>
      <c r="M5" s="1"/>
      <c r="N5" s="1"/>
      <c r="O5" s="1"/>
    </row>
    <row r="6" spans="1:15" x14ac:dyDescent="0.25">
      <c r="A6" s="17"/>
      <c r="B6" s="19"/>
      <c r="C6" s="17"/>
      <c r="D6" s="11" t="s">
        <v>58</v>
      </c>
      <c r="E6" s="11" t="s">
        <v>59</v>
      </c>
      <c r="F6" s="11" t="s">
        <v>60</v>
      </c>
      <c r="G6" s="11" t="s">
        <v>61</v>
      </c>
      <c r="H6" s="11" t="s">
        <v>62</v>
      </c>
      <c r="I6" s="11" t="s">
        <v>63</v>
      </c>
      <c r="J6" s="1"/>
      <c r="K6" s="1"/>
      <c r="L6" s="1"/>
      <c r="M6" s="1"/>
      <c r="N6" s="1"/>
      <c r="O6" s="1"/>
    </row>
    <row r="7" spans="1:15" x14ac:dyDescent="0.25">
      <c r="A7" s="6" t="s">
        <v>6</v>
      </c>
      <c r="B7" s="7" t="s">
        <v>22</v>
      </c>
      <c r="C7" s="9" t="s">
        <v>36</v>
      </c>
      <c r="D7" s="30">
        <f>Лист2!D22*1.1</f>
        <v>23870.000000000004</v>
      </c>
      <c r="E7" s="30">
        <f>Лист2!E22*1.1</f>
        <v>61727.731999999996</v>
      </c>
      <c r="F7" s="30">
        <f>Лист2!F22*1.1</f>
        <v>5037.8899999999994</v>
      </c>
      <c r="G7" s="30">
        <f>Лист2!G22*1.1</f>
        <v>9202.4900000000016</v>
      </c>
      <c r="H7" s="30">
        <f>Лист2!H22*1.1</f>
        <v>715.96800000000019</v>
      </c>
      <c r="I7" s="30"/>
      <c r="J7" s="1"/>
      <c r="K7" s="1"/>
      <c r="L7" s="1"/>
      <c r="M7" s="1"/>
      <c r="N7" s="1"/>
      <c r="O7" s="1"/>
    </row>
    <row r="8" spans="1:15" x14ac:dyDescent="0.25">
      <c r="A8" s="6" t="s">
        <v>7</v>
      </c>
      <c r="B8" s="7" t="s">
        <v>23</v>
      </c>
      <c r="C8" s="9" t="s">
        <v>36</v>
      </c>
      <c r="D8" s="30">
        <f>Лист2!D28*1.1</f>
        <v>622.16000000000008</v>
      </c>
      <c r="E8" s="30"/>
      <c r="F8" s="30">
        <f>Лист2!F28*1.1</f>
        <v>13656.28</v>
      </c>
      <c r="G8" s="30">
        <f>Лист2!G28*1.1</f>
        <v>2941.2680000000005</v>
      </c>
      <c r="H8" s="30"/>
      <c r="I8" s="30">
        <f>Лист2!I28*1.1</f>
        <v>203.28000000000003</v>
      </c>
      <c r="J8" s="1"/>
      <c r="K8" s="1"/>
      <c r="L8" s="1"/>
      <c r="M8" s="1"/>
      <c r="N8" s="1"/>
      <c r="O8" s="1"/>
    </row>
    <row r="9" spans="1:15" x14ac:dyDescent="0.25">
      <c r="A9" s="6" t="s">
        <v>8</v>
      </c>
      <c r="B9" s="7" t="s">
        <v>23</v>
      </c>
      <c r="C9" s="9" t="s">
        <v>36</v>
      </c>
      <c r="D9" s="30">
        <f>Лист2!D34*1.1</f>
        <v>622.16000000000008</v>
      </c>
      <c r="E9" s="30"/>
      <c r="F9" s="30">
        <f>Лист2!F34*1.1</f>
        <v>13656.28</v>
      </c>
      <c r="G9" s="30">
        <f>Лист2!G34*1.1</f>
        <v>2941.2680000000005</v>
      </c>
      <c r="H9" s="30"/>
      <c r="I9" s="30">
        <f>Лист2!I34*1.1</f>
        <v>203.28000000000003</v>
      </c>
      <c r="J9" s="1"/>
      <c r="K9" s="1"/>
      <c r="L9" s="1"/>
      <c r="M9" s="1"/>
      <c r="N9" s="1"/>
      <c r="O9" s="1"/>
    </row>
    <row r="10" spans="1:15" x14ac:dyDescent="0.25">
      <c r="A10" s="6" t="s">
        <v>9</v>
      </c>
      <c r="B10" s="7" t="s">
        <v>24</v>
      </c>
      <c r="C10" s="9" t="s">
        <v>36</v>
      </c>
      <c r="D10" s="30">
        <f>Лист2!D40*1.1</f>
        <v>764.45600000000013</v>
      </c>
      <c r="E10" s="30"/>
      <c r="F10" s="30">
        <f>Лист2!F40*1.1</f>
        <v>15154.92</v>
      </c>
      <c r="G10" s="30">
        <f>Лист2!G40*1.1</f>
        <v>3546.8840000000005</v>
      </c>
      <c r="H10" s="30"/>
      <c r="I10" s="30">
        <f>Лист2!I40*1.1</f>
        <v>254.32000000000002</v>
      </c>
      <c r="J10" s="1"/>
      <c r="K10" s="1"/>
      <c r="L10" s="1"/>
      <c r="M10" s="1"/>
      <c r="N10" s="1"/>
      <c r="O10" s="1"/>
    </row>
    <row r="11" spans="1:15" x14ac:dyDescent="0.25">
      <c r="A11" s="6" t="s">
        <v>10</v>
      </c>
      <c r="B11" s="7" t="s">
        <v>24</v>
      </c>
      <c r="C11" s="9" t="s">
        <v>36</v>
      </c>
      <c r="D11" s="30">
        <f>Лист2!D46*1.1</f>
        <v>764.45600000000013</v>
      </c>
      <c r="E11" s="30"/>
      <c r="F11" s="30">
        <f>Лист2!F46*1.1</f>
        <v>15154.92</v>
      </c>
      <c r="G11" s="30">
        <f>Лист2!G46*1.1</f>
        <v>3546.8840000000005</v>
      </c>
      <c r="H11" s="30"/>
      <c r="I11" s="30">
        <f>Лист2!I46*1.1</f>
        <v>254.32000000000002</v>
      </c>
      <c r="J11" s="1"/>
      <c r="K11" s="1"/>
      <c r="L11" s="1"/>
      <c r="M11" s="1"/>
      <c r="N11" s="1"/>
      <c r="O11" s="1"/>
    </row>
    <row r="12" spans="1:15" x14ac:dyDescent="0.25">
      <c r="A12" s="6" t="s">
        <v>11</v>
      </c>
      <c r="B12" s="7" t="s">
        <v>24</v>
      </c>
      <c r="C12" s="9" t="s">
        <v>36</v>
      </c>
      <c r="D12" s="30">
        <f>Лист2!D52*1.1</f>
        <v>764.45600000000013</v>
      </c>
      <c r="E12" s="30"/>
      <c r="F12" s="30">
        <f>Лист2!F52*1.1</f>
        <v>15154.92</v>
      </c>
      <c r="G12" s="30">
        <f>Лист2!G52*1.1</f>
        <v>3546.8840000000005</v>
      </c>
      <c r="H12" s="30"/>
      <c r="I12" s="30">
        <f>Лист2!I52*1.1</f>
        <v>254.32000000000002</v>
      </c>
      <c r="J12" s="1"/>
      <c r="K12" s="1"/>
      <c r="L12" s="1"/>
      <c r="M12" s="1"/>
      <c r="N12" s="1"/>
      <c r="O12" s="1"/>
    </row>
    <row r="13" spans="1:15" x14ac:dyDescent="0.25">
      <c r="A13" s="6" t="s">
        <v>12</v>
      </c>
      <c r="B13" s="7" t="s">
        <v>24</v>
      </c>
      <c r="C13" s="9" t="s">
        <v>36</v>
      </c>
      <c r="D13" s="30">
        <f>Лист2!D58*1.1</f>
        <v>764.45600000000013</v>
      </c>
      <c r="E13" s="30"/>
      <c r="F13" s="30">
        <f>Лист2!F58*1.1</f>
        <v>15154.92</v>
      </c>
      <c r="G13" s="30">
        <f>Лист2!G58*1.1</f>
        <v>3546.8840000000005</v>
      </c>
      <c r="H13" s="30"/>
      <c r="I13" s="30">
        <f>Лист2!I58*1.1</f>
        <v>254.32000000000002</v>
      </c>
      <c r="J13" s="1"/>
      <c r="K13" s="1"/>
      <c r="L13" s="1"/>
      <c r="M13" s="1"/>
      <c r="N13" s="1"/>
      <c r="O13" s="1"/>
    </row>
    <row r="14" spans="1:15" ht="30" customHeight="1" x14ac:dyDescent="0.25">
      <c r="A14" s="6" t="s">
        <v>13</v>
      </c>
      <c r="B14" s="7" t="s">
        <v>25</v>
      </c>
      <c r="C14" s="9" t="s">
        <v>36</v>
      </c>
      <c r="D14" s="30">
        <f>Лист2!D65*1.1</f>
        <v>929.39000000000021</v>
      </c>
      <c r="E14" s="30"/>
      <c r="F14" s="30">
        <f>Лист2!F65*1.1</f>
        <v>25573.207000000002</v>
      </c>
      <c r="G14" s="30">
        <f>Лист2!G65*1.1</f>
        <v>5777.7720000000008</v>
      </c>
      <c r="H14" s="30"/>
      <c r="I14" s="30">
        <f>Лист2!I65*1.1</f>
        <v>357.85200000000003</v>
      </c>
      <c r="J14" s="1"/>
      <c r="K14" s="1"/>
      <c r="L14" s="1"/>
      <c r="M14" s="1"/>
      <c r="N14" s="1"/>
      <c r="O14" s="1"/>
    </row>
    <row r="15" spans="1:15" ht="30" customHeight="1" x14ac:dyDescent="0.25">
      <c r="A15" s="6" t="s">
        <v>14</v>
      </c>
      <c r="B15" s="7" t="s">
        <v>25</v>
      </c>
      <c r="C15" s="9" t="s">
        <v>36</v>
      </c>
      <c r="D15" s="30">
        <f>Лист2!D65*1.1</f>
        <v>929.39000000000021</v>
      </c>
      <c r="E15" s="30"/>
      <c r="F15" s="30">
        <f>Лист2!F65*1.1</f>
        <v>25573.207000000002</v>
      </c>
      <c r="G15" s="30">
        <f>Лист2!G65*1.1</f>
        <v>5777.7720000000008</v>
      </c>
      <c r="H15" s="30"/>
      <c r="I15" s="30">
        <f>Лист2!I65*1.1</f>
        <v>357.85200000000003</v>
      </c>
      <c r="J15" s="1"/>
      <c r="K15" s="1"/>
      <c r="L15" s="1"/>
      <c r="M15" s="1"/>
      <c r="N15" s="1"/>
      <c r="O15" s="1"/>
    </row>
    <row r="16" spans="1:15" ht="30" x14ac:dyDescent="0.25">
      <c r="A16" s="6" t="s">
        <v>15</v>
      </c>
      <c r="B16" s="7" t="s">
        <v>26</v>
      </c>
      <c r="C16" s="9" t="s">
        <v>36</v>
      </c>
      <c r="D16" s="30">
        <f>Лист2!D79*1.1</f>
        <v>1019.2600000000001</v>
      </c>
      <c r="E16" s="30"/>
      <c r="F16" s="30">
        <f>Лист2!F79*1.1</f>
        <v>35422.662000000004</v>
      </c>
      <c r="G16" s="30">
        <f>Лист2!G79*1.1</f>
        <v>6051.9580000000005</v>
      </c>
      <c r="H16" s="30"/>
      <c r="I16" s="30">
        <f>Лист2!I79*1.1</f>
        <v>376.50800000000004</v>
      </c>
      <c r="J16" s="1"/>
      <c r="K16" s="1"/>
      <c r="L16" s="1"/>
      <c r="M16" s="1"/>
      <c r="N16" s="1"/>
      <c r="O16" s="1"/>
    </row>
    <row r="17" spans="1:15" ht="30" x14ac:dyDescent="0.25">
      <c r="A17" s="6" t="s">
        <v>16</v>
      </c>
      <c r="B17" s="7" t="s">
        <v>26</v>
      </c>
      <c r="C17" s="9" t="s">
        <v>36</v>
      </c>
      <c r="D17" s="30">
        <f>Лист2!D86*1.1</f>
        <v>1019.2600000000001</v>
      </c>
      <c r="E17" s="30"/>
      <c r="F17" s="30">
        <f>Лист2!F86*1.1</f>
        <v>35422.662000000004</v>
      </c>
      <c r="G17" s="30">
        <f>Лист2!G86*1.1</f>
        <v>6051.9580000000005</v>
      </c>
      <c r="H17" s="30"/>
      <c r="I17" s="30">
        <f>Лист2!I86*1.1</f>
        <v>376.50800000000004</v>
      </c>
      <c r="J17" s="1"/>
      <c r="K17" s="1"/>
      <c r="L17" s="1"/>
      <c r="M17" s="1"/>
      <c r="N17" s="1"/>
      <c r="O17" s="1"/>
    </row>
    <row r="18" spans="1:15" x14ac:dyDescent="0.25">
      <c r="A18" s="6" t="s">
        <v>17</v>
      </c>
      <c r="B18" s="7" t="s">
        <v>27</v>
      </c>
      <c r="C18" s="9" t="s">
        <v>36</v>
      </c>
      <c r="D18" s="30">
        <f>Лист2!D89*1.1</f>
        <v>138.68800000000002</v>
      </c>
      <c r="E18" s="30">
        <f>Лист2!E89*1.1</f>
        <v>8.7119999999999997</v>
      </c>
      <c r="F18" s="30">
        <f>Лист2!F89*1.1</f>
        <v>1085.6340000000002</v>
      </c>
      <c r="G18" s="30">
        <f>Лист2!G89*1.1</f>
        <v>352.66000000000008</v>
      </c>
      <c r="H18" s="30"/>
      <c r="I18" s="30"/>
      <c r="J18" s="1"/>
      <c r="K18" s="1"/>
      <c r="L18" s="1"/>
      <c r="M18" s="1"/>
      <c r="N18" s="1"/>
      <c r="O18" s="1"/>
    </row>
    <row r="19" spans="1:15" x14ac:dyDescent="0.25">
      <c r="A19" s="6" t="s">
        <v>18</v>
      </c>
      <c r="B19" s="7" t="s">
        <v>28</v>
      </c>
      <c r="C19" s="9" t="s">
        <v>36</v>
      </c>
      <c r="D19" s="30">
        <f>Лист2!D92*1.1</f>
        <v>138.68800000000002</v>
      </c>
      <c r="E19" s="30">
        <f>Лист2!E92*1.1</f>
        <v>8.7119999999999997</v>
      </c>
      <c r="F19" s="30">
        <f>Лист2!F92*1.1</f>
        <v>1085.6340000000002</v>
      </c>
      <c r="G19" s="30">
        <f>Лист2!G92*1.1</f>
        <v>352.66000000000008</v>
      </c>
      <c r="H19" s="30"/>
      <c r="I19" s="30"/>
      <c r="J19" s="1"/>
      <c r="K19" s="1"/>
      <c r="L19" s="1"/>
      <c r="M19" s="1"/>
      <c r="N19" s="1"/>
      <c r="O19" s="1"/>
    </row>
    <row r="20" spans="1:15" x14ac:dyDescent="0.25">
      <c r="A20" s="6" t="s">
        <v>19</v>
      </c>
      <c r="B20" s="7" t="s">
        <v>29</v>
      </c>
      <c r="C20" s="9" t="s">
        <v>36</v>
      </c>
      <c r="D20" s="30">
        <f>Лист2!D95*1.1</f>
        <v>138.68800000000002</v>
      </c>
      <c r="E20" s="30">
        <f>Лист2!E95*1.1</f>
        <v>8.7119999999999997</v>
      </c>
      <c r="F20" s="30">
        <f>Лист2!F95*1.1</f>
        <v>1085.6340000000002</v>
      </c>
      <c r="G20" s="30">
        <f>Лист2!G95*1.1</f>
        <v>352.66000000000008</v>
      </c>
      <c r="H20" s="30"/>
      <c r="I20" s="30"/>
      <c r="J20" s="1"/>
      <c r="K20" s="1"/>
      <c r="L20" s="1"/>
      <c r="M20" s="1"/>
      <c r="N20" s="1"/>
      <c r="O20" s="1"/>
    </row>
    <row r="21" spans="1:15" x14ac:dyDescent="0.25">
      <c r="A21" s="6" t="s">
        <v>20</v>
      </c>
      <c r="B21" s="7" t="s">
        <v>30</v>
      </c>
      <c r="C21" s="9" t="s">
        <v>36</v>
      </c>
      <c r="D21" s="30">
        <f>Лист2!D98*1.1</f>
        <v>138.68800000000002</v>
      </c>
      <c r="E21" s="30">
        <f>Лист2!E98*1.1</f>
        <v>8.7119999999999997</v>
      </c>
      <c r="F21" s="30">
        <f>Лист2!F98*1.1</f>
        <v>1085.6340000000002</v>
      </c>
      <c r="G21" s="30">
        <f>Лист2!G98*1.1</f>
        <v>352.66000000000008</v>
      </c>
      <c r="H21" s="30"/>
      <c r="I21" s="30"/>
      <c r="J21" s="1"/>
      <c r="K21" s="1"/>
      <c r="L21" s="1"/>
      <c r="M21" s="1"/>
      <c r="N21" s="1"/>
      <c r="O21" s="1"/>
    </row>
    <row r="22" spans="1:15" x14ac:dyDescent="0.25">
      <c r="A22" s="6" t="s">
        <v>21</v>
      </c>
      <c r="B22" s="7" t="s">
        <v>31</v>
      </c>
      <c r="C22" s="9" t="s">
        <v>36</v>
      </c>
      <c r="D22" s="30">
        <f>Лист2!D101*1.1</f>
        <v>138.68800000000002</v>
      </c>
      <c r="E22" s="30">
        <f>Лист2!E101*1.1</f>
        <v>8.7119999999999997</v>
      </c>
      <c r="F22" s="30">
        <f>Лист2!F101*1.1</f>
        <v>1085.6340000000002</v>
      </c>
      <c r="G22" s="30">
        <f>Лист2!G101*1.1</f>
        <v>352.66000000000008</v>
      </c>
      <c r="H22" s="30"/>
      <c r="I22" s="30"/>
      <c r="J22" s="1"/>
      <c r="K22" s="1"/>
      <c r="L22" s="1"/>
      <c r="M22" s="1"/>
      <c r="N22" s="1"/>
      <c r="O22" s="1"/>
    </row>
    <row r="23" spans="1:15" x14ac:dyDescent="0.25">
      <c r="A23" s="16" t="s">
        <v>65</v>
      </c>
      <c r="B23" s="7" t="s">
        <v>66</v>
      </c>
      <c r="C23" s="9" t="s">
        <v>36</v>
      </c>
      <c r="D23" s="30">
        <f>14625*1.1</f>
        <v>16087.500000000002</v>
      </c>
      <c r="E23" s="31"/>
      <c r="F23" s="31"/>
      <c r="G23" s="31">
        <f>277123.5*1.1</f>
        <v>304835.85000000003</v>
      </c>
      <c r="H23" s="31"/>
      <c r="I23" s="31"/>
      <c r="J23" s="1"/>
      <c r="K23" s="1"/>
      <c r="L23" s="1"/>
      <c r="M23" s="1"/>
      <c r="N23" s="1"/>
      <c r="O23" s="1"/>
    </row>
    <row r="24" spans="1:15" x14ac:dyDescent="0.25">
      <c r="A24" s="4"/>
      <c r="B24" s="8" t="s">
        <v>32</v>
      </c>
      <c r="C24" s="10" t="s">
        <v>36</v>
      </c>
      <c r="D24" s="32">
        <f>SUM(D7:D23)</f>
        <v>48850.383999999991</v>
      </c>
      <c r="E24" s="32">
        <f t="shared" ref="E24:I24" si="0">SUM(E7:E23)</f>
        <v>61771.291999999994</v>
      </c>
      <c r="F24" s="32">
        <f t="shared" si="0"/>
        <v>220390.03799999997</v>
      </c>
      <c r="G24" s="32">
        <f t="shared" si="0"/>
        <v>359531.17200000008</v>
      </c>
      <c r="H24" s="32">
        <f t="shared" si="0"/>
        <v>715.96800000000019</v>
      </c>
      <c r="I24" s="32">
        <f t="shared" si="0"/>
        <v>2892.5600000000004</v>
      </c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7" spans="1:15" x14ac:dyDescent="0.25">
      <c r="A27" s="1"/>
    </row>
  </sheetData>
  <mergeCells count="6">
    <mergeCell ref="A5:A6"/>
    <mergeCell ref="B5:B6"/>
    <mergeCell ref="C5:C6"/>
    <mergeCell ref="B3:G3"/>
    <mergeCell ref="B1:G1"/>
    <mergeCell ref="D5:I5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9" sqref="D79"/>
    </sheetView>
  </sheetViews>
  <sheetFormatPr defaultRowHeight="15" x14ac:dyDescent="0.25"/>
  <cols>
    <col min="4" max="9" width="10.7109375" customWidth="1"/>
  </cols>
  <sheetData>
    <row r="3" spans="1:9" x14ac:dyDescent="0.25">
      <c r="A3" s="12"/>
      <c r="B3" s="12"/>
      <c r="C3" s="13" t="s">
        <v>57</v>
      </c>
      <c r="D3" s="5" t="s">
        <v>4</v>
      </c>
      <c r="E3" s="5" t="s">
        <v>42</v>
      </c>
      <c r="F3" s="5" t="s">
        <v>33</v>
      </c>
      <c r="G3" s="5" t="s">
        <v>34</v>
      </c>
      <c r="H3" s="5" t="s">
        <v>55</v>
      </c>
      <c r="I3" s="5" t="s">
        <v>35</v>
      </c>
    </row>
    <row r="4" spans="1:9" x14ac:dyDescent="0.25">
      <c r="A4" s="27" t="s">
        <v>6</v>
      </c>
      <c r="B4" s="12" t="s">
        <v>37</v>
      </c>
      <c r="C4" s="13">
        <v>108</v>
      </c>
      <c r="D4" s="13"/>
      <c r="E4" s="13">
        <f>5.04*C4</f>
        <v>544.32000000000005</v>
      </c>
      <c r="F4" s="13">
        <f>14.29*C4</f>
        <v>1543.32</v>
      </c>
      <c r="G4" s="13">
        <f>20.6*C4</f>
        <v>2224.8000000000002</v>
      </c>
      <c r="H4" s="13"/>
      <c r="I4" s="13"/>
    </row>
    <row r="5" spans="1:9" x14ac:dyDescent="0.25">
      <c r="A5" s="29"/>
      <c r="B5" s="12" t="s">
        <v>43</v>
      </c>
      <c r="C5" s="13">
        <v>24</v>
      </c>
      <c r="D5" s="13"/>
      <c r="E5" s="13">
        <f>5.04*C5</f>
        <v>120.96000000000001</v>
      </c>
      <c r="F5" s="13">
        <f>14.29*C5</f>
        <v>342.96</v>
      </c>
      <c r="G5" s="13">
        <f>20.6*C5</f>
        <v>494.40000000000003</v>
      </c>
      <c r="H5" s="13"/>
      <c r="I5" s="13"/>
    </row>
    <row r="6" spans="1:9" x14ac:dyDescent="0.25">
      <c r="A6" s="29"/>
      <c r="B6" s="12" t="s">
        <v>38</v>
      </c>
      <c r="C6" s="13">
        <v>86</v>
      </c>
      <c r="D6" s="13"/>
      <c r="E6" s="13">
        <f>(10.62+2.66)*C6</f>
        <v>1142.08</v>
      </c>
      <c r="F6" s="13">
        <f>7.81*C6</f>
        <v>671.66</v>
      </c>
      <c r="G6" s="13">
        <f>46.54*C6</f>
        <v>4002.44</v>
      </c>
      <c r="H6" s="13"/>
      <c r="I6" s="13"/>
    </row>
    <row r="7" spans="1:9" x14ac:dyDescent="0.25">
      <c r="A7" s="29"/>
      <c r="B7" s="12" t="s">
        <v>39</v>
      </c>
      <c r="C7" s="13">
        <v>8</v>
      </c>
      <c r="D7" s="13"/>
      <c r="E7" s="13">
        <f>(14.26+2.66)*C7</f>
        <v>135.36000000000001</v>
      </c>
      <c r="F7" s="13">
        <f>12.09*C7</f>
        <v>96.72</v>
      </c>
      <c r="G7" s="13">
        <f>46.54*C7</f>
        <v>372.32</v>
      </c>
      <c r="H7" s="13"/>
      <c r="I7" s="13"/>
    </row>
    <row r="8" spans="1:9" x14ac:dyDescent="0.25">
      <c r="A8" s="29"/>
      <c r="B8" s="12" t="s">
        <v>40</v>
      </c>
      <c r="C8" s="13">
        <v>12</v>
      </c>
      <c r="D8" s="13"/>
      <c r="E8" s="13">
        <f>(26.32+1.28)*C8</f>
        <v>331.20000000000005</v>
      </c>
      <c r="F8" s="13">
        <f>7.81*C8</f>
        <v>93.72</v>
      </c>
      <c r="G8" s="13">
        <f>46.54*C8</f>
        <v>558.48</v>
      </c>
      <c r="H8" s="13"/>
      <c r="I8" s="13"/>
    </row>
    <row r="9" spans="1:9" x14ac:dyDescent="0.25">
      <c r="A9" s="29"/>
      <c r="B9" s="12" t="s">
        <v>44</v>
      </c>
      <c r="C9" s="13">
        <v>2</v>
      </c>
      <c r="D9" s="13"/>
      <c r="E9" s="13">
        <f>(30.42+4.58)*C9</f>
        <v>70</v>
      </c>
      <c r="F9" s="13">
        <f>11.57*C9</f>
        <v>23.14</v>
      </c>
      <c r="G9" s="13">
        <f>87.37*C9</f>
        <v>174.74</v>
      </c>
      <c r="H9" s="13"/>
      <c r="I9" s="13"/>
    </row>
    <row r="10" spans="1:9" x14ac:dyDescent="0.25">
      <c r="A10" s="29"/>
      <c r="B10" s="12" t="s">
        <v>45</v>
      </c>
      <c r="C10" s="13">
        <v>4</v>
      </c>
      <c r="D10" s="13"/>
      <c r="E10" s="13">
        <f>(13.21+2.66)*C10</f>
        <v>63.480000000000004</v>
      </c>
      <c r="F10" s="13">
        <f>11.57*C10</f>
        <v>46.28</v>
      </c>
      <c r="G10" s="13">
        <f>57.64*C10</f>
        <v>230.56</v>
      </c>
      <c r="H10" s="13"/>
      <c r="I10" s="13"/>
    </row>
    <row r="11" spans="1:9" x14ac:dyDescent="0.25">
      <c r="A11" s="29"/>
      <c r="B11" s="12" t="s">
        <v>46</v>
      </c>
      <c r="C11" s="13">
        <v>4</v>
      </c>
      <c r="D11" s="13"/>
      <c r="E11" s="13">
        <f>(17.89+2.66)*C11</f>
        <v>82.2</v>
      </c>
      <c r="F11" s="13">
        <f>17.05*C11</f>
        <v>68.2</v>
      </c>
      <c r="G11" s="13">
        <f>57.64*C11</f>
        <v>230.56</v>
      </c>
      <c r="H11" s="13"/>
      <c r="I11" s="13"/>
    </row>
    <row r="12" spans="1:9" x14ac:dyDescent="0.25">
      <c r="A12" s="29"/>
      <c r="B12" s="12" t="s">
        <v>47</v>
      </c>
      <c r="C12" s="13">
        <v>2</v>
      </c>
      <c r="D12" s="13"/>
      <c r="E12" s="13">
        <f>(12.7+1.28)*C12</f>
        <v>27.959999999999997</v>
      </c>
      <c r="F12" s="13">
        <f>11.92*C12</f>
        <v>23.84</v>
      </c>
      <c r="G12" s="13">
        <f>38.8*C12</f>
        <v>77.599999999999994</v>
      </c>
      <c r="H12" s="13"/>
      <c r="I12" s="13"/>
    </row>
    <row r="13" spans="1:9" x14ac:dyDescent="0.25">
      <c r="A13" s="29"/>
      <c r="B13" s="12" t="s">
        <v>48</v>
      </c>
      <c r="C13" s="13">
        <v>88</v>
      </c>
      <c r="D13" s="13"/>
      <c r="E13" s="13">
        <f>18.96*C13</f>
        <v>1668.48</v>
      </c>
      <c r="F13" s="13">
        <f>14.28*C13</f>
        <v>1256.6399999999999</v>
      </c>
      <c r="G13" s="13"/>
      <c r="H13" s="13"/>
      <c r="I13" s="13"/>
    </row>
    <row r="14" spans="1:9" x14ac:dyDescent="0.25">
      <c r="A14" s="29"/>
      <c r="B14" s="12" t="s">
        <v>49</v>
      </c>
      <c r="C14" s="13">
        <v>2</v>
      </c>
      <c r="D14" s="13"/>
      <c r="E14" s="13">
        <f>20.4*C14</f>
        <v>40.799999999999997</v>
      </c>
      <c r="F14" s="13">
        <f>12.86*C14</f>
        <v>25.72</v>
      </c>
      <c r="G14" s="13"/>
      <c r="H14" s="13">
        <f>51.84*C14</f>
        <v>103.68</v>
      </c>
      <c r="I14" s="13"/>
    </row>
    <row r="15" spans="1:9" x14ac:dyDescent="0.25">
      <c r="A15" s="29"/>
      <c r="B15" s="12" t="s">
        <v>50</v>
      </c>
      <c r="C15" s="13">
        <v>8</v>
      </c>
      <c r="D15" s="13"/>
      <c r="E15" s="13">
        <f>25.74*C15</f>
        <v>205.92</v>
      </c>
      <c r="F15" s="13">
        <f>17.06*C15</f>
        <v>136.47999999999999</v>
      </c>
      <c r="G15" s="13"/>
      <c r="H15" s="13"/>
      <c r="I15" s="13"/>
    </row>
    <row r="16" spans="1:9" x14ac:dyDescent="0.25">
      <c r="A16" s="29"/>
      <c r="B16" s="12" t="s">
        <v>51</v>
      </c>
      <c r="C16" s="13">
        <v>8</v>
      </c>
      <c r="D16" s="13"/>
      <c r="E16" s="13">
        <f>38.42*C16</f>
        <v>307.36</v>
      </c>
      <c r="F16" s="13">
        <f>21.13*C16</f>
        <v>169.04</v>
      </c>
      <c r="G16" s="13"/>
      <c r="H16" s="13">
        <f>68.4*C16</f>
        <v>547.20000000000005</v>
      </c>
      <c r="I16" s="13"/>
    </row>
    <row r="17" spans="1:9" x14ac:dyDescent="0.25">
      <c r="A17" s="29"/>
      <c r="B17" s="12" t="s">
        <v>52</v>
      </c>
      <c r="C17" s="13">
        <v>3</v>
      </c>
      <c r="D17" s="13"/>
      <c r="E17" s="13">
        <f>14.28*C17</f>
        <v>42.839999999999996</v>
      </c>
      <c r="F17" s="13">
        <f>12.96*C17</f>
        <v>38.880000000000003</v>
      </c>
      <c r="G17" s="13"/>
      <c r="H17" s="13"/>
      <c r="I17" s="13"/>
    </row>
    <row r="18" spans="1:9" x14ac:dyDescent="0.25">
      <c r="A18" s="29"/>
      <c r="B18" s="12" t="s">
        <v>53</v>
      </c>
      <c r="C18" s="13">
        <v>2</v>
      </c>
      <c r="D18" s="13"/>
      <c r="E18" s="13">
        <f>13.92*C18</f>
        <v>27.84</v>
      </c>
      <c r="F18" s="13">
        <f>13.72*C18</f>
        <v>27.44</v>
      </c>
      <c r="G18" s="13"/>
      <c r="H18" s="13"/>
      <c r="I18" s="13"/>
    </row>
    <row r="19" spans="1:9" x14ac:dyDescent="0.25">
      <c r="A19" s="29"/>
      <c r="B19" s="12" t="s">
        <v>54</v>
      </c>
      <c r="C19" s="13">
        <v>1</v>
      </c>
      <c r="D19" s="13"/>
      <c r="E19" s="13">
        <f>25.32*C19</f>
        <v>25.32</v>
      </c>
      <c r="F19" s="13">
        <f>15.86*C19</f>
        <v>15.86</v>
      </c>
      <c r="G19" s="13"/>
      <c r="H19" s="13"/>
      <c r="I19" s="13"/>
    </row>
    <row r="20" spans="1:9" x14ac:dyDescent="0.25">
      <c r="A20" s="29"/>
      <c r="B20" s="12" t="s">
        <v>56</v>
      </c>
      <c r="C20" s="13"/>
      <c r="D20" s="13"/>
      <c r="E20" s="13">
        <v>12680</v>
      </c>
      <c r="F20" s="13"/>
      <c r="G20" s="13"/>
      <c r="H20" s="13"/>
      <c r="I20" s="13"/>
    </row>
    <row r="21" spans="1:9" x14ac:dyDescent="0.25">
      <c r="A21" s="28"/>
      <c r="B21" s="12" t="s">
        <v>41</v>
      </c>
      <c r="C21" s="13"/>
      <c r="D21" s="13">
        <v>21700</v>
      </c>
      <c r="E21" s="13">
        <v>38600</v>
      </c>
      <c r="F21" s="13"/>
      <c r="G21" s="13"/>
      <c r="H21" s="13"/>
      <c r="I21" s="13"/>
    </row>
    <row r="22" spans="1:9" x14ac:dyDescent="0.25">
      <c r="A22" s="14"/>
      <c r="B22" s="25" t="s">
        <v>32</v>
      </c>
      <c r="C22" s="26"/>
      <c r="D22" s="15">
        <f>SUM(D4:D21)</f>
        <v>21700</v>
      </c>
      <c r="E22" s="15">
        <f t="shared" ref="E22:I22" si="0">SUM(E4:E21)</f>
        <v>56116.119999999995</v>
      </c>
      <c r="F22" s="15">
        <f t="shared" si="0"/>
        <v>4579.8999999999987</v>
      </c>
      <c r="G22" s="15">
        <f t="shared" si="0"/>
        <v>8365.9000000000015</v>
      </c>
      <c r="H22" s="15">
        <f t="shared" si="0"/>
        <v>650.88000000000011</v>
      </c>
      <c r="I22" s="15">
        <f t="shared" si="0"/>
        <v>0</v>
      </c>
    </row>
    <row r="23" spans="1:9" x14ac:dyDescent="0.25">
      <c r="A23" s="27" t="s">
        <v>7</v>
      </c>
      <c r="B23" s="12" t="s">
        <v>37</v>
      </c>
      <c r="C23" s="13">
        <v>40</v>
      </c>
      <c r="D23" s="13">
        <f>188</f>
        <v>188</v>
      </c>
      <c r="E23" s="13"/>
      <c r="F23" s="13">
        <f>(468+369.6+327.6+284+544+1332.72)</f>
        <v>3325.92</v>
      </c>
      <c r="G23" s="13">
        <f>167.2</f>
        <v>167.2</v>
      </c>
      <c r="H23" s="13"/>
      <c r="I23" s="13">
        <f>184.8</f>
        <v>184.8</v>
      </c>
    </row>
    <row r="24" spans="1:9" x14ac:dyDescent="0.25">
      <c r="A24" s="29"/>
      <c r="B24" s="12" t="s">
        <v>38</v>
      </c>
      <c r="C24" s="13">
        <v>40</v>
      </c>
      <c r="D24" s="13"/>
      <c r="E24" s="13"/>
      <c r="F24" s="13"/>
      <c r="G24" s="13">
        <f>921.6</f>
        <v>921.6</v>
      </c>
      <c r="H24" s="13"/>
      <c r="I24" s="13"/>
    </row>
    <row r="25" spans="1:9" x14ac:dyDescent="0.25">
      <c r="A25" s="29"/>
      <c r="B25" s="12" t="s">
        <v>39</v>
      </c>
      <c r="C25" s="13">
        <v>4</v>
      </c>
      <c r="D25" s="13">
        <f>22.8</f>
        <v>22.8</v>
      </c>
      <c r="E25" s="13"/>
      <c r="F25" s="13">
        <f>(52.8+55.68+31.68+25.2+54.4+65.16)</f>
        <v>284.91999999999996</v>
      </c>
      <c r="G25" s="13"/>
      <c r="H25" s="13"/>
      <c r="I25" s="13"/>
    </row>
    <row r="26" spans="1:9" x14ac:dyDescent="0.25">
      <c r="A26" s="29"/>
      <c r="B26" s="12" t="s">
        <v>40</v>
      </c>
      <c r="C26" s="13">
        <v>8</v>
      </c>
      <c r="D26" s="13">
        <f>21.6</f>
        <v>21.6</v>
      </c>
      <c r="E26" s="13"/>
      <c r="F26" s="13">
        <f>(105.6+47.52+43.52+93.29)</f>
        <v>289.93</v>
      </c>
      <c r="G26" s="13"/>
      <c r="H26" s="13"/>
      <c r="I26" s="13"/>
    </row>
    <row r="27" spans="1:9" x14ac:dyDescent="0.25">
      <c r="A27" s="28"/>
      <c r="B27" s="12" t="s">
        <v>41</v>
      </c>
      <c r="C27" s="13"/>
      <c r="D27" s="13">
        <v>333.2</v>
      </c>
      <c r="E27" s="13"/>
      <c r="F27" s="13">
        <f>1556.6+176.61+631+681.21+533.76+211.2+412.16+225.28+353.36+3732.85</f>
        <v>8514.0299999999988</v>
      </c>
      <c r="G27" s="13">
        <v>1585.08</v>
      </c>
      <c r="H27" s="13"/>
      <c r="I27" s="13"/>
    </row>
    <row r="28" spans="1:9" x14ac:dyDescent="0.25">
      <c r="A28" s="14"/>
      <c r="B28" s="25" t="s">
        <v>32</v>
      </c>
      <c r="C28" s="26"/>
      <c r="D28" s="15">
        <f>SUM(D23:D27)</f>
        <v>565.6</v>
      </c>
      <c r="E28" s="15">
        <f t="shared" ref="E28:I28" si="1">SUM(E23:E27)</f>
        <v>0</v>
      </c>
      <c r="F28" s="15">
        <f t="shared" si="1"/>
        <v>12414.8</v>
      </c>
      <c r="G28" s="15">
        <f t="shared" si="1"/>
        <v>2673.88</v>
      </c>
      <c r="H28" s="15">
        <f t="shared" si="1"/>
        <v>0</v>
      </c>
      <c r="I28" s="15">
        <f t="shared" si="1"/>
        <v>184.8</v>
      </c>
    </row>
    <row r="29" spans="1:9" x14ac:dyDescent="0.25">
      <c r="A29" s="27" t="s">
        <v>8</v>
      </c>
      <c r="B29" s="12" t="s">
        <v>37</v>
      </c>
      <c r="C29" s="13">
        <v>40</v>
      </c>
      <c r="D29" s="13">
        <f>188</f>
        <v>188</v>
      </c>
      <c r="E29" s="13"/>
      <c r="F29" s="13">
        <f>(468+369.6+327.6+284+544+1332.72)</f>
        <v>3325.92</v>
      </c>
      <c r="G29" s="13">
        <f>167.2</f>
        <v>167.2</v>
      </c>
      <c r="H29" s="13"/>
      <c r="I29" s="13">
        <f>184.8</f>
        <v>184.8</v>
      </c>
    </row>
    <row r="30" spans="1:9" x14ac:dyDescent="0.25">
      <c r="A30" s="29"/>
      <c r="B30" s="12" t="s">
        <v>38</v>
      </c>
      <c r="C30" s="13">
        <v>40</v>
      </c>
      <c r="D30" s="13"/>
      <c r="E30" s="13"/>
      <c r="F30" s="13"/>
      <c r="G30" s="13">
        <f>921.6</f>
        <v>921.6</v>
      </c>
      <c r="H30" s="13"/>
      <c r="I30" s="13"/>
    </row>
    <row r="31" spans="1:9" x14ac:dyDescent="0.25">
      <c r="A31" s="29"/>
      <c r="B31" s="12" t="s">
        <v>39</v>
      </c>
      <c r="C31" s="13">
        <v>4</v>
      </c>
      <c r="D31" s="13">
        <f>22.8</f>
        <v>22.8</v>
      </c>
      <c r="E31" s="13"/>
      <c r="F31" s="13">
        <f>(52.8+55.68+31.68+25.2+54.4+65.16)</f>
        <v>284.91999999999996</v>
      </c>
      <c r="G31" s="13"/>
      <c r="H31" s="13"/>
      <c r="I31" s="13"/>
    </row>
    <row r="32" spans="1:9" x14ac:dyDescent="0.25">
      <c r="A32" s="29"/>
      <c r="B32" s="12" t="s">
        <v>40</v>
      </c>
      <c r="C32" s="13">
        <v>8</v>
      </c>
      <c r="D32" s="13">
        <f>21.6</f>
        <v>21.6</v>
      </c>
      <c r="E32" s="13"/>
      <c r="F32" s="13">
        <f>(105.6+47.52+43.52+93.29)</f>
        <v>289.93</v>
      </c>
      <c r="G32" s="13"/>
      <c r="H32" s="13"/>
      <c r="I32" s="13"/>
    </row>
    <row r="33" spans="1:9" x14ac:dyDescent="0.25">
      <c r="A33" s="28"/>
      <c r="B33" s="12" t="s">
        <v>41</v>
      </c>
      <c r="C33" s="13"/>
      <c r="D33" s="13">
        <v>333.2</v>
      </c>
      <c r="E33" s="13"/>
      <c r="F33" s="13">
        <f>1556.6+176.61+631+681.21+533.76+211.2+412.16+225.28+353.36+3732.85</f>
        <v>8514.0299999999988</v>
      </c>
      <c r="G33" s="13">
        <v>1585.08</v>
      </c>
      <c r="H33" s="13"/>
      <c r="I33" s="13"/>
    </row>
    <row r="34" spans="1:9" x14ac:dyDescent="0.25">
      <c r="A34" s="14"/>
      <c r="B34" s="25" t="s">
        <v>32</v>
      </c>
      <c r="C34" s="26"/>
      <c r="D34" s="15">
        <f>SUM(D29:D33)</f>
        <v>565.6</v>
      </c>
      <c r="E34" s="15">
        <f t="shared" ref="E34:I34" si="2">SUM(E29:E33)</f>
        <v>0</v>
      </c>
      <c r="F34" s="15">
        <f t="shared" si="2"/>
        <v>12414.8</v>
      </c>
      <c r="G34" s="15">
        <f t="shared" si="2"/>
        <v>2673.88</v>
      </c>
      <c r="H34" s="15">
        <f t="shared" si="2"/>
        <v>0</v>
      </c>
      <c r="I34" s="15">
        <f t="shared" si="2"/>
        <v>184.8</v>
      </c>
    </row>
    <row r="35" spans="1:9" x14ac:dyDescent="0.25">
      <c r="A35" s="27" t="s">
        <v>9</v>
      </c>
      <c r="B35" s="12" t="s">
        <v>37</v>
      </c>
      <c r="C35" s="13">
        <v>40</v>
      </c>
      <c r="D35" s="13">
        <f>244</f>
        <v>244</v>
      </c>
      <c r="E35" s="13"/>
      <c r="F35" s="13">
        <f>532.8+554.4+326.4+340.8+544+982.71</f>
        <v>3281.1099999999997</v>
      </c>
      <c r="G35" s="13">
        <v>138.4</v>
      </c>
      <c r="H35" s="13"/>
      <c r="I35" s="13">
        <v>231.2</v>
      </c>
    </row>
    <row r="36" spans="1:9" x14ac:dyDescent="0.25">
      <c r="A36" s="29"/>
      <c r="B36" s="12" t="s">
        <v>38</v>
      </c>
      <c r="C36" s="13">
        <v>50</v>
      </c>
      <c r="D36" s="13"/>
      <c r="E36" s="13"/>
      <c r="F36" s="13"/>
      <c r="G36" s="13">
        <v>1152</v>
      </c>
      <c r="H36" s="13"/>
      <c r="I36" s="13"/>
    </row>
    <row r="37" spans="1:9" x14ac:dyDescent="0.25">
      <c r="A37" s="29"/>
      <c r="B37" s="12" t="s">
        <v>39</v>
      </c>
      <c r="C37" s="13">
        <v>4</v>
      </c>
      <c r="D37" s="13">
        <v>22.8</v>
      </c>
      <c r="E37" s="13"/>
      <c r="F37" s="13">
        <f>52.8+55.68+31.68+25.2+54.4+65.16</f>
        <v>284.91999999999996</v>
      </c>
      <c r="G37" s="13"/>
      <c r="H37" s="13"/>
      <c r="I37" s="13"/>
    </row>
    <row r="38" spans="1:9" x14ac:dyDescent="0.25">
      <c r="A38" s="29"/>
      <c r="B38" s="12" t="s">
        <v>40</v>
      </c>
      <c r="C38" s="13">
        <v>8</v>
      </c>
      <c r="D38" s="13">
        <v>21.6</v>
      </c>
      <c r="E38" s="13"/>
      <c r="F38" s="13">
        <f>105.6+47.52+43.52+93.29</f>
        <v>289.93</v>
      </c>
      <c r="G38" s="13"/>
      <c r="H38" s="13"/>
      <c r="I38" s="13"/>
    </row>
    <row r="39" spans="1:9" x14ac:dyDescent="0.25">
      <c r="A39" s="28"/>
      <c r="B39" s="12" t="s">
        <v>41</v>
      </c>
      <c r="C39" s="13"/>
      <c r="D39" s="13">
        <v>406.56</v>
      </c>
      <c r="E39" s="13"/>
      <c r="F39" s="13">
        <f>1848+209.65+749+808.65+533.76+211.2+412.16+225.28+419.44+4504.1</f>
        <v>9921.24</v>
      </c>
      <c r="G39" s="13">
        <v>1934.04</v>
      </c>
      <c r="H39" s="13"/>
      <c r="I39" s="13"/>
    </row>
    <row r="40" spans="1:9" x14ac:dyDescent="0.25">
      <c r="A40" s="14"/>
      <c r="B40" s="25" t="s">
        <v>32</v>
      </c>
      <c r="C40" s="26"/>
      <c r="D40" s="15">
        <f>SUM(D35:D39)</f>
        <v>694.96</v>
      </c>
      <c r="E40" s="15">
        <f t="shared" ref="E40:I40" si="3">SUM(E35:E39)</f>
        <v>0</v>
      </c>
      <c r="F40" s="15">
        <f t="shared" si="3"/>
        <v>13777.199999999999</v>
      </c>
      <c r="G40" s="15">
        <f t="shared" si="3"/>
        <v>3224.44</v>
      </c>
      <c r="H40" s="15">
        <f t="shared" si="3"/>
        <v>0</v>
      </c>
      <c r="I40" s="15">
        <f t="shared" si="3"/>
        <v>231.2</v>
      </c>
    </row>
    <row r="41" spans="1:9" x14ac:dyDescent="0.25">
      <c r="A41" s="27" t="s">
        <v>10</v>
      </c>
      <c r="B41" s="12" t="s">
        <v>37</v>
      </c>
      <c r="C41" s="13">
        <v>40</v>
      </c>
      <c r="D41" s="13">
        <f>244</f>
        <v>244</v>
      </c>
      <c r="E41" s="13"/>
      <c r="F41" s="13">
        <f>532.8+554.4+326.4+340.8+544+982.71</f>
        <v>3281.1099999999997</v>
      </c>
      <c r="G41" s="13">
        <v>138.4</v>
      </c>
      <c r="H41" s="13"/>
      <c r="I41" s="13">
        <v>231.2</v>
      </c>
    </row>
    <row r="42" spans="1:9" x14ac:dyDescent="0.25">
      <c r="A42" s="29"/>
      <c r="B42" s="12" t="s">
        <v>38</v>
      </c>
      <c r="C42" s="13">
        <v>50</v>
      </c>
      <c r="D42" s="13"/>
      <c r="E42" s="13"/>
      <c r="F42" s="13"/>
      <c r="G42" s="13">
        <v>1152</v>
      </c>
      <c r="H42" s="13"/>
      <c r="I42" s="13"/>
    </row>
    <row r="43" spans="1:9" x14ac:dyDescent="0.25">
      <c r="A43" s="29"/>
      <c r="B43" s="12" t="s">
        <v>39</v>
      </c>
      <c r="C43" s="13">
        <v>4</v>
      </c>
      <c r="D43" s="13">
        <v>22.8</v>
      </c>
      <c r="E43" s="13"/>
      <c r="F43" s="13">
        <f>52.8+55.68+31.68+25.2+54.4+65.16</f>
        <v>284.91999999999996</v>
      </c>
      <c r="G43" s="13"/>
      <c r="H43" s="13"/>
      <c r="I43" s="13"/>
    </row>
    <row r="44" spans="1:9" x14ac:dyDescent="0.25">
      <c r="A44" s="29"/>
      <c r="B44" s="12" t="s">
        <v>40</v>
      </c>
      <c r="C44" s="13">
        <v>8</v>
      </c>
      <c r="D44" s="13">
        <v>21.6</v>
      </c>
      <c r="E44" s="13"/>
      <c r="F44" s="13">
        <f>105.6+47.52+43.52+93.29</f>
        <v>289.93</v>
      </c>
      <c r="G44" s="13"/>
      <c r="H44" s="13"/>
      <c r="I44" s="13"/>
    </row>
    <row r="45" spans="1:9" x14ac:dyDescent="0.25">
      <c r="A45" s="28"/>
      <c r="B45" s="12" t="s">
        <v>41</v>
      </c>
      <c r="C45" s="13"/>
      <c r="D45" s="13">
        <v>406.56</v>
      </c>
      <c r="E45" s="13"/>
      <c r="F45" s="13">
        <f>1848+209.65+749+808.65+533.76+211.2+412.16+225.28+419.44+4504.1</f>
        <v>9921.24</v>
      </c>
      <c r="G45" s="13">
        <v>1934.04</v>
      </c>
      <c r="H45" s="13"/>
      <c r="I45" s="13"/>
    </row>
    <row r="46" spans="1:9" x14ac:dyDescent="0.25">
      <c r="A46" s="14"/>
      <c r="B46" s="25" t="s">
        <v>32</v>
      </c>
      <c r="C46" s="26"/>
      <c r="D46" s="15">
        <f>SUM(D41:D45)</f>
        <v>694.96</v>
      </c>
      <c r="E46" s="15">
        <f t="shared" ref="E46:I46" si="4">SUM(E41:E45)</f>
        <v>0</v>
      </c>
      <c r="F46" s="15">
        <f t="shared" si="4"/>
        <v>13777.199999999999</v>
      </c>
      <c r="G46" s="15">
        <f t="shared" si="4"/>
        <v>3224.44</v>
      </c>
      <c r="H46" s="15">
        <f t="shared" si="4"/>
        <v>0</v>
      </c>
      <c r="I46" s="15">
        <f t="shared" si="4"/>
        <v>231.2</v>
      </c>
    </row>
    <row r="47" spans="1:9" x14ac:dyDescent="0.25">
      <c r="A47" s="27" t="s">
        <v>11</v>
      </c>
      <c r="B47" s="12" t="s">
        <v>37</v>
      </c>
      <c r="C47" s="13">
        <v>40</v>
      </c>
      <c r="D47" s="13">
        <f>244</f>
        <v>244</v>
      </c>
      <c r="E47" s="13"/>
      <c r="F47" s="13">
        <f>532.8+554.4+326.4+340.8+544+982.71</f>
        <v>3281.1099999999997</v>
      </c>
      <c r="G47" s="13">
        <v>138.4</v>
      </c>
      <c r="H47" s="13"/>
      <c r="I47" s="13">
        <v>231.2</v>
      </c>
    </row>
    <row r="48" spans="1:9" x14ac:dyDescent="0.25">
      <c r="A48" s="29"/>
      <c r="B48" s="12" t="s">
        <v>38</v>
      </c>
      <c r="C48" s="13">
        <v>50</v>
      </c>
      <c r="D48" s="13"/>
      <c r="E48" s="13"/>
      <c r="F48" s="13"/>
      <c r="G48" s="13">
        <v>1152</v>
      </c>
      <c r="H48" s="13"/>
      <c r="I48" s="13"/>
    </row>
    <row r="49" spans="1:9" x14ac:dyDescent="0.25">
      <c r="A49" s="29"/>
      <c r="B49" s="12" t="s">
        <v>39</v>
      </c>
      <c r="C49" s="13">
        <v>4</v>
      </c>
      <c r="D49" s="13">
        <v>22.8</v>
      </c>
      <c r="E49" s="13"/>
      <c r="F49" s="13">
        <f>52.8+55.68+31.68+25.2+54.4+65.16</f>
        <v>284.91999999999996</v>
      </c>
      <c r="G49" s="13"/>
      <c r="H49" s="13"/>
      <c r="I49" s="13"/>
    </row>
    <row r="50" spans="1:9" x14ac:dyDescent="0.25">
      <c r="A50" s="29"/>
      <c r="B50" s="12" t="s">
        <v>40</v>
      </c>
      <c r="C50" s="13">
        <v>8</v>
      </c>
      <c r="D50" s="13">
        <v>21.6</v>
      </c>
      <c r="E50" s="13"/>
      <c r="F50" s="13">
        <f>105.6+47.52+43.52+93.29</f>
        <v>289.93</v>
      </c>
      <c r="G50" s="13"/>
      <c r="H50" s="13"/>
      <c r="I50" s="13"/>
    </row>
    <row r="51" spans="1:9" x14ac:dyDescent="0.25">
      <c r="A51" s="28"/>
      <c r="B51" s="12" t="s">
        <v>41</v>
      </c>
      <c r="C51" s="13"/>
      <c r="D51" s="13">
        <v>406.56</v>
      </c>
      <c r="E51" s="13"/>
      <c r="F51" s="13">
        <f>1848+209.65+749+808.65+533.76+211.2+412.16+225.28+419.44+4504.1</f>
        <v>9921.24</v>
      </c>
      <c r="G51" s="13">
        <v>1934.04</v>
      </c>
      <c r="H51" s="13"/>
      <c r="I51" s="13"/>
    </row>
    <row r="52" spans="1:9" x14ac:dyDescent="0.25">
      <c r="A52" s="14"/>
      <c r="B52" s="25" t="s">
        <v>32</v>
      </c>
      <c r="C52" s="26"/>
      <c r="D52" s="15">
        <f>SUM(D47:D51)</f>
        <v>694.96</v>
      </c>
      <c r="E52" s="15">
        <f t="shared" ref="E52" si="5">SUM(E47:E51)</f>
        <v>0</v>
      </c>
      <c r="F52" s="15">
        <f t="shared" ref="F52" si="6">SUM(F47:F51)</f>
        <v>13777.199999999999</v>
      </c>
      <c r="G52" s="15">
        <f t="shared" ref="G52" si="7">SUM(G47:G51)</f>
        <v>3224.44</v>
      </c>
      <c r="H52" s="15">
        <f t="shared" ref="H52" si="8">SUM(H47:H51)</f>
        <v>0</v>
      </c>
      <c r="I52" s="15">
        <f t="shared" ref="I52" si="9">SUM(I47:I51)</f>
        <v>231.2</v>
      </c>
    </row>
    <row r="53" spans="1:9" x14ac:dyDescent="0.25">
      <c r="A53" s="27" t="s">
        <v>12</v>
      </c>
      <c r="B53" s="12" t="s">
        <v>37</v>
      </c>
      <c r="C53" s="13">
        <v>40</v>
      </c>
      <c r="D53" s="13">
        <f>244</f>
        <v>244</v>
      </c>
      <c r="E53" s="13"/>
      <c r="F53" s="13">
        <f>532.8+554.4+326.4+340.8+544+982.71</f>
        <v>3281.1099999999997</v>
      </c>
      <c r="G53" s="13">
        <v>138.4</v>
      </c>
      <c r="H53" s="13"/>
      <c r="I53" s="13">
        <v>231.2</v>
      </c>
    </row>
    <row r="54" spans="1:9" x14ac:dyDescent="0.25">
      <c r="A54" s="29"/>
      <c r="B54" s="12" t="s">
        <v>38</v>
      </c>
      <c r="C54" s="13">
        <v>50</v>
      </c>
      <c r="D54" s="13"/>
      <c r="E54" s="13"/>
      <c r="F54" s="13"/>
      <c r="G54" s="13">
        <v>1152</v>
      </c>
      <c r="H54" s="13"/>
      <c r="I54" s="13"/>
    </row>
    <row r="55" spans="1:9" x14ac:dyDescent="0.25">
      <c r="A55" s="29"/>
      <c r="B55" s="12" t="s">
        <v>39</v>
      </c>
      <c r="C55" s="13">
        <v>4</v>
      </c>
      <c r="D55" s="13">
        <v>22.8</v>
      </c>
      <c r="E55" s="13"/>
      <c r="F55" s="13">
        <f>52.8+55.68+31.68+25.2+54.4+65.16</f>
        <v>284.91999999999996</v>
      </c>
      <c r="G55" s="13"/>
      <c r="H55" s="13"/>
      <c r="I55" s="13"/>
    </row>
    <row r="56" spans="1:9" x14ac:dyDescent="0.25">
      <c r="A56" s="29"/>
      <c r="B56" s="12" t="s">
        <v>40</v>
      </c>
      <c r="C56" s="13">
        <v>8</v>
      </c>
      <c r="D56" s="13">
        <v>21.6</v>
      </c>
      <c r="E56" s="13"/>
      <c r="F56" s="13">
        <f>105.6+47.52+43.52+93.29</f>
        <v>289.93</v>
      </c>
      <c r="G56" s="13"/>
      <c r="H56" s="13"/>
      <c r="I56" s="13"/>
    </row>
    <row r="57" spans="1:9" x14ac:dyDescent="0.25">
      <c r="A57" s="28"/>
      <c r="B57" s="12" t="s">
        <v>41</v>
      </c>
      <c r="C57" s="13"/>
      <c r="D57" s="13">
        <v>406.56</v>
      </c>
      <c r="E57" s="13"/>
      <c r="F57" s="13">
        <f>1848+209.65+749+808.65+533.76+211.2+412.16+225.28+419.44+4504.1</f>
        <v>9921.24</v>
      </c>
      <c r="G57" s="13">
        <v>1934.04</v>
      </c>
      <c r="H57" s="13"/>
      <c r="I57" s="13"/>
    </row>
    <row r="58" spans="1:9" x14ac:dyDescent="0.25">
      <c r="A58" s="14"/>
      <c r="B58" s="25" t="s">
        <v>32</v>
      </c>
      <c r="C58" s="26"/>
      <c r="D58" s="15">
        <f>SUM(D53:D57)</f>
        <v>694.96</v>
      </c>
      <c r="E58" s="15">
        <f t="shared" ref="E58" si="10">SUM(E53:E57)</f>
        <v>0</v>
      </c>
      <c r="F58" s="15">
        <f t="shared" ref="F58" si="11">SUM(F53:F57)</f>
        <v>13777.199999999999</v>
      </c>
      <c r="G58" s="15">
        <f t="shared" ref="G58" si="12">SUM(G53:G57)</f>
        <v>3224.44</v>
      </c>
      <c r="H58" s="15">
        <f t="shared" ref="H58" si="13">SUM(H53:H57)</f>
        <v>0</v>
      </c>
      <c r="I58" s="15">
        <f t="shared" ref="I58" si="14">SUM(I53:I57)</f>
        <v>231.2</v>
      </c>
    </row>
    <row r="59" spans="1:9" x14ac:dyDescent="0.25">
      <c r="A59" s="27" t="s">
        <v>13</v>
      </c>
      <c r="B59" s="12" t="s">
        <v>37</v>
      </c>
      <c r="C59" s="13">
        <v>74</v>
      </c>
      <c r="D59" s="13">
        <v>240.5</v>
      </c>
      <c r="E59" s="13"/>
      <c r="F59" s="13">
        <f>606.06+546.12+310.8+328.56+603.84+716.37</f>
        <v>3111.7499999999995</v>
      </c>
      <c r="G59" s="13">
        <v>309.32</v>
      </c>
      <c r="H59" s="13"/>
      <c r="I59" s="13">
        <v>313.76</v>
      </c>
    </row>
    <row r="60" spans="1:9" x14ac:dyDescent="0.25">
      <c r="A60" s="29"/>
      <c r="B60" s="12" t="s">
        <v>38</v>
      </c>
      <c r="C60" s="13">
        <v>74</v>
      </c>
      <c r="D60" s="13"/>
      <c r="E60" s="13"/>
      <c r="F60" s="13"/>
      <c r="G60" s="13">
        <v>2225.92</v>
      </c>
      <c r="H60" s="13"/>
      <c r="I60" s="13"/>
    </row>
    <row r="61" spans="1:9" x14ac:dyDescent="0.25">
      <c r="A61" s="29"/>
      <c r="B61" s="12" t="s">
        <v>39</v>
      </c>
      <c r="C61" s="13">
        <v>4</v>
      </c>
      <c r="D61" s="13">
        <v>10.8</v>
      </c>
      <c r="E61" s="13"/>
      <c r="F61" s="13">
        <f>52.8+23.76+21.76+36.28</f>
        <v>134.60000000000002</v>
      </c>
      <c r="G61" s="13"/>
      <c r="H61" s="13"/>
      <c r="I61" s="13"/>
    </row>
    <row r="62" spans="1:9" x14ac:dyDescent="0.25">
      <c r="A62" s="29"/>
      <c r="B62" s="12" t="s">
        <v>40</v>
      </c>
      <c r="C62" s="13">
        <v>8</v>
      </c>
      <c r="D62" s="13">
        <v>13.6</v>
      </c>
      <c r="E62" s="13"/>
      <c r="F62" s="13">
        <f>77.6+27.52+43.52+41.96</f>
        <v>190.6</v>
      </c>
      <c r="G62" s="13"/>
      <c r="H62" s="13"/>
      <c r="I62" s="13"/>
    </row>
    <row r="63" spans="1:9" x14ac:dyDescent="0.25">
      <c r="A63" s="29"/>
      <c r="B63" s="12" t="s">
        <v>44</v>
      </c>
      <c r="C63" s="13">
        <v>2</v>
      </c>
      <c r="D63" s="13">
        <v>8.8000000000000007</v>
      </c>
      <c r="E63" s="13"/>
      <c r="F63" s="13">
        <f>20.72+22.14+10.88+13.32+27.2+19.36</f>
        <v>113.62</v>
      </c>
      <c r="G63" s="13"/>
      <c r="H63" s="13"/>
      <c r="I63" s="13">
        <v>11.56</v>
      </c>
    </row>
    <row r="64" spans="1:9" x14ac:dyDescent="0.25">
      <c r="A64" s="28"/>
      <c r="B64" s="12" t="s">
        <v>41</v>
      </c>
      <c r="C64" s="13"/>
      <c r="D64" s="13">
        <v>571.20000000000005</v>
      </c>
      <c r="E64" s="13"/>
      <c r="F64" s="13">
        <f>2171.84+1875.2+550+1760+1584.46+9758.4+1021.44+887.68+55.5+33.28</f>
        <v>19697.8</v>
      </c>
      <c r="G64" s="13">
        <v>2717.28</v>
      </c>
      <c r="H64" s="13"/>
      <c r="I64" s="13"/>
    </row>
    <row r="65" spans="1:9" x14ac:dyDescent="0.25">
      <c r="A65" s="14"/>
      <c r="B65" s="25" t="s">
        <v>32</v>
      </c>
      <c r="C65" s="26"/>
      <c r="D65" s="15">
        <f>SUM(D59:D64)</f>
        <v>844.90000000000009</v>
      </c>
      <c r="E65" s="15">
        <f t="shared" ref="E65" si="15">SUM(E59:E64)</f>
        <v>0</v>
      </c>
      <c r="F65" s="15">
        <f t="shared" ref="F65" si="16">SUM(F59:F64)</f>
        <v>23248.37</v>
      </c>
      <c r="G65" s="15">
        <f t="shared" ref="G65" si="17">SUM(G59:G64)</f>
        <v>5252.52</v>
      </c>
      <c r="H65" s="15">
        <f t="shared" ref="H65" si="18">SUM(H59:H64)</f>
        <v>0</v>
      </c>
      <c r="I65" s="15">
        <f t="shared" ref="I65" si="19">SUM(I59:I64)</f>
        <v>325.32</v>
      </c>
    </row>
    <row r="66" spans="1:9" x14ac:dyDescent="0.25">
      <c r="A66" s="27" t="s">
        <v>14</v>
      </c>
      <c r="B66" s="12" t="s">
        <v>37</v>
      </c>
      <c r="C66" s="13">
        <v>74</v>
      </c>
      <c r="D66" s="13">
        <v>240.5</v>
      </c>
      <c r="E66" s="13"/>
      <c r="F66" s="13">
        <f>606.06+546.12+310.8+328.56+603.84+716.37</f>
        <v>3111.7499999999995</v>
      </c>
      <c r="G66" s="13">
        <v>309.32</v>
      </c>
      <c r="H66" s="13"/>
      <c r="I66" s="13">
        <v>313.76</v>
      </c>
    </row>
    <row r="67" spans="1:9" x14ac:dyDescent="0.25">
      <c r="A67" s="29"/>
      <c r="B67" s="12" t="s">
        <v>38</v>
      </c>
      <c r="C67" s="13">
        <v>74</v>
      </c>
      <c r="D67" s="13"/>
      <c r="E67" s="13"/>
      <c r="F67" s="13"/>
      <c r="G67" s="13">
        <v>2225.92</v>
      </c>
      <c r="H67" s="13"/>
      <c r="I67" s="13"/>
    </row>
    <row r="68" spans="1:9" x14ac:dyDescent="0.25">
      <c r="A68" s="29"/>
      <c r="B68" s="12" t="s">
        <v>39</v>
      </c>
      <c r="C68" s="13">
        <v>4</v>
      </c>
      <c r="D68" s="13">
        <v>10.8</v>
      </c>
      <c r="E68" s="13"/>
      <c r="F68" s="13">
        <f>52.8+23.76+21.76+36.28</f>
        <v>134.60000000000002</v>
      </c>
      <c r="G68" s="13"/>
      <c r="H68" s="13"/>
      <c r="I68" s="13"/>
    </row>
    <row r="69" spans="1:9" x14ac:dyDescent="0.25">
      <c r="A69" s="29"/>
      <c r="B69" s="12" t="s">
        <v>40</v>
      </c>
      <c r="C69" s="13">
        <v>8</v>
      </c>
      <c r="D69" s="13">
        <v>13.6</v>
      </c>
      <c r="E69" s="13"/>
      <c r="F69" s="13">
        <f>77.6+27.52+43.52+41.96</f>
        <v>190.6</v>
      </c>
      <c r="G69" s="13"/>
      <c r="H69" s="13"/>
      <c r="I69" s="13"/>
    </row>
    <row r="70" spans="1:9" x14ac:dyDescent="0.25">
      <c r="A70" s="29"/>
      <c r="B70" s="12" t="s">
        <v>44</v>
      </c>
      <c r="C70" s="13">
        <v>2</v>
      </c>
      <c r="D70" s="13">
        <v>8.8000000000000007</v>
      </c>
      <c r="E70" s="13"/>
      <c r="F70" s="13">
        <f>20.72+22.14+10.88+13.32+27.2+19.36</f>
        <v>113.62</v>
      </c>
      <c r="G70" s="13"/>
      <c r="H70" s="13"/>
      <c r="I70" s="13">
        <v>11.56</v>
      </c>
    </row>
    <row r="71" spans="1:9" x14ac:dyDescent="0.25">
      <c r="A71" s="28"/>
      <c r="B71" s="12" t="s">
        <v>41</v>
      </c>
      <c r="C71" s="13"/>
      <c r="D71" s="13">
        <v>571.20000000000005</v>
      </c>
      <c r="E71" s="13"/>
      <c r="F71" s="13">
        <f>2171.84+1875.2+550+1760+1584.46+9758.4+1021.44+887.68+55.5+33.28</f>
        <v>19697.8</v>
      </c>
      <c r="G71" s="13">
        <v>2717.28</v>
      </c>
      <c r="H71" s="13"/>
      <c r="I71" s="13"/>
    </row>
    <row r="72" spans="1:9" x14ac:dyDescent="0.25">
      <c r="A72" s="14"/>
      <c r="B72" s="25" t="s">
        <v>32</v>
      </c>
      <c r="C72" s="26"/>
      <c r="D72" s="15">
        <f>SUM(D66:D71)</f>
        <v>844.90000000000009</v>
      </c>
      <c r="E72" s="15">
        <f t="shared" ref="E72" si="20">SUM(E66:E71)</f>
        <v>0</v>
      </c>
      <c r="F72" s="15">
        <f t="shared" ref="F72" si="21">SUM(F66:F71)</f>
        <v>23248.37</v>
      </c>
      <c r="G72" s="15">
        <f t="shared" ref="G72" si="22">SUM(G66:G71)</f>
        <v>5252.52</v>
      </c>
      <c r="H72" s="15">
        <f t="shared" ref="H72" si="23">SUM(H66:H71)</f>
        <v>0</v>
      </c>
      <c r="I72" s="15">
        <f t="shared" ref="I72" si="24">SUM(I66:I71)</f>
        <v>325.32</v>
      </c>
    </row>
    <row r="73" spans="1:9" x14ac:dyDescent="0.25">
      <c r="A73" s="27" t="s">
        <v>15</v>
      </c>
      <c r="B73" s="12" t="s">
        <v>37</v>
      </c>
      <c r="C73" s="13">
        <v>78</v>
      </c>
      <c r="D73" s="13">
        <v>288.60000000000002</v>
      </c>
      <c r="E73" s="13"/>
      <c r="F73" s="13">
        <f>671.58+608.4+259.74+365.04+742.56+810.92</f>
        <v>3458.24</v>
      </c>
      <c r="G73" s="13">
        <v>326.04000000000002</v>
      </c>
      <c r="H73" s="13"/>
      <c r="I73" s="13">
        <v>330.72</v>
      </c>
    </row>
    <row r="74" spans="1:9" x14ac:dyDescent="0.25">
      <c r="A74" s="29"/>
      <c r="B74" s="12" t="s">
        <v>38</v>
      </c>
      <c r="C74" s="13">
        <v>76</v>
      </c>
      <c r="D74" s="13"/>
      <c r="E74" s="13"/>
      <c r="F74" s="13"/>
      <c r="G74" s="13">
        <v>2286.08</v>
      </c>
      <c r="H74" s="13"/>
      <c r="I74" s="13"/>
    </row>
    <row r="75" spans="1:9" x14ac:dyDescent="0.25">
      <c r="A75" s="29"/>
      <c r="B75" s="12" t="s">
        <v>39</v>
      </c>
      <c r="C75" s="13">
        <v>4</v>
      </c>
      <c r="D75" s="13">
        <v>10.8</v>
      </c>
      <c r="E75" s="13"/>
      <c r="F75" s="13">
        <f>52.8+23.76+21.76+36.28</f>
        <v>134.60000000000002</v>
      </c>
      <c r="G75" s="13"/>
      <c r="H75" s="13"/>
      <c r="I75" s="13"/>
    </row>
    <row r="76" spans="1:9" x14ac:dyDescent="0.25">
      <c r="A76" s="29"/>
      <c r="B76" s="12" t="s">
        <v>40</v>
      </c>
      <c r="C76" s="13">
        <v>8</v>
      </c>
      <c r="D76" s="13">
        <v>13.6</v>
      </c>
      <c r="E76" s="13"/>
      <c r="F76" s="13">
        <f>77.6+27.52+43.52+41.96</f>
        <v>190.6</v>
      </c>
      <c r="G76" s="13"/>
      <c r="H76" s="13"/>
      <c r="I76" s="13"/>
    </row>
    <row r="77" spans="1:9" x14ac:dyDescent="0.25">
      <c r="A77" s="29"/>
      <c r="B77" s="12" t="s">
        <v>44</v>
      </c>
      <c r="C77" s="13">
        <v>2</v>
      </c>
      <c r="D77" s="13">
        <v>8.8000000000000007</v>
      </c>
      <c r="E77" s="13"/>
      <c r="F77" s="13">
        <f>20.72+22.14+10.88+13.32+27.2+19.36</f>
        <v>113.62</v>
      </c>
      <c r="G77" s="13">
        <v>12.54</v>
      </c>
      <c r="H77" s="13"/>
      <c r="I77" s="13">
        <v>11.56</v>
      </c>
    </row>
    <row r="78" spans="1:9" x14ac:dyDescent="0.25">
      <c r="A78" s="28"/>
      <c r="B78" s="12" t="s">
        <v>41</v>
      </c>
      <c r="C78" s="13"/>
      <c r="D78" s="13">
        <v>604.79999999999995</v>
      </c>
      <c r="E78" s="13"/>
      <c r="F78" s="13">
        <f>2290.24+1971.2+580+1856+1717.72+10579.2+1133.44+981.12+37.7+7158.74</f>
        <v>28305.360000000001</v>
      </c>
      <c r="G78" s="13">
        <v>2877.12</v>
      </c>
      <c r="H78" s="13"/>
      <c r="I78" s="13"/>
    </row>
    <row r="79" spans="1:9" x14ac:dyDescent="0.25">
      <c r="A79" s="14"/>
      <c r="B79" s="25" t="s">
        <v>32</v>
      </c>
      <c r="C79" s="26"/>
      <c r="D79" s="15">
        <f>SUM(D73:D78)</f>
        <v>926.6</v>
      </c>
      <c r="E79" s="15">
        <f t="shared" ref="E79" si="25">SUM(E73:E78)</f>
        <v>0</v>
      </c>
      <c r="F79" s="15">
        <f t="shared" ref="F79" si="26">SUM(F73:F78)</f>
        <v>32202.42</v>
      </c>
      <c r="G79" s="15">
        <f t="shared" ref="G79" si="27">SUM(G73:G78)</f>
        <v>5501.78</v>
      </c>
      <c r="H79" s="15">
        <f t="shared" ref="H79" si="28">SUM(H73:H78)</f>
        <v>0</v>
      </c>
      <c r="I79" s="15">
        <f t="shared" ref="I79" si="29">SUM(I73:I78)</f>
        <v>342.28000000000003</v>
      </c>
    </row>
    <row r="80" spans="1:9" x14ac:dyDescent="0.25">
      <c r="A80" s="27" t="s">
        <v>16</v>
      </c>
      <c r="B80" s="12" t="s">
        <v>37</v>
      </c>
      <c r="C80" s="13">
        <v>78</v>
      </c>
      <c r="D80" s="13">
        <v>288.60000000000002</v>
      </c>
      <c r="E80" s="13"/>
      <c r="F80" s="13">
        <f>671.58+608.4+259.74+365.04+742.56+810.92</f>
        <v>3458.24</v>
      </c>
      <c r="G80" s="13">
        <v>326.04000000000002</v>
      </c>
      <c r="H80" s="13"/>
      <c r="I80" s="13">
        <v>330.72</v>
      </c>
    </row>
    <row r="81" spans="1:9" x14ac:dyDescent="0.25">
      <c r="A81" s="29"/>
      <c r="B81" s="12" t="s">
        <v>38</v>
      </c>
      <c r="C81" s="13">
        <v>76</v>
      </c>
      <c r="D81" s="13"/>
      <c r="E81" s="13"/>
      <c r="F81" s="13"/>
      <c r="G81" s="13">
        <v>2286.08</v>
      </c>
      <c r="H81" s="13"/>
      <c r="I81" s="13"/>
    </row>
    <row r="82" spans="1:9" x14ac:dyDescent="0.25">
      <c r="A82" s="29"/>
      <c r="B82" s="12" t="s">
        <v>39</v>
      </c>
      <c r="C82" s="13">
        <v>4</v>
      </c>
      <c r="D82" s="13">
        <v>10.8</v>
      </c>
      <c r="E82" s="13"/>
      <c r="F82" s="13">
        <f>52.8+23.76+21.76+36.28</f>
        <v>134.60000000000002</v>
      </c>
      <c r="G82" s="13"/>
      <c r="H82" s="13"/>
      <c r="I82" s="13"/>
    </row>
    <row r="83" spans="1:9" x14ac:dyDescent="0.25">
      <c r="A83" s="29"/>
      <c r="B83" s="12" t="s">
        <v>40</v>
      </c>
      <c r="C83" s="13">
        <v>8</v>
      </c>
      <c r="D83" s="13">
        <v>13.6</v>
      </c>
      <c r="E83" s="13"/>
      <c r="F83" s="13">
        <f>77.6+27.52+43.52+41.96</f>
        <v>190.6</v>
      </c>
      <c r="G83" s="13"/>
      <c r="H83" s="13"/>
      <c r="I83" s="13"/>
    </row>
    <row r="84" spans="1:9" x14ac:dyDescent="0.25">
      <c r="A84" s="29"/>
      <c r="B84" s="12" t="s">
        <v>44</v>
      </c>
      <c r="C84" s="13">
        <v>2</v>
      </c>
      <c r="D84" s="13">
        <v>8.8000000000000007</v>
      </c>
      <c r="E84" s="13"/>
      <c r="F84" s="13">
        <f>20.72+22.14+10.88+13.32+27.2+19.36</f>
        <v>113.62</v>
      </c>
      <c r="G84" s="13">
        <v>12.54</v>
      </c>
      <c r="H84" s="13"/>
      <c r="I84" s="13">
        <v>11.56</v>
      </c>
    </row>
    <row r="85" spans="1:9" x14ac:dyDescent="0.25">
      <c r="A85" s="28"/>
      <c r="B85" s="12" t="s">
        <v>41</v>
      </c>
      <c r="C85" s="13"/>
      <c r="D85" s="13">
        <v>604.79999999999995</v>
      </c>
      <c r="E85" s="13"/>
      <c r="F85" s="13">
        <f>2290.24+1971.2+580+1856+1717.72+10579.2+1133.44+981.12+37.7+7158.74</f>
        <v>28305.360000000001</v>
      </c>
      <c r="G85" s="13">
        <v>2877.12</v>
      </c>
      <c r="H85" s="13"/>
      <c r="I85" s="13"/>
    </row>
    <row r="86" spans="1:9" x14ac:dyDescent="0.25">
      <c r="A86" s="14"/>
      <c r="B86" s="25" t="s">
        <v>32</v>
      </c>
      <c r="C86" s="26"/>
      <c r="D86" s="15">
        <f>SUM(D80:D85)</f>
        <v>926.6</v>
      </c>
      <c r="E86" s="15">
        <f t="shared" ref="E86" si="30">SUM(E80:E85)</f>
        <v>0</v>
      </c>
      <c r="F86" s="15">
        <f t="shared" ref="F86" si="31">SUM(F80:F85)</f>
        <v>32202.42</v>
      </c>
      <c r="G86" s="15">
        <f t="shared" ref="G86" si="32">SUM(G80:G85)</f>
        <v>5501.78</v>
      </c>
      <c r="H86" s="15">
        <f t="shared" ref="H86" si="33">SUM(H80:H85)</f>
        <v>0</v>
      </c>
      <c r="I86" s="15">
        <f t="shared" ref="I86" si="34">SUM(I80:I85)</f>
        <v>342.28000000000003</v>
      </c>
    </row>
    <row r="87" spans="1:9" x14ac:dyDescent="0.25">
      <c r="A87" s="27" t="s">
        <v>17</v>
      </c>
      <c r="B87" s="12" t="s">
        <v>37</v>
      </c>
      <c r="C87" s="13">
        <v>8</v>
      </c>
      <c r="D87" s="13">
        <v>26.8</v>
      </c>
      <c r="E87" s="13"/>
      <c r="F87" s="13">
        <f>62.16+62.4+39.6+28.08+65.28+111.8</f>
        <v>369.32</v>
      </c>
      <c r="G87" s="13"/>
      <c r="H87" s="13"/>
      <c r="I87" s="13"/>
    </row>
    <row r="88" spans="1:9" x14ac:dyDescent="0.25">
      <c r="A88" s="28"/>
      <c r="B88" s="12" t="s">
        <v>41</v>
      </c>
      <c r="C88" s="13"/>
      <c r="D88" s="13">
        <v>99.28</v>
      </c>
      <c r="E88" s="13">
        <v>7.92</v>
      </c>
      <c r="F88" s="13">
        <v>617.62</v>
      </c>
      <c r="G88" s="13">
        <v>320.60000000000002</v>
      </c>
      <c r="H88" s="13"/>
      <c r="I88" s="13"/>
    </row>
    <row r="89" spans="1:9" x14ac:dyDescent="0.25">
      <c r="A89" s="14"/>
      <c r="B89" s="25" t="s">
        <v>32</v>
      </c>
      <c r="C89" s="26"/>
      <c r="D89" s="15">
        <f>SUM(D87:D88)</f>
        <v>126.08</v>
      </c>
      <c r="E89" s="15">
        <f t="shared" ref="E89:I89" si="35">SUM(E87:E88)</f>
        <v>7.92</v>
      </c>
      <c r="F89" s="15">
        <f t="shared" si="35"/>
        <v>986.94</v>
      </c>
      <c r="G89" s="15">
        <f t="shared" si="35"/>
        <v>320.60000000000002</v>
      </c>
      <c r="H89" s="15">
        <f t="shared" si="35"/>
        <v>0</v>
      </c>
      <c r="I89" s="15">
        <f t="shared" si="35"/>
        <v>0</v>
      </c>
    </row>
    <row r="90" spans="1:9" x14ac:dyDescent="0.25">
      <c r="A90" s="27" t="s">
        <v>18</v>
      </c>
      <c r="B90" s="12" t="s">
        <v>37</v>
      </c>
      <c r="C90" s="13">
        <v>8</v>
      </c>
      <c r="D90" s="13">
        <v>26.8</v>
      </c>
      <c r="E90" s="13"/>
      <c r="F90" s="13">
        <f>62.16+62.4+39.6+28.08+65.28+111.8</f>
        <v>369.32</v>
      </c>
      <c r="G90" s="13"/>
      <c r="H90" s="13"/>
      <c r="I90" s="13"/>
    </row>
    <row r="91" spans="1:9" x14ac:dyDescent="0.25">
      <c r="A91" s="28"/>
      <c r="B91" s="12" t="s">
        <v>41</v>
      </c>
      <c r="C91" s="13"/>
      <c r="D91" s="13">
        <v>99.28</v>
      </c>
      <c r="E91" s="13">
        <v>7.92</v>
      </c>
      <c r="F91" s="13">
        <v>617.62</v>
      </c>
      <c r="G91" s="13">
        <v>320.60000000000002</v>
      </c>
      <c r="H91" s="13"/>
      <c r="I91" s="13"/>
    </row>
    <row r="92" spans="1:9" x14ac:dyDescent="0.25">
      <c r="A92" s="14"/>
      <c r="B92" s="25" t="s">
        <v>32</v>
      </c>
      <c r="C92" s="26"/>
      <c r="D92" s="15">
        <f>SUM(D90:D91)</f>
        <v>126.08</v>
      </c>
      <c r="E92" s="15">
        <f t="shared" ref="E92" si="36">SUM(E90:E91)</f>
        <v>7.92</v>
      </c>
      <c r="F92" s="15">
        <f t="shared" ref="F92" si="37">SUM(F90:F91)</f>
        <v>986.94</v>
      </c>
      <c r="G92" s="15">
        <f t="shared" ref="G92" si="38">SUM(G90:G91)</f>
        <v>320.60000000000002</v>
      </c>
      <c r="H92" s="15">
        <f t="shared" ref="H92" si="39">SUM(H90:H91)</f>
        <v>0</v>
      </c>
      <c r="I92" s="15">
        <f t="shared" ref="I92" si="40">SUM(I90:I91)</f>
        <v>0</v>
      </c>
    </row>
    <row r="93" spans="1:9" x14ac:dyDescent="0.25">
      <c r="A93" s="27" t="s">
        <v>19</v>
      </c>
      <c r="B93" s="12" t="s">
        <v>37</v>
      </c>
      <c r="C93" s="13">
        <v>8</v>
      </c>
      <c r="D93" s="13">
        <v>26.8</v>
      </c>
      <c r="E93" s="13"/>
      <c r="F93" s="13">
        <f>62.16+62.4+39.6+28.08+65.28+111.8</f>
        <v>369.32</v>
      </c>
      <c r="G93" s="13"/>
      <c r="H93" s="13"/>
      <c r="I93" s="13"/>
    </row>
    <row r="94" spans="1:9" x14ac:dyDescent="0.25">
      <c r="A94" s="28"/>
      <c r="B94" s="12" t="s">
        <v>41</v>
      </c>
      <c r="C94" s="13"/>
      <c r="D94" s="13">
        <v>99.28</v>
      </c>
      <c r="E94" s="13">
        <v>7.92</v>
      </c>
      <c r="F94" s="13">
        <v>617.62</v>
      </c>
      <c r="G94" s="13">
        <v>320.60000000000002</v>
      </c>
      <c r="H94" s="13"/>
      <c r="I94" s="13"/>
    </row>
    <row r="95" spans="1:9" x14ac:dyDescent="0.25">
      <c r="A95" s="14"/>
      <c r="B95" s="25" t="s">
        <v>32</v>
      </c>
      <c r="C95" s="26"/>
      <c r="D95" s="15">
        <f>SUM(D93:D94)</f>
        <v>126.08</v>
      </c>
      <c r="E95" s="15">
        <f t="shared" ref="E95" si="41">SUM(E93:E94)</f>
        <v>7.92</v>
      </c>
      <c r="F95" s="15">
        <f t="shared" ref="F95" si="42">SUM(F93:F94)</f>
        <v>986.94</v>
      </c>
      <c r="G95" s="15">
        <f t="shared" ref="G95" si="43">SUM(G93:G94)</f>
        <v>320.60000000000002</v>
      </c>
      <c r="H95" s="15">
        <f t="shared" ref="H95" si="44">SUM(H93:H94)</f>
        <v>0</v>
      </c>
      <c r="I95" s="15">
        <f t="shared" ref="I95" si="45">SUM(I93:I94)</f>
        <v>0</v>
      </c>
    </row>
    <row r="96" spans="1:9" x14ac:dyDescent="0.25">
      <c r="A96" s="27" t="s">
        <v>20</v>
      </c>
      <c r="B96" s="12" t="s">
        <v>37</v>
      </c>
      <c r="C96" s="13">
        <v>8</v>
      </c>
      <c r="D96" s="13">
        <v>26.8</v>
      </c>
      <c r="E96" s="13"/>
      <c r="F96" s="13">
        <f>62.16+62.4+39.6+28.08+65.28+111.8</f>
        <v>369.32</v>
      </c>
      <c r="G96" s="13"/>
      <c r="H96" s="13"/>
      <c r="I96" s="13"/>
    </row>
    <row r="97" spans="1:9" x14ac:dyDescent="0.25">
      <c r="A97" s="28"/>
      <c r="B97" s="12" t="s">
        <v>41</v>
      </c>
      <c r="C97" s="13"/>
      <c r="D97" s="13">
        <v>99.28</v>
      </c>
      <c r="E97" s="13">
        <v>7.92</v>
      </c>
      <c r="F97" s="13">
        <v>617.62</v>
      </c>
      <c r="G97" s="13">
        <v>320.60000000000002</v>
      </c>
      <c r="H97" s="13"/>
      <c r="I97" s="13"/>
    </row>
    <row r="98" spans="1:9" x14ac:dyDescent="0.25">
      <c r="A98" s="14"/>
      <c r="B98" s="25" t="s">
        <v>32</v>
      </c>
      <c r="C98" s="26"/>
      <c r="D98" s="15">
        <f>SUM(D96:D97)</f>
        <v>126.08</v>
      </c>
      <c r="E98" s="15">
        <f t="shared" ref="E98" si="46">SUM(E96:E97)</f>
        <v>7.92</v>
      </c>
      <c r="F98" s="15">
        <f t="shared" ref="F98" si="47">SUM(F96:F97)</f>
        <v>986.94</v>
      </c>
      <c r="G98" s="15">
        <f t="shared" ref="G98" si="48">SUM(G96:G97)</f>
        <v>320.60000000000002</v>
      </c>
      <c r="H98" s="15">
        <f t="shared" ref="H98" si="49">SUM(H96:H97)</f>
        <v>0</v>
      </c>
      <c r="I98" s="15">
        <f t="shared" ref="I98" si="50">SUM(I96:I97)</f>
        <v>0</v>
      </c>
    </row>
    <row r="99" spans="1:9" x14ac:dyDescent="0.25">
      <c r="A99" s="27" t="s">
        <v>21</v>
      </c>
      <c r="B99" s="12" t="s">
        <v>37</v>
      </c>
      <c r="C99" s="13">
        <v>8</v>
      </c>
      <c r="D99" s="13">
        <v>26.8</v>
      </c>
      <c r="E99" s="13"/>
      <c r="F99" s="13">
        <f>62.16+62.4+39.6+28.08+65.28+111.8</f>
        <v>369.32</v>
      </c>
      <c r="G99" s="13"/>
      <c r="H99" s="13"/>
      <c r="I99" s="13"/>
    </row>
    <row r="100" spans="1:9" x14ac:dyDescent="0.25">
      <c r="A100" s="28"/>
      <c r="B100" s="12" t="s">
        <v>41</v>
      </c>
      <c r="C100" s="13"/>
      <c r="D100" s="13">
        <v>99.28</v>
      </c>
      <c r="E100" s="13">
        <v>7.92</v>
      </c>
      <c r="F100" s="13">
        <v>617.62</v>
      </c>
      <c r="G100" s="13">
        <v>320.60000000000002</v>
      </c>
      <c r="H100" s="13"/>
      <c r="I100" s="13"/>
    </row>
    <row r="101" spans="1:9" x14ac:dyDescent="0.25">
      <c r="A101" s="12"/>
      <c r="B101" s="25" t="s">
        <v>32</v>
      </c>
      <c r="C101" s="26"/>
      <c r="D101" s="15">
        <f>SUM(D99:D100)</f>
        <v>126.08</v>
      </c>
      <c r="E101" s="15">
        <f t="shared" ref="E101" si="51">SUM(E99:E100)</f>
        <v>7.92</v>
      </c>
      <c r="F101" s="15">
        <f t="shared" ref="F101" si="52">SUM(F99:F100)</f>
        <v>986.94</v>
      </c>
      <c r="G101" s="15">
        <f t="shared" ref="G101" si="53">SUM(G99:G100)</f>
        <v>320.60000000000002</v>
      </c>
      <c r="H101" s="15">
        <f t="shared" ref="H101" si="54">SUM(H99:H100)</f>
        <v>0</v>
      </c>
      <c r="I101" s="15">
        <f t="shared" ref="I101" si="55">SUM(I99:I100)</f>
        <v>0</v>
      </c>
    </row>
    <row r="102" spans="1:9" x14ac:dyDescent="0.25">
      <c r="A102" s="12"/>
      <c r="B102" s="12"/>
      <c r="C102" s="13"/>
      <c r="D102" s="13"/>
      <c r="E102" s="13"/>
      <c r="F102" s="13"/>
      <c r="G102" s="13"/>
      <c r="H102" s="13"/>
      <c r="I102" s="13"/>
    </row>
    <row r="103" spans="1:9" x14ac:dyDescent="0.25">
      <c r="A103" s="12"/>
      <c r="B103" s="12"/>
      <c r="C103" s="13"/>
      <c r="D103" s="13"/>
      <c r="E103" s="13"/>
      <c r="F103" s="13"/>
      <c r="G103" s="13"/>
      <c r="H103" s="13"/>
      <c r="I103" s="13"/>
    </row>
    <row r="104" spans="1:9" x14ac:dyDescent="0.25">
      <c r="A104" s="12"/>
      <c r="B104" s="12"/>
      <c r="C104" s="13"/>
      <c r="D104" s="13"/>
      <c r="E104" s="13"/>
      <c r="F104" s="13"/>
      <c r="G104" s="13"/>
      <c r="H104" s="13"/>
      <c r="I104" s="13"/>
    </row>
  </sheetData>
  <mergeCells count="32">
    <mergeCell ref="A99:A100"/>
    <mergeCell ref="A4:A21"/>
    <mergeCell ref="A59:A64"/>
    <mergeCell ref="A66:A71"/>
    <mergeCell ref="A73:A78"/>
    <mergeCell ref="A80:A85"/>
    <mergeCell ref="A23:A27"/>
    <mergeCell ref="A29:A33"/>
    <mergeCell ref="A35:A39"/>
    <mergeCell ref="A41:A45"/>
    <mergeCell ref="A47:A51"/>
    <mergeCell ref="A53:A57"/>
    <mergeCell ref="B52:C52"/>
    <mergeCell ref="A87:A88"/>
    <mergeCell ref="A90:A91"/>
    <mergeCell ref="A93:A94"/>
    <mergeCell ref="A96:A97"/>
    <mergeCell ref="B58:C58"/>
    <mergeCell ref="B22:C22"/>
    <mergeCell ref="B28:C28"/>
    <mergeCell ref="B34:C34"/>
    <mergeCell ref="B40:C40"/>
    <mergeCell ref="B46:C46"/>
    <mergeCell ref="B101:C101"/>
    <mergeCell ref="B65:C65"/>
    <mergeCell ref="B72:C72"/>
    <mergeCell ref="B79:C79"/>
    <mergeCell ref="B86:C86"/>
    <mergeCell ref="B89:C89"/>
    <mergeCell ref="B92:C92"/>
    <mergeCell ref="B95:C95"/>
    <mergeCell ref="B98:C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2024-02-02T04:52:13Z</dcterms:modified>
</cp:coreProperties>
</file>