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I:\STZ\Бюджет 2023\21.1 -16-17-18-20-21 общая по объектам !!!!!!!!!!!!!!!!!!!!!!!!!!!!!!!!!!!!!!!!!!!!\ТЗ\Приложения №8-12 ЭО№№4-4,4\"/>
    </mc:Choice>
  </mc:AlternateContent>
  <xr:revisionPtr revIDLastSave="0" documentId="13_ncr:1_{E6B94628-165D-4E3B-B54B-1A756593F111}" xr6:coauthVersionLast="36" xr6:coauthVersionMax="36" xr10:uidLastSave="{00000000-0000-0000-0000-000000000000}"/>
  <bookViews>
    <workbookView xWindow="0" yWindow="0" windowWidth="21570" windowHeight="10215" activeTab="1" xr2:uid="{00000000-000D-0000-FFFF-FFFF00000000}"/>
  </bookViews>
  <sheets>
    <sheet name="Смета 10 гр. по ФЕР" sheetId="6" r:id="rId1"/>
    <sheet name="Смета 12 гр. по ФЕР" sheetId="7" r:id="rId2"/>
    <sheet name="Source" sheetId="1" r:id="rId3"/>
    <sheet name="SourceObSm" sheetId="2" r:id="rId4"/>
    <sheet name="SmtRes" sheetId="3" r:id="rId5"/>
    <sheet name="EtalonRes" sheetId="4" r:id="rId6"/>
    <sheet name="SrcKA" sheetId="5" r:id="rId7"/>
  </sheets>
  <definedNames>
    <definedName name="_xlnm.Print_Titles" localSheetId="0">'Смета 10 гр. по ФЕР'!$24:$24</definedName>
    <definedName name="_xlnm.Print_Titles" localSheetId="1">'Смета 12 гр. по ФЕР'!$24:$24</definedName>
    <definedName name="_xlnm.Print_Area" localSheetId="0">'Смета 10 гр. по ФЕР'!$A$1:$J$276</definedName>
    <definedName name="_xlnm.Print_Area" localSheetId="1">'Смета 12 гр. по ФЕР'!$A$1:$L$271</definedName>
  </definedNames>
  <calcPr calcId="191029" iterate="1"/>
</workbook>
</file>

<file path=xl/calcChain.xml><?xml version="1.0" encoding="utf-8"?>
<calcChain xmlns="http://schemas.openxmlformats.org/spreadsheetml/2006/main">
  <c r="K267" i="7" l="1"/>
  <c r="K266" i="7"/>
  <c r="K265" i="7"/>
  <c r="I16" i="7" l="1"/>
  <c r="C264" i="7" l="1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Z238" i="7"/>
  <c r="Y238" i="7"/>
  <c r="X238" i="7"/>
  <c r="J237" i="7"/>
  <c r="G237" i="7"/>
  <c r="F237" i="7"/>
  <c r="D237" i="7"/>
  <c r="I237" i="7"/>
  <c r="B237" i="7"/>
  <c r="Z236" i="7"/>
  <c r="Y236" i="7"/>
  <c r="X236" i="7"/>
  <c r="J235" i="7"/>
  <c r="G235" i="7"/>
  <c r="F235" i="7"/>
  <c r="D235" i="7"/>
  <c r="I235" i="7"/>
  <c r="C235" i="7"/>
  <c r="B235" i="7"/>
  <c r="Z234" i="7"/>
  <c r="Y234" i="7"/>
  <c r="X234" i="7"/>
  <c r="J233" i="7"/>
  <c r="G233" i="7"/>
  <c r="F233" i="7"/>
  <c r="U233" i="7"/>
  <c r="S233" i="7"/>
  <c r="E233" i="7"/>
  <c r="D233" i="7"/>
  <c r="I233" i="7"/>
  <c r="C233" i="7"/>
  <c r="B233" i="7"/>
  <c r="A232" i="7"/>
  <c r="Z226" i="7"/>
  <c r="Y226" i="7"/>
  <c r="X226" i="7"/>
  <c r="J225" i="7"/>
  <c r="G225" i="7"/>
  <c r="F225" i="7"/>
  <c r="E225" i="7"/>
  <c r="D225" i="7"/>
  <c r="I225" i="7"/>
  <c r="B225" i="7"/>
  <c r="Z224" i="7"/>
  <c r="Y224" i="7"/>
  <c r="X224" i="7"/>
  <c r="G223" i="7"/>
  <c r="E223" i="7"/>
  <c r="J222" i="7"/>
  <c r="F222" i="7"/>
  <c r="E222" i="7"/>
  <c r="J221" i="7"/>
  <c r="E221" i="7"/>
  <c r="J220" i="7"/>
  <c r="G220" i="7"/>
  <c r="F220" i="7"/>
  <c r="J219" i="7"/>
  <c r="G219" i="7"/>
  <c r="F219" i="7"/>
  <c r="J218" i="7"/>
  <c r="G218" i="7"/>
  <c r="F218" i="7"/>
  <c r="J217" i="7"/>
  <c r="G217" i="7"/>
  <c r="F217" i="7"/>
  <c r="F216" i="7"/>
  <c r="D216" i="7"/>
  <c r="I216" i="7"/>
  <c r="C216" i="7"/>
  <c r="B216" i="7"/>
  <c r="Z215" i="7"/>
  <c r="Y215" i="7"/>
  <c r="X215" i="7"/>
  <c r="J214" i="7"/>
  <c r="G214" i="7"/>
  <c r="F214" i="7"/>
  <c r="D214" i="7"/>
  <c r="I214" i="7"/>
  <c r="B214" i="7"/>
  <c r="Z213" i="7"/>
  <c r="Y213" i="7"/>
  <c r="X213" i="7"/>
  <c r="J212" i="7"/>
  <c r="Z212" i="7"/>
  <c r="Y212" i="7"/>
  <c r="X212" i="7"/>
  <c r="F212" i="7"/>
  <c r="D212" i="7"/>
  <c r="C212" i="7"/>
  <c r="B212" i="7"/>
  <c r="G211" i="7"/>
  <c r="E211" i="7"/>
  <c r="J210" i="7"/>
  <c r="F210" i="7"/>
  <c r="E210" i="7"/>
  <c r="J209" i="7"/>
  <c r="E209" i="7"/>
  <c r="J208" i="7"/>
  <c r="G208" i="7"/>
  <c r="F208" i="7"/>
  <c r="J207" i="7"/>
  <c r="G207" i="7"/>
  <c r="F207" i="7"/>
  <c r="J206" i="7"/>
  <c r="G206" i="7"/>
  <c r="F206" i="7"/>
  <c r="J205" i="7"/>
  <c r="G205" i="7"/>
  <c r="F205" i="7"/>
  <c r="F204" i="7"/>
  <c r="D204" i="7"/>
  <c r="I204" i="7"/>
  <c r="C204" i="7"/>
  <c r="B204" i="7"/>
  <c r="Z203" i="7"/>
  <c r="Y203" i="7"/>
  <c r="X203" i="7"/>
  <c r="G202" i="7"/>
  <c r="E202" i="7"/>
  <c r="J201" i="7"/>
  <c r="F201" i="7"/>
  <c r="E201" i="7"/>
  <c r="J200" i="7"/>
  <c r="E200" i="7"/>
  <c r="J199" i="7"/>
  <c r="G199" i="7"/>
  <c r="F199" i="7"/>
  <c r="J198" i="7"/>
  <c r="G198" i="7"/>
  <c r="F198" i="7"/>
  <c r="J197" i="7"/>
  <c r="G197" i="7"/>
  <c r="F197" i="7"/>
  <c r="J196" i="7"/>
  <c r="G196" i="7"/>
  <c r="F196" i="7"/>
  <c r="F195" i="7"/>
  <c r="D195" i="7"/>
  <c r="I195" i="7"/>
  <c r="C195" i="7"/>
  <c r="B195" i="7"/>
  <c r="Z194" i="7"/>
  <c r="Y194" i="7"/>
  <c r="X194" i="7"/>
  <c r="G193" i="7"/>
  <c r="E193" i="7"/>
  <c r="J192" i="7"/>
  <c r="F192" i="7"/>
  <c r="E192" i="7"/>
  <c r="J191" i="7"/>
  <c r="E191" i="7"/>
  <c r="J190" i="7"/>
  <c r="G190" i="7"/>
  <c r="F190" i="7"/>
  <c r="J189" i="7"/>
  <c r="G189" i="7"/>
  <c r="F189" i="7"/>
  <c r="F188" i="7"/>
  <c r="E188" i="7"/>
  <c r="D188" i="7"/>
  <c r="I188" i="7"/>
  <c r="C188" i="7"/>
  <c r="B188" i="7"/>
  <c r="Z187" i="7"/>
  <c r="Y187" i="7"/>
  <c r="X187" i="7"/>
  <c r="G186" i="7"/>
  <c r="E186" i="7"/>
  <c r="J185" i="7"/>
  <c r="F185" i="7"/>
  <c r="E185" i="7"/>
  <c r="J184" i="7"/>
  <c r="E184" i="7"/>
  <c r="J183" i="7"/>
  <c r="G183" i="7"/>
  <c r="F183" i="7"/>
  <c r="F182" i="7"/>
  <c r="E182" i="7"/>
  <c r="D182" i="7"/>
  <c r="I182" i="7"/>
  <c r="C182" i="7"/>
  <c r="B182" i="7"/>
  <c r="Z181" i="7"/>
  <c r="Y181" i="7"/>
  <c r="X181" i="7"/>
  <c r="J180" i="7"/>
  <c r="G180" i="7"/>
  <c r="F180" i="7"/>
  <c r="E180" i="7"/>
  <c r="D180" i="7"/>
  <c r="I180" i="7"/>
  <c r="B180" i="7"/>
  <c r="Z179" i="7"/>
  <c r="Y179" i="7"/>
  <c r="X179" i="7"/>
  <c r="G178" i="7"/>
  <c r="E178" i="7"/>
  <c r="J177" i="7"/>
  <c r="E177" i="7"/>
  <c r="J176" i="7"/>
  <c r="E176" i="7"/>
  <c r="J175" i="7"/>
  <c r="G175" i="7"/>
  <c r="F175" i="7"/>
  <c r="J174" i="7"/>
  <c r="G174" i="7"/>
  <c r="F174" i="7"/>
  <c r="J173" i="7"/>
  <c r="G173" i="7"/>
  <c r="F173" i="7"/>
  <c r="J172" i="7"/>
  <c r="G172" i="7"/>
  <c r="F172" i="7"/>
  <c r="F170" i="7"/>
  <c r="D170" i="7"/>
  <c r="I170" i="7"/>
  <c r="C170" i="7"/>
  <c r="B170" i="7"/>
  <c r="Z169" i="7"/>
  <c r="Y169" i="7"/>
  <c r="X169" i="7"/>
  <c r="J168" i="7"/>
  <c r="G168" i="7"/>
  <c r="F168" i="7"/>
  <c r="E168" i="7"/>
  <c r="D168" i="7"/>
  <c r="I168" i="7"/>
  <c r="B168" i="7"/>
  <c r="Z167" i="7"/>
  <c r="Y167" i="7"/>
  <c r="X167" i="7"/>
  <c r="G166" i="7"/>
  <c r="E166" i="7"/>
  <c r="J165" i="7"/>
  <c r="E165" i="7"/>
  <c r="J164" i="7"/>
  <c r="E164" i="7"/>
  <c r="J163" i="7"/>
  <c r="G163" i="7"/>
  <c r="F163" i="7"/>
  <c r="J162" i="7"/>
  <c r="G162" i="7"/>
  <c r="F162" i="7"/>
  <c r="J161" i="7"/>
  <c r="G161" i="7"/>
  <c r="F161" i="7"/>
  <c r="J160" i="7"/>
  <c r="G160" i="7"/>
  <c r="F160" i="7"/>
  <c r="F158" i="7"/>
  <c r="D158" i="7"/>
  <c r="I158" i="7"/>
  <c r="C158" i="7"/>
  <c r="B158" i="7"/>
  <c r="Z157" i="7"/>
  <c r="Y157" i="7"/>
  <c r="X157" i="7"/>
  <c r="J156" i="7"/>
  <c r="G156" i="7"/>
  <c r="F156" i="7"/>
  <c r="E156" i="7"/>
  <c r="D156" i="7"/>
  <c r="I156" i="7"/>
  <c r="B156" i="7"/>
  <c r="Z155" i="7"/>
  <c r="Y155" i="7"/>
  <c r="X155" i="7"/>
  <c r="J154" i="7"/>
  <c r="G154" i="7"/>
  <c r="F154" i="7"/>
  <c r="E154" i="7"/>
  <c r="D154" i="7"/>
  <c r="I154" i="7"/>
  <c r="B154" i="7"/>
  <c r="Z153" i="7"/>
  <c r="Y153" i="7"/>
  <c r="X153" i="7"/>
  <c r="G152" i="7"/>
  <c r="E152" i="7"/>
  <c r="J151" i="7"/>
  <c r="E151" i="7"/>
  <c r="J150" i="7"/>
  <c r="E150" i="7"/>
  <c r="J149" i="7"/>
  <c r="G149" i="7"/>
  <c r="F149" i="7"/>
  <c r="J148" i="7"/>
  <c r="G148" i="7"/>
  <c r="F148" i="7"/>
  <c r="J147" i="7"/>
  <c r="G147" i="7"/>
  <c r="F147" i="7"/>
  <c r="J146" i="7"/>
  <c r="G146" i="7"/>
  <c r="F146" i="7"/>
  <c r="F145" i="7"/>
  <c r="D145" i="7"/>
  <c r="I145" i="7"/>
  <c r="C145" i="7"/>
  <c r="B145" i="7"/>
  <c r="Z144" i="7"/>
  <c r="Y144" i="7"/>
  <c r="X144" i="7"/>
  <c r="J143" i="7"/>
  <c r="G143" i="7"/>
  <c r="F143" i="7"/>
  <c r="E143" i="7"/>
  <c r="D143" i="7"/>
  <c r="I143" i="7"/>
  <c r="B143" i="7"/>
  <c r="Z142" i="7"/>
  <c r="Y142" i="7"/>
  <c r="X142" i="7"/>
  <c r="G141" i="7"/>
  <c r="E141" i="7"/>
  <c r="J140" i="7"/>
  <c r="F140" i="7"/>
  <c r="E140" i="7"/>
  <c r="J139" i="7"/>
  <c r="E139" i="7"/>
  <c r="J138" i="7"/>
  <c r="G138" i="7"/>
  <c r="F138" i="7"/>
  <c r="J137" i="7"/>
  <c r="G137" i="7"/>
  <c r="F137" i="7"/>
  <c r="J136" i="7"/>
  <c r="G136" i="7"/>
  <c r="F136" i="7"/>
  <c r="J135" i="7"/>
  <c r="G135" i="7"/>
  <c r="F135" i="7"/>
  <c r="F134" i="7"/>
  <c r="D134" i="7"/>
  <c r="I134" i="7"/>
  <c r="C134" i="7"/>
  <c r="B134" i="7"/>
  <c r="Z133" i="7"/>
  <c r="Y133" i="7"/>
  <c r="X133" i="7"/>
  <c r="J132" i="7"/>
  <c r="G132" i="7"/>
  <c r="F132" i="7"/>
  <c r="E132" i="7"/>
  <c r="D132" i="7"/>
  <c r="I132" i="7"/>
  <c r="B132" i="7"/>
  <c r="Z131" i="7"/>
  <c r="Y131" i="7"/>
  <c r="X131" i="7"/>
  <c r="J130" i="7"/>
  <c r="G130" i="7"/>
  <c r="F130" i="7"/>
  <c r="D130" i="7"/>
  <c r="I130" i="7"/>
  <c r="B130" i="7"/>
  <c r="Z129" i="7"/>
  <c r="Y129" i="7"/>
  <c r="X129" i="7"/>
  <c r="J128" i="7"/>
  <c r="G128" i="7"/>
  <c r="F128" i="7"/>
  <c r="D128" i="7"/>
  <c r="I128" i="7"/>
  <c r="B128" i="7"/>
  <c r="Z127" i="7"/>
  <c r="Y127" i="7"/>
  <c r="X127" i="7"/>
  <c r="J126" i="7"/>
  <c r="G126" i="7"/>
  <c r="F126" i="7"/>
  <c r="D126" i="7"/>
  <c r="I126" i="7"/>
  <c r="B126" i="7"/>
  <c r="Z125" i="7"/>
  <c r="Y125" i="7"/>
  <c r="X125" i="7"/>
  <c r="G124" i="7"/>
  <c r="E124" i="7"/>
  <c r="J123" i="7"/>
  <c r="F123" i="7"/>
  <c r="E123" i="7"/>
  <c r="J122" i="7"/>
  <c r="E122" i="7"/>
  <c r="J121" i="7"/>
  <c r="G121" i="7"/>
  <c r="F121" i="7"/>
  <c r="J120" i="7"/>
  <c r="G120" i="7"/>
  <c r="F120" i="7"/>
  <c r="J119" i="7"/>
  <c r="G119" i="7"/>
  <c r="F119" i="7"/>
  <c r="J118" i="7"/>
  <c r="G118" i="7"/>
  <c r="F118" i="7"/>
  <c r="F117" i="7"/>
  <c r="D117" i="7"/>
  <c r="I117" i="7"/>
  <c r="C117" i="7"/>
  <c r="B117" i="7"/>
  <c r="Z116" i="7"/>
  <c r="Y116" i="7"/>
  <c r="X116" i="7"/>
  <c r="J115" i="7"/>
  <c r="G115" i="7"/>
  <c r="F115" i="7"/>
  <c r="E115" i="7"/>
  <c r="D115" i="7"/>
  <c r="I115" i="7"/>
  <c r="B115" i="7"/>
  <c r="Z114" i="7"/>
  <c r="Y114" i="7"/>
  <c r="X114" i="7"/>
  <c r="J113" i="7"/>
  <c r="Z113" i="7"/>
  <c r="Y113" i="7"/>
  <c r="X113" i="7"/>
  <c r="F113" i="7"/>
  <c r="D113" i="7"/>
  <c r="C113" i="7"/>
  <c r="B113" i="7"/>
  <c r="G112" i="7"/>
  <c r="E112" i="7"/>
  <c r="J111" i="7"/>
  <c r="F111" i="7"/>
  <c r="E111" i="7"/>
  <c r="J110" i="7"/>
  <c r="E110" i="7"/>
  <c r="J109" i="7"/>
  <c r="G109" i="7"/>
  <c r="F109" i="7"/>
  <c r="J108" i="7"/>
  <c r="G108" i="7"/>
  <c r="F108" i="7"/>
  <c r="J107" i="7"/>
  <c r="G107" i="7"/>
  <c r="F107" i="7"/>
  <c r="J106" i="7"/>
  <c r="G106" i="7"/>
  <c r="F106" i="7"/>
  <c r="F105" i="7"/>
  <c r="D105" i="7"/>
  <c r="I105" i="7"/>
  <c r="C105" i="7"/>
  <c r="B105" i="7"/>
  <c r="Z104" i="7"/>
  <c r="Y104" i="7"/>
  <c r="X104" i="7"/>
  <c r="J103" i="7"/>
  <c r="G103" i="7"/>
  <c r="F103" i="7"/>
  <c r="E103" i="7"/>
  <c r="D103" i="7"/>
  <c r="I103" i="7"/>
  <c r="B103" i="7"/>
  <c r="Z102" i="7"/>
  <c r="Y102" i="7"/>
  <c r="X102" i="7"/>
  <c r="G101" i="7"/>
  <c r="E101" i="7"/>
  <c r="J100" i="7"/>
  <c r="F100" i="7"/>
  <c r="E100" i="7"/>
  <c r="J99" i="7"/>
  <c r="E99" i="7"/>
  <c r="J98" i="7"/>
  <c r="G98" i="7"/>
  <c r="F98" i="7"/>
  <c r="J97" i="7"/>
  <c r="G97" i="7"/>
  <c r="F97" i="7"/>
  <c r="J96" i="7"/>
  <c r="G96" i="7"/>
  <c r="F96" i="7"/>
  <c r="F94" i="7"/>
  <c r="D94" i="7"/>
  <c r="I94" i="7"/>
  <c r="C94" i="7"/>
  <c r="B94" i="7"/>
  <c r="Z93" i="7"/>
  <c r="Y93" i="7"/>
  <c r="X93" i="7"/>
  <c r="J92" i="7"/>
  <c r="G92" i="7"/>
  <c r="F92" i="7"/>
  <c r="E92" i="7"/>
  <c r="D92" i="7"/>
  <c r="I92" i="7"/>
  <c r="B92" i="7"/>
  <c r="Z91" i="7"/>
  <c r="Y91" i="7"/>
  <c r="X91" i="7"/>
  <c r="G90" i="7"/>
  <c r="E90" i="7"/>
  <c r="J89" i="7"/>
  <c r="E89" i="7"/>
  <c r="J88" i="7"/>
  <c r="E88" i="7"/>
  <c r="J87" i="7"/>
  <c r="G87" i="7"/>
  <c r="F87" i="7"/>
  <c r="J86" i="7"/>
  <c r="G86" i="7"/>
  <c r="F86" i="7"/>
  <c r="J85" i="7"/>
  <c r="G85" i="7"/>
  <c r="F85" i="7"/>
  <c r="J84" i="7"/>
  <c r="G84" i="7"/>
  <c r="F84" i="7"/>
  <c r="F83" i="7"/>
  <c r="E83" i="7"/>
  <c r="D83" i="7"/>
  <c r="I83" i="7"/>
  <c r="C83" i="7"/>
  <c r="B83" i="7"/>
  <c r="Z82" i="7"/>
  <c r="Y82" i="7"/>
  <c r="X82" i="7"/>
  <c r="J81" i="7"/>
  <c r="G81" i="7"/>
  <c r="F81" i="7"/>
  <c r="E81" i="7"/>
  <c r="D81" i="7"/>
  <c r="I81" i="7"/>
  <c r="B81" i="7"/>
  <c r="Z80" i="7"/>
  <c r="Y80" i="7"/>
  <c r="X80" i="7"/>
  <c r="J79" i="7"/>
  <c r="G79" i="7"/>
  <c r="F79" i="7"/>
  <c r="E79" i="7"/>
  <c r="D79" i="7"/>
  <c r="I79" i="7"/>
  <c r="B79" i="7"/>
  <c r="Z78" i="7"/>
  <c r="Y78" i="7"/>
  <c r="X78" i="7"/>
  <c r="G77" i="7"/>
  <c r="E77" i="7"/>
  <c r="J76" i="7"/>
  <c r="F76" i="7"/>
  <c r="E76" i="7"/>
  <c r="J75" i="7"/>
  <c r="E75" i="7"/>
  <c r="J74" i="7"/>
  <c r="G74" i="7"/>
  <c r="F74" i="7"/>
  <c r="J73" i="7"/>
  <c r="G73" i="7"/>
  <c r="F73" i="7"/>
  <c r="J72" i="7"/>
  <c r="G72" i="7"/>
  <c r="F72" i="7"/>
  <c r="J71" i="7"/>
  <c r="G71" i="7"/>
  <c r="F71" i="7"/>
  <c r="F70" i="7"/>
  <c r="D70" i="7"/>
  <c r="I70" i="7"/>
  <c r="C70" i="7"/>
  <c r="B70" i="7"/>
  <c r="A69" i="7"/>
  <c r="Z63" i="7"/>
  <c r="Y63" i="7"/>
  <c r="X63" i="7"/>
  <c r="G62" i="7"/>
  <c r="E62" i="7"/>
  <c r="J61" i="7"/>
  <c r="E61" i="7"/>
  <c r="J60" i="7"/>
  <c r="E60" i="7"/>
  <c r="J59" i="7"/>
  <c r="G59" i="7"/>
  <c r="F59" i="7"/>
  <c r="J58" i="7"/>
  <c r="G58" i="7"/>
  <c r="F58" i="7"/>
  <c r="F56" i="7"/>
  <c r="D56" i="7"/>
  <c r="I56" i="7"/>
  <c r="C56" i="7"/>
  <c r="B56" i="7"/>
  <c r="Z55" i="7"/>
  <c r="Y55" i="7"/>
  <c r="X55" i="7"/>
  <c r="G54" i="7"/>
  <c r="E54" i="7"/>
  <c r="J53" i="7"/>
  <c r="F53" i="7"/>
  <c r="E53" i="7"/>
  <c r="J52" i="7"/>
  <c r="E52" i="7"/>
  <c r="J51" i="7"/>
  <c r="G51" i="7"/>
  <c r="F51" i="7"/>
  <c r="J50" i="7"/>
  <c r="G50" i="7"/>
  <c r="F50" i="7"/>
  <c r="F49" i="7"/>
  <c r="E49" i="7"/>
  <c r="D49" i="7"/>
  <c r="I49" i="7"/>
  <c r="C49" i="7"/>
  <c r="B49" i="7"/>
  <c r="Z48" i="7"/>
  <c r="Y48" i="7"/>
  <c r="X48" i="7"/>
  <c r="G47" i="7"/>
  <c r="E47" i="7"/>
  <c r="J46" i="7"/>
  <c r="E46" i="7"/>
  <c r="J45" i="7"/>
  <c r="E45" i="7"/>
  <c r="J44" i="7"/>
  <c r="G44" i="7"/>
  <c r="F44" i="7"/>
  <c r="F43" i="7"/>
  <c r="E43" i="7"/>
  <c r="D43" i="7"/>
  <c r="I43" i="7"/>
  <c r="C43" i="7"/>
  <c r="B43" i="7"/>
  <c r="Z42" i="7"/>
  <c r="Y42" i="7"/>
  <c r="X42" i="7"/>
  <c r="G41" i="7"/>
  <c r="E41" i="7"/>
  <c r="J40" i="7"/>
  <c r="E40" i="7"/>
  <c r="J39" i="7"/>
  <c r="E39" i="7"/>
  <c r="J38" i="7"/>
  <c r="G38" i="7"/>
  <c r="F38" i="7"/>
  <c r="J37" i="7"/>
  <c r="G37" i="7"/>
  <c r="F37" i="7"/>
  <c r="J36" i="7"/>
  <c r="G36" i="7"/>
  <c r="F36" i="7"/>
  <c r="F35" i="7"/>
  <c r="D35" i="7"/>
  <c r="I35" i="7"/>
  <c r="C35" i="7"/>
  <c r="B35" i="7"/>
  <c r="Z34" i="7"/>
  <c r="Y34" i="7"/>
  <c r="X34" i="7"/>
  <c r="G33" i="7"/>
  <c r="E33" i="7"/>
  <c r="J32" i="7"/>
  <c r="E32" i="7"/>
  <c r="J31" i="7"/>
  <c r="E31" i="7"/>
  <c r="J30" i="7"/>
  <c r="G30" i="7"/>
  <c r="F30" i="7"/>
  <c r="J29" i="7"/>
  <c r="G29" i="7"/>
  <c r="F29" i="7"/>
  <c r="J28" i="7"/>
  <c r="G28" i="7"/>
  <c r="F28" i="7"/>
  <c r="F27" i="7"/>
  <c r="D27" i="7"/>
  <c r="I27" i="7"/>
  <c r="C27" i="7"/>
  <c r="B27" i="7"/>
  <c r="A26" i="7"/>
  <c r="A1" i="7"/>
  <c r="H274" i="6"/>
  <c r="H271" i="6"/>
  <c r="C274" i="6"/>
  <c r="C271" i="6"/>
  <c r="C268" i="6"/>
  <c r="C267" i="6"/>
  <c r="C266" i="6"/>
  <c r="C265" i="6"/>
  <c r="C264" i="6"/>
  <c r="C263" i="6"/>
  <c r="C262" i="6"/>
  <c r="C261" i="6"/>
  <c r="C260" i="6"/>
  <c r="C259" i="6"/>
  <c r="C258" i="6"/>
  <c r="C257" i="6"/>
  <c r="C256" i="6"/>
  <c r="C255" i="6"/>
  <c r="C254" i="6"/>
  <c r="C253" i="6"/>
  <c r="C252" i="6"/>
  <c r="I239" i="6"/>
  <c r="G239" i="6"/>
  <c r="F239" i="6"/>
  <c r="D239" i="6"/>
  <c r="B239" i="6"/>
  <c r="I237" i="6"/>
  <c r="G237" i="6"/>
  <c r="F237" i="6"/>
  <c r="D237" i="6"/>
  <c r="C237" i="6"/>
  <c r="B237" i="6"/>
  <c r="I235" i="6"/>
  <c r="G235" i="6"/>
  <c r="F235" i="6"/>
  <c r="T235" i="6"/>
  <c r="R235" i="6"/>
  <c r="E235" i="6"/>
  <c r="D235" i="6"/>
  <c r="C235" i="6"/>
  <c r="B235" i="6"/>
  <c r="A234" i="6"/>
  <c r="I227" i="6"/>
  <c r="G227" i="6"/>
  <c r="F227" i="6"/>
  <c r="E227" i="6"/>
  <c r="D227" i="6"/>
  <c r="B227" i="6"/>
  <c r="G225" i="6"/>
  <c r="E225" i="6"/>
  <c r="I224" i="6"/>
  <c r="F224" i="6"/>
  <c r="E224" i="6"/>
  <c r="I223" i="6"/>
  <c r="E223" i="6"/>
  <c r="I222" i="6"/>
  <c r="G222" i="6"/>
  <c r="F222" i="6"/>
  <c r="I221" i="6"/>
  <c r="G221" i="6"/>
  <c r="F221" i="6"/>
  <c r="I220" i="6"/>
  <c r="G220" i="6"/>
  <c r="F220" i="6"/>
  <c r="I219" i="6"/>
  <c r="G219" i="6"/>
  <c r="F219" i="6"/>
  <c r="F218" i="6"/>
  <c r="D218" i="6"/>
  <c r="I218" i="6"/>
  <c r="C218" i="6"/>
  <c r="B218" i="6"/>
  <c r="I216" i="6"/>
  <c r="G216" i="6"/>
  <c r="F216" i="6"/>
  <c r="D216" i="6"/>
  <c r="B216" i="6"/>
  <c r="G214" i="6"/>
  <c r="E214" i="6"/>
  <c r="I213" i="6"/>
  <c r="F213" i="6"/>
  <c r="E213" i="6"/>
  <c r="I212" i="6"/>
  <c r="E212" i="6"/>
  <c r="I211" i="6"/>
  <c r="F211" i="6"/>
  <c r="D211" i="6"/>
  <c r="C211" i="6"/>
  <c r="B211" i="6"/>
  <c r="I210" i="6"/>
  <c r="G210" i="6"/>
  <c r="F210" i="6"/>
  <c r="I209" i="6"/>
  <c r="G209" i="6"/>
  <c r="F209" i="6"/>
  <c r="I208" i="6"/>
  <c r="G208" i="6"/>
  <c r="F208" i="6"/>
  <c r="I207" i="6"/>
  <c r="G207" i="6"/>
  <c r="F207" i="6"/>
  <c r="F206" i="6"/>
  <c r="D206" i="6"/>
  <c r="I206" i="6"/>
  <c r="C206" i="6"/>
  <c r="B206" i="6"/>
  <c r="G204" i="6"/>
  <c r="E204" i="6"/>
  <c r="I203" i="6"/>
  <c r="F203" i="6"/>
  <c r="E203" i="6"/>
  <c r="I202" i="6"/>
  <c r="E202" i="6"/>
  <c r="I201" i="6"/>
  <c r="G201" i="6"/>
  <c r="F201" i="6"/>
  <c r="I200" i="6"/>
  <c r="G200" i="6"/>
  <c r="F200" i="6"/>
  <c r="I199" i="6"/>
  <c r="G199" i="6"/>
  <c r="F199" i="6"/>
  <c r="I198" i="6"/>
  <c r="G198" i="6"/>
  <c r="F198" i="6"/>
  <c r="F197" i="6"/>
  <c r="D197" i="6"/>
  <c r="I197" i="6"/>
  <c r="C197" i="6"/>
  <c r="B197" i="6"/>
  <c r="G195" i="6"/>
  <c r="E195" i="6"/>
  <c r="I194" i="6"/>
  <c r="F194" i="6"/>
  <c r="E194" i="6"/>
  <c r="I193" i="6"/>
  <c r="E193" i="6"/>
  <c r="I192" i="6"/>
  <c r="G192" i="6"/>
  <c r="F192" i="6"/>
  <c r="I191" i="6"/>
  <c r="G191" i="6"/>
  <c r="F191" i="6"/>
  <c r="F190" i="6"/>
  <c r="E190" i="6"/>
  <c r="D190" i="6"/>
  <c r="I190" i="6"/>
  <c r="C190" i="6"/>
  <c r="B190" i="6"/>
  <c r="G188" i="6"/>
  <c r="E188" i="6"/>
  <c r="I187" i="6"/>
  <c r="F187" i="6"/>
  <c r="E187" i="6"/>
  <c r="I186" i="6"/>
  <c r="E186" i="6"/>
  <c r="I185" i="6"/>
  <c r="G185" i="6"/>
  <c r="F185" i="6"/>
  <c r="F184" i="6"/>
  <c r="E184" i="6"/>
  <c r="D184" i="6"/>
  <c r="I184" i="6"/>
  <c r="C184" i="6"/>
  <c r="B184" i="6"/>
  <c r="I182" i="6"/>
  <c r="G182" i="6"/>
  <c r="F182" i="6"/>
  <c r="E182" i="6"/>
  <c r="D182" i="6"/>
  <c r="B182" i="6"/>
  <c r="G180" i="6"/>
  <c r="E180" i="6"/>
  <c r="I179" i="6"/>
  <c r="E179" i="6"/>
  <c r="I178" i="6"/>
  <c r="E178" i="6"/>
  <c r="I177" i="6"/>
  <c r="G177" i="6"/>
  <c r="F177" i="6"/>
  <c r="I176" i="6"/>
  <c r="G176" i="6"/>
  <c r="F176" i="6"/>
  <c r="I175" i="6"/>
  <c r="G175" i="6"/>
  <c r="F175" i="6"/>
  <c r="I174" i="6"/>
  <c r="G174" i="6"/>
  <c r="F174" i="6"/>
  <c r="F172" i="6"/>
  <c r="D172" i="6"/>
  <c r="I172" i="6"/>
  <c r="C172" i="6"/>
  <c r="B172" i="6"/>
  <c r="I170" i="6"/>
  <c r="G170" i="6"/>
  <c r="F170" i="6"/>
  <c r="E170" i="6"/>
  <c r="D170" i="6"/>
  <c r="B170" i="6"/>
  <c r="G168" i="6"/>
  <c r="E168" i="6"/>
  <c r="I167" i="6"/>
  <c r="E167" i="6"/>
  <c r="I166" i="6"/>
  <c r="E166" i="6"/>
  <c r="I165" i="6"/>
  <c r="G165" i="6"/>
  <c r="F165" i="6"/>
  <c r="I164" i="6"/>
  <c r="G164" i="6"/>
  <c r="F164" i="6"/>
  <c r="I163" i="6"/>
  <c r="G163" i="6"/>
  <c r="F163" i="6"/>
  <c r="I162" i="6"/>
  <c r="G162" i="6"/>
  <c r="F162" i="6"/>
  <c r="F160" i="6"/>
  <c r="D160" i="6"/>
  <c r="I160" i="6"/>
  <c r="C160" i="6"/>
  <c r="B160" i="6"/>
  <c r="I158" i="6"/>
  <c r="G158" i="6"/>
  <c r="F158" i="6"/>
  <c r="E158" i="6"/>
  <c r="D158" i="6"/>
  <c r="B158" i="6"/>
  <c r="I156" i="6"/>
  <c r="G156" i="6"/>
  <c r="F156" i="6"/>
  <c r="E156" i="6"/>
  <c r="D156" i="6"/>
  <c r="B156" i="6"/>
  <c r="G154" i="6"/>
  <c r="E154" i="6"/>
  <c r="I153" i="6"/>
  <c r="E153" i="6"/>
  <c r="I152" i="6"/>
  <c r="E152" i="6"/>
  <c r="I151" i="6"/>
  <c r="G151" i="6"/>
  <c r="F151" i="6"/>
  <c r="I150" i="6"/>
  <c r="G150" i="6"/>
  <c r="F150" i="6"/>
  <c r="I149" i="6"/>
  <c r="G149" i="6"/>
  <c r="F149" i="6"/>
  <c r="I148" i="6"/>
  <c r="G148" i="6"/>
  <c r="F148" i="6"/>
  <c r="F147" i="6"/>
  <c r="D147" i="6"/>
  <c r="I147" i="6"/>
  <c r="C147" i="6"/>
  <c r="B147" i="6"/>
  <c r="I145" i="6"/>
  <c r="G145" i="6"/>
  <c r="F145" i="6"/>
  <c r="E145" i="6"/>
  <c r="D145" i="6"/>
  <c r="B145" i="6"/>
  <c r="G143" i="6"/>
  <c r="E143" i="6"/>
  <c r="I142" i="6"/>
  <c r="F142" i="6"/>
  <c r="E142" i="6"/>
  <c r="I141" i="6"/>
  <c r="E141" i="6"/>
  <c r="I140" i="6"/>
  <c r="G140" i="6"/>
  <c r="F140" i="6"/>
  <c r="I139" i="6"/>
  <c r="G139" i="6"/>
  <c r="F139" i="6"/>
  <c r="I138" i="6"/>
  <c r="G138" i="6"/>
  <c r="F138" i="6"/>
  <c r="I137" i="6"/>
  <c r="G137" i="6"/>
  <c r="F137" i="6"/>
  <c r="F136" i="6"/>
  <c r="D136" i="6"/>
  <c r="I136" i="6"/>
  <c r="C136" i="6"/>
  <c r="B136" i="6"/>
  <c r="I134" i="6"/>
  <c r="G134" i="6"/>
  <c r="F134" i="6"/>
  <c r="E134" i="6"/>
  <c r="D134" i="6"/>
  <c r="B134" i="6"/>
  <c r="I132" i="6"/>
  <c r="G132" i="6"/>
  <c r="F132" i="6"/>
  <c r="D132" i="6"/>
  <c r="B132" i="6"/>
  <c r="I130" i="6"/>
  <c r="G130" i="6"/>
  <c r="F130" i="6"/>
  <c r="D130" i="6"/>
  <c r="B130" i="6"/>
  <c r="I128" i="6"/>
  <c r="G128" i="6"/>
  <c r="F128" i="6"/>
  <c r="D128" i="6"/>
  <c r="B128" i="6"/>
  <c r="G126" i="6"/>
  <c r="E126" i="6"/>
  <c r="I125" i="6"/>
  <c r="F125" i="6"/>
  <c r="E125" i="6"/>
  <c r="I124" i="6"/>
  <c r="E124" i="6"/>
  <c r="I123" i="6"/>
  <c r="G123" i="6"/>
  <c r="F123" i="6"/>
  <c r="I122" i="6"/>
  <c r="G122" i="6"/>
  <c r="F122" i="6"/>
  <c r="I121" i="6"/>
  <c r="G121" i="6"/>
  <c r="F121" i="6"/>
  <c r="I120" i="6"/>
  <c r="G120" i="6"/>
  <c r="F120" i="6"/>
  <c r="F119" i="6"/>
  <c r="D119" i="6"/>
  <c r="I119" i="6"/>
  <c r="C119" i="6"/>
  <c r="B119" i="6"/>
  <c r="I117" i="6"/>
  <c r="G117" i="6"/>
  <c r="F117" i="6"/>
  <c r="E117" i="6"/>
  <c r="D117" i="6"/>
  <c r="B117" i="6"/>
  <c r="G115" i="6"/>
  <c r="E115" i="6"/>
  <c r="I114" i="6"/>
  <c r="F114" i="6"/>
  <c r="E114" i="6"/>
  <c r="I113" i="6"/>
  <c r="E113" i="6"/>
  <c r="I112" i="6"/>
  <c r="F112" i="6"/>
  <c r="D112" i="6"/>
  <c r="C112" i="6"/>
  <c r="B112" i="6"/>
  <c r="I111" i="6"/>
  <c r="G111" i="6"/>
  <c r="F111" i="6"/>
  <c r="I110" i="6"/>
  <c r="G110" i="6"/>
  <c r="F110" i="6"/>
  <c r="I109" i="6"/>
  <c r="G109" i="6"/>
  <c r="F109" i="6"/>
  <c r="I108" i="6"/>
  <c r="G108" i="6"/>
  <c r="F108" i="6"/>
  <c r="F107" i="6"/>
  <c r="D107" i="6"/>
  <c r="I107" i="6"/>
  <c r="C107" i="6"/>
  <c r="B107" i="6"/>
  <c r="I105" i="6"/>
  <c r="G105" i="6"/>
  <c r="F105" i="6"/>
  <c r="E105" i="6"/>
  <c r="D105" i="6"/>
  <c r="B105" i="6"/>
  <c r="G103" i="6"/>
  <c r="E103" i="6"/>
  <c r="I102" i="6"/>
  <c r="F102" i="6"/>
  <c r="E102" i="6"/>
  <c r="I101" i="6"/>
  <c r="E101" i="6"/>
  <c r="I100" i="6"/>
  <c r="G100" i="6"/>
  <c r="F100" i="6"/>
  <c r="I99" i="6"/>
  <c r="G99" i="6"/>
  <c r="F99" i="6"/>
  <c r="I98" i="6"/>
  <c r="G98" i="6"/>
  <c r="F98" i="6"/>
  <c r="F96" i="6"/>
  <c r="D96" i="6"/>
  <c r="I96" i="6"/>
  <c r="C96" i="6"/>
  <c r="B96" i="6"/>
  <c r="I94" i="6"/>
  <c r="G94" i="6"/>
  <c r="F94" i="6"/>
  <c r="E94" i="6"/>
  <c r="D94" i="6"/>
  <c r="B94" i="6"/>
  <c r="G92" i="6"/>
  <c r="E92" i="6"/>
  <c r="I91" i="6"/>
  <c r="E91" i="6"/>
  <c r="I90" i="6"/>
  <c r="E90" i="6"/>
  <c r="I89" i="6"/>
  <c r="G89" i="6"/>
  <c r="F89" i="6"/>
  <c r="I88" i="6"/>
  <c r="G88" i="6"/>
  <c r="F88" i="6"/>
  <c r="I87" i="6"/>
  <c r="G87" i="6"/>
  <c r="F87" i="6"/>
  <c r="I86" i="6"/>
  <c r="G86" i="6"/>
  <c r="F86" i="6"/>
  <c r="F85" i="6"/>
  <c r="E85" i="6"/>
  <c r="D85" i="6"/>
  <c r="I85" i="6"/>
  <c r="C85" i="6"/>
  <c r="B85" i="6"/>
  <c r="I83" i="6"/>
  <c r="G83" i="6"/>
  <c r="F83" i="6"/>
  <c r="E83" i="6"/>
  <c r="D83" i="6"/>
  <c r="B83" i="6"/>
  <c r="I81" i="6"/>
  <c r="G81" i="6"/>
  <c r="F81" i="6"/>
  <c r="E81" i="6"/>
  <c r="D81" i="6"/>
  <c r="B81" i="6"/>
  <c r="G79" i="6"/>
  <c r="E79" i="6"/>
  <c r="I78" i="6"/>
  <c r="F78" i="6"/>
  <c r="E78" i="6"/>
  <c r="I77" i="6"/>
  <c r="E77" i="6"/>
  <c r="I76" i="6"/>
  <c r="G76" i="6"/>
  <c r="F76" i="6"/>
  <c r="I75" i="6"/>
  <c r="G75" i="6"/>
  <c r="F75" i="6"/>
  <c r="I74" i="6"/>
  <c r="G74" i="6"/>
  <c r="F74" i="6"/>
  <c r="I73" i="6"/>
  <c r="G73" i="6"/>
  <c r="F73" i="6"/>
  <c r="F72" i="6"/>
  <c r="D72" i="6"/>
  <c r="I72" i="6"/>
  <c r="C72" i="6"/>
  <c r="B72" i="6"/>
  <c r="A71" i="6"/>
  <c r="G64" i="6"/>
  <c r="E64" i="6"/>
  <c r="I63" i="6"/>
  <c r="E63" i="6"/>
  <c r="I62" i="6"/>
  <c r="E62" i="6"/>
  <c r="I61" i="6"/>
  <c r="G61" i="6"/>
  <c r="F61" i="6"/>
  <c r="I60" i="6"/>
  <c r="G60" i="6"/>
  <c r="F60" i="6"/>
  <c r="F58" i="6"/>
  <c r="D58" i="6"/>
  <c r="I58" i="6"/>
  <c r="C58" i="6"/>
  <c r="B58" i="6"/>
  <c r="G56" i="6"/>
  <c r="E56" i="6"/>
  <c r="I55" i="6"/>
  <c r="F55" i="6"/>
  <c r="E55" i="6"/>
  <c r="I54" i="6"/>
  <c r="E54" i="6"/>
  <c r="I53" i="6"/>
  <c r="G53" i="6"/>
  <c r="F53" i="6"/>
  <c r="I52" i="6"/>
  <c r="G52" i="6"/>
  <c r="F52" i="6"/>
  <c r="F51" i="6"/>
  <c r="E51" i="6"/>
  <c r="D51" i="6"/>
  <c r="I51" i="6"/>
  <c r="C51" i="6"/>
  <c r="B51" i="6"/>
  <c r="G49" i="6"/>
  <c r="E49" i="6"/>
  <c r="I48" i="6"/>
  <c r="E48" i="6"/>
  <c r="I47" i="6"/>
  <c r="E47" i="6"/>
  <c r="I46" i="6"/>
  <c r="G46" i="6"/>
  <c r="F46" i="6"/>
  <c r="F45" i="6"/>
  <c r="E45" i="6"/>
  <c r="D45" i="6"/>
  <c r="I45" i="6"/>
  <c r="C45" i="6"/>
  <c r="B45" i="6"/>
  <c r="G43" i="6"/>
  <c r="E43" i="6"/>
  <c r="I42" i="6"/>
  <c r="E42" i="6"/>
  <c r="I41" i="6"/>
  <c r="E41" i="6"/>
  <c r="I40" i="6"/>
  <c r="G40" i="6"/>
  <c r="F40" i="6"/>
  <c r="I39" i="6"/>
  <c r="G39" i="6"/>
  <c r="F39" i="6"/>
  <c r="I38" i="6"/>
  <c r="G38" i="6"/>
  <c r="F38" i="6"/>
  <c r="F37" i="6"/>
  <c r="D37" i="6"/>
  <c r="I37" i="6"/>
  <c r="C37" i="6"/>
  <c r="B37" i="6"/>
  <c r="G35" i="6"/>
  <c r="E35" i="6"/>
  <c r="I34" i="6"/>
  <c r="E34" i="6"/>
  <c r="I33" i="6"/>
  <c r="E33" i="6"/>
  <c r="I32" i="6"/>
  <c r="G32" i="6"/>
  <c r="F32" i="6"/>
  <c r="I31" i="6"/>
  <c r="G31" i="6"/>
  <c r="F31" i="6"/>
  <c r="I30" i="6"/>
  <c r="G30" i="6"/>
  <c r="F30" i="6"/>
  <c r="F29" i="6"/>
  <c r="D29" i="6"/>
  <c r="I29" i="6"/>
  <c r="C29" i="6"/>
  <c r="B29" i="6"/>
  <c r="A28" i="6"/>
  <c r="A26" i="6"/>
  <c r="A14" i="6"/>
  <c r="A11" i="6"/>
  <c r="A6" i="6"/>
  <c r="A1" i="6"/>
  <c r="A1" i="4" l="1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" i="3"/>
  <c r="Y1" i="3"/>
  <c r="CY1" i="3"/>
  <c r="CZ1" i="3"/>
  <c r="DB1" i="3" s="1"/>
  <c r="DA1" i="3"/>
  <c r="DC1" i="3"/>
  <c r="A2" i="3"/>
  <c r="Y2" i="3"/>
  <c r="CY2" i="3"/>
  <c r="CZ2" i="3"/>
  <c r="DB2" i="3" s="1"/>
  <c r="DA2" i="3"/>
  <c r="DC2" i="3"/>
  <c r="A3" i="3"/>
  <c r="Y3" i="3"/>
  <c r="CY3" i="3"/>
  <c r="CZ3" i="3"/>
  <c r="DA3" i="3"/>
  <c r="DB3" i="3"/>
  <c r="DC3" i="3"/>
  <c r="A4" i="3"/>
  <c r="Y4" i="3"/>
  <c r="CY4" i="3"/>
  <c r="CZ4" i="3"/>
  <c r="DB4" i="3" s="1"/>
  <c r="DA4" i="3"/>
  <c r="DC4" i="3"/>
  <c r="A5" i="3"/>
  <c r="Y5" i="3"/>
  <c r="CY5" i="3"/>
  <c r="CZ5" i="3"/>
  <c r="DB5" i="3" s="1"/>
  <c r="DA5" i="3"/>
  <c r="DC5" i="3"/>
  <c r="A6" i="3"/>
  <c r="Y6" i="3"/>
  <c r="CY6" i="3"/>
  <c r="CZ6" i="3"/>
  <c r="DB6" i="3" s="1"/>
  <c r="DA6" i="3"/>
  <c r="DC6" i="3"/>
  <c r="A7" i="3"/>
  <c r="Y7" i="3"/>
  <c r="CY7" i="3"/>
  <c r="CZ7" i="3"/>
  <c r="DA7" i="3"/>
  <c r="DB7" i="3"/>
  <c r="DC7" i="3"/>
  <c r="A8" i="3"/>
  <c r="Y8" i="3"/>
  <c r="CY8" i="3"/>
  <c r="CZ8" i="3"/>
  <c r="DB8" i="3" s="1"/>
  <c r="DA8" i="3"/>
  <c r="DC8" i="3"/>
  <c r="A9" i="3"/>
  <c r="Y9" i="3"/>
  <c r="CY9" i="3"/>
  <c r="CZ9" i="3"/>
  <c r="DB9" i="3" s="1"/>
  <c r="DA9" i="3"/>
  <c r="DC9" i="3"/>
  <c r="A10" i="3"/>
  <c r="Y10" i="3"/>
  <c r="CY10" i="3"/>
  <c r="CZ10" i="3"/>
  <c r="DB10" i="3" s="1"/>
  <c r="DA10" i="3"/>
  <c r="DC10" i="3"/>
  <c r="A11" i="3"/>
  <c r="Y11" i="3"/>
  <c r="CY11" i="3"/>
  <c r="CZ11" i="3"/>
  <c r="DB11" i="3" s="1"/>
  <c r="DA11" i="3"/>
  <c r="DC11" i="3"/>
  <c r="A12" i="3"/>
  <c r="Y12" i="3"/>
  <c r="CY12" i="3"/>
  <c r="CZ12" i="3"/>
  <c r="DB12" i="3" s="1"/>
  <c r="DA12" i="3"/>
  <c r="DC12" i="3"/>
  <c r="A13" i="3"/>
  <c r="Y13" i="3"/>
  <c r="CY13" i="3"/>
  <c r="CZ13" i="3"/>
  <c r="DB13" i="3" s="1"/>
  <c r="DA13" i="3"/>
  <c r="DC13" i="3"/>
  <c r="A14" i="3"/>
  <c r="Y14" i="3"/>
  <c r="CY14" i="3"/>
  <c r="CZ14" i="3"/>
  <c r="DB14" i="3" s="1"/>
  <c r="DA14" i="3"/>
  <c r="DC14" i="3"/>
  <c r="A15" i="3"/>
  <c r="Y15" i="3"/>
  <c r="CY15" i="3"/>
  <c r="CZ15" i="3"/>
  <c r="DB15" i="3" s="1"/>
  <c r="DA15" i="3"/>
  <c r="DC15" i="3"/>
  <c r="A16" i="3"/>
  <c r="Y16" i="3"/>
  <c r="CY16" i="3"/>
  <c r="CZ16" i="3"/>
  <c r="DB16" i="3" s="1"/>
  <c r="DA16" i="3"/>
  <c r="DC16" i="3"/>
  <c r="A17" i="3"/>
  <c r="Y17" i="3"/>
  <c r="CY17" i="3"/>
  <c r="CZ17" i="3"/>
  <c r="DB17" i="3" s="1"/>
  <c r="DA17" i="3"/>
  <c r="DC17" i="3"/>
  <c r="A18" i="3"/>
  <c r="Y18" i="3"/>
  <c r="CY18" i="3"/>
  <c r="CZ18" i="3"/>
  <c r="DA18" i="3"/>
  <c r="DB18" i="3"/>
  <c r="DC18" i="3"/>
  <c r="A19" i="3"/>
  <c r="Y19" i="3"/>
  <c r="CY19" i="3"/>
  <c r="CZ19" i="3"/>
  <c r="DA19" i="3"/>
  <c r="DB19" i="3"/>
  <c r="DC19" i="3"/>
  <c r="A20" i="3"/>
  <c r="Y20" i="3"/>
  <c r="CY20" i="3"/>
  <c r="CZ20" i="3"/>
  <c r="DB20" i="3" s="1"/>
  <c r="DA20" i="3"/>
  <c r="DC20" i="3"/>
  <c r="A21" i="3"/>
  <c r="Y21" i="3"/>
  <c r="CY21" i="3"/>
  <c r="CZ21" i="3"/>
  <c r="DB21" i="3" s="1"/>
  <c r="DA21" i="3"/>
  <c r="DC21" i="3"/>
  <c r="A22" i="3"/>
  <c r="Y22" i="3"/>
  <c r="CX22" i="3"/>
  <c r="DF22" i="3" s="1"/>
  <c r="CY22" i="3"/>
  <c r="CZ22" i="3"/>
  <c r="DB22" i="3" s="1"/>
  <c r="DA22" i="3"/>
  <c r="DC22" i="3"/>
  <c r="DH22" i="3"/>
  <c r="A23" i="3"/>
  <c r="Y23" i="3"/>
  <c r="CX23" i="3"/>
  <c r="DG23" i="3" s="1"/>
  <c r="CY23" i="3"/>
  <c r="CZ23" i="3"/>
  <c r="DB23" i="3" s="1"/>
  <c r="DA23" i="3"/>
  <c r="DC23" i="3"/>
  <c r="A24" i="3"/>
  <c r="Y24" i="3"/>
  <c r="CX24" i="3" s="1"/>
  <c r="CY24" i="3"/>
  <c r="CZ24" i="3"/>
  <c r="DB24" i="3" s="1"/>
  <c r="DA24" i="3"/>
  <c r="DC24" i="3"/>
  <c r="A25" i="3"/>
  <c r="Y25" i="3"/>
  <c r="CY25" i="3"/>
  <c r="CZ25" i="3"/>
  <c r="DB25" i="3" s="1"/>
  <c r="DA25" i="3"/>
  <c r="DC25" i="3"/>
  <c r="A26" i="3"/>
  <c r="Y26" i="3"/>
  <c r="CY26" i="3"/>
  <c r="CZ26" i="3"/>
  <c r="DA26" i="3"/>
  <c r="DB26" i="3"/>
  <c r="DC26" i="3"/>
  <c r="A27" i="3"/>
  <c r="Y27" i="3"/>
  <c r="CY27" i="3"/>
  <c r="CZ27" i="3"/>
  <c r="DA27" i="3"/>
  <c r="DB27" i="3"/>
  <c r="DC27" i="3"/>
  <c r="A28" i="3"/>
  <c r="Y28" i="3"/>
  <c r="CY28" i="3"/>
  <c r="CZ28" i="3"/>
  <c r="DB28" i="3" s="1"/>
  <c r="DA28" i="3"/>
  <c r="DC28" i="3"/>
  <c r="A29" i="3"/>
  <c r="Y29" i="3"/>
  <c r="CY29" i="3"/>
  <c r="CZ29" i="3"/>
  <c r="DB29" i="3" s="1"/>
  <c r="DA29" i="3"/>
  <c r="DC29" i="3"/>
  <c r="A30" i="3"/>
  <c r="Y30" i="3"/>
  <c r="CY30" i="3"/>
  <c r="CZ30" i="3"/>
  <c r="DB30" i="3" s="1"/>
  <c r="DA30" i="3"/>
  <c r="DC30" i="3"/>
  <c r="A31" i="3"/>
  <c r="Y31" i="3"/>
  <c r="CY31" i="3"/>
  <c r="CZ31" i="3"/>
  <c r="DA31" i="3"/>
  <c r="DB31" i="3"/>
  <c r="DC31" i="3"/>
  <c r="A32" i="3"/>
  <c r="Y32" i="3"/>
  <c r="CY32" i="3"/>
  <c r="CZ32" i="3"/>
  <c r="DA32" i="3"/>
  <c r="DB32" i="3"/>
  <c r="DC32" i="3"/>
  <c r="A33" i="3"/>
  <c r="Y33" i="3"/>
  <c r="CY33" i="3"/>
  <c r="CZ33" i="3"/>
  <c r="DB33" i="3" s="1"/>
  <c r="DA33" i="3"/>
  <c r="DC33" i="3"/>
  <c r="A34" i="3"/>
  <c r="Y34" i="3"/>
  <c r="CY34" i="3"/>
  <c r="CZ34" i="3"/>
  <c r="DB34" i="3" s="1"/>
  <c r="DA34" i="3"/>
  <c r="DC34" i="3"/>
  <c r="A35" i="3"/>
  <c r="Y35" i="3"/>
  <c r="CY35" i="3"/>
  <c r="CZ35" i="3"/>
  <c r="DB35" i="3" s="1"/>
  <c r="DA35" i="3"/>
  <c r="DC35" i="3"/>
  <c r="A36" i="3"/>
  <c r="Y36" i="3"/>
  <c r="CX36" i="3" s="1"/>
  <c r="CY36" i="3"/>
  <c r="CZ36" i="3"/>
  <c r="DB36" i="3" s="1"/>
  <c r="DA36" i="3"/>
  <c r="DC36" i="3"/>
  <c r="A37" i="3"/>
  <c r="Y37" i="3"/>
  <c r="CX37" i="3" s="1"/>
  <c r="CY37" i="3"/>
  <c r="CZ37" i="3"/>
  <c r="DB37" i="3" s="1"/>
  <c r="DA37" i="3"/>
  <c r="DC37" i="3"/>
  <c r="A38" i="3"/>
  <c r="Y38" i="3"/>
  <c r="CX38" i="3" s="1"/>
  <c r="CY38" i="3"/>
  <c r="CZ38" i="3"/>
  <c r="DB38" i="3" s="1"/>
  <c r="DA38" i="3"/>
  <c r="DC38" i="3"/>
  <c r="A39" i="3"/>
  <c r="Y39" i="3"/>
  <c r="CX39" i="3" s="1"/>
  <c r="CY39" i="3"/>
  <c r="CZ39" i="3"/>
  <c r="DA39" i="3"/>
  <c r="DB39" i="3"/>
  <c r="DC39" i="3"/>
  <c r="A40" i="3"/>
  <c r="Y40" i="3"/>
  <c r="CX40" i="3"/>
  <c r="DG40" i="3" s="1"/>
  <c r="CY40" i="3"/>
  <c r="CZ40" i="3"/>
  <c r="DA40" i="3"/>
  <c r="DB40" i="3"/>
  <c r="DC40" i="3"/>
  <c r="DF40" i="3"/>
  <c r="DJ40" i="3" s="1"/>
  <c r="A41" i="3"/>
  <c r="Y41" i="3"/>
  <c r="CX41" i="3" s="1"/>
  <c r="DI41" i="3" s="1"/>
  <c r="CY41" i="3"/>
  <c r="CZ41" i="3"/>
  <c r="DB41" i="3" s="1"/>
  <c r="DA41" i="3"/>
  <c r="DC41" i="3"/>
  <c r="DF41" i="3"/>
  <c r="DJ41" i="3" s="1"/>
  <c r="A42" i="3"/>
  <c r="Y42" i="3"/>
  <c r="CX42" i="3" s="1"/>
  <c r="CY42" i="3"/>
  <c r="CZ42" i="3"/>
  <c r="DA42" i="3"/>
  <c r="DB42" i="3"/>
  <c r="DC42" i="3"/>
  <c r="A43" i="3"/>
  <c r="Y43" i="3"/>
  <c r="CX43" i="3" s="1"/>
  <c r="CY43" i="3"/>
  <c r="CZ43" i="3"/>
  <c r="DB43" i="3" s="1"/>
  <c r="DA43" i="3"/>
  <c r="DC43" i="3"/>
  <c r="A44" i="3"/>
  <c r="Y44" i="3"/>
  <c r="CX44" i="3" s="1"/>
  <c r="CY44" i="3"/>
  <c r="CZ44" i="3"/>
  <c r="DB44" i="3" s="1"/>
  <c r="DA44" i="3"/>
  <c r="DC44" i="3"/>
  <c r="A45" i="3"/>
  <c r="Y45" i="3"/>
  <c r="CX45" i="3" s="1"/>
  <c r="CY45" i="3"/>
  <c r="CZ45" i="3"/>
  <c r="DB45" i="3" s="1"/>
  <c r="DA45" i="3"/>
  <c r="DC45" i="3"/>
  <c r="A46" i="3"/>
  <c r="Y46" i="3"/>
  <c r="CY46" i="3"/>
  <c r="CZ46" i="3"/>
  <c r="DB46" i="3" s="1"/>
  <c r="DA46" i="3"/>
  <c r="DC46" i="3"/>
  <c r="A47" i="3"/>
  <c r="Y47" i="3"/>
  <c r="CY47" i="3"/>
  <c r="CZ47" i="3"/>
  <c r="DA47" i="3"/>
  <c r="DB47" i="3"/>
  <c r="DC47" i="3"/>
  <c r="A48" i="3"/>
  <c r="Y48" i="3"/>
  <c r="CY48" i="3"/>
  <c r="CZ48" i="3"/>
  <c r="DB48" i="3" s="1"/>
  <c r="DA48" i="3"/>
  <c r="DC48" i="3"/>
  <c r="A49" i="3"/>
  <c r="Y49" i="3"/>
  <c r="CY49" i="3"/>
  <c r="CZ49" i="3"/>
  <c r="DB49" i="3" s="1"/>
  <c r="DA49" i="3"/>
  <c r="DC49" i="3"/>
  <c r="A50" i="3"/>
  <c r="Y50" i="3"/>
  <c r="CY50" i="3"/>
  <c r="CZ50" i="3"/>
  <c r="DB50" i="3" s="1"/>
  <c r="DA50" i="3"/>
  <c r="DC50" i="3"/>
  <c r="A51" i="3"/>
  <c r="Y51" i="3"/>
  <c r="CY51" i="3"/>
  <c r="CZ51" i="3"/>
  <c r="DA51" i="3"/>
  <c r="DB51" i="3"/>
  <c r="DC51" i="3"/>
  <c r="A52" i="3"/>
  <c r="Y52" i="3"/>
  <c r="CY52" i="3"/>
  <c r="CZ52" i="3"/>
  <c r="DA52" i="3"/>
  <c r="DB52" i="3"/>
  <c r="DC52" i="3"/>
  <c r="A53" i="3"/>
  <c r="Y53" i="3"/>
  <c r="CY53" i="3"/>
  <c r="CZ53" i="3"/>
  <c r="DB53" i="3" s="1"/>
  <c r="DA53" i="3"/>
  <c r="DC53" i="3"/>
  <c r="A54" i="3"/>
  <c r="Y54" i="3"/>
  <c r="CY54" i="3"/>
  <c r="CZ54" i="3"/>
  <c r="DB54" i="3" s="1"/>
  <c r="DA54" i="3"/>
  <c r="DC54" i="3"/>
  <c r="A55" i="3"/>
  <c r="Y55" i="3"/>
  <c r="CY55" i="3"/>
  <c r="CZ55" i="3"/>
  <c r="DA55" i="3"/>
  <c r="DB55" i="3"/>
  <c r="DC55" i="3"/>
  <c r="A56" i="3"/>
  <c r="Y56" i="3"/>
  <c r="CY56" i="3"/>
  <c r="CZ56" i="3"/>
  <c r="DA56" i="3"/>
  <c r="DB56" i="3"/>
  <c r="DC56" i="3"/>
  <c r="A57" i="3"/>
  <c r="Y57" i="3"/>
  <c r="CY57" i="3"/>
  <c r="CZ57" i="3"/>
  <c r="DB57" i="3" s="1"/>
  <c r="DA57" i="3"/>
  <c r="DC57" i="3"/>
  <c r="A58" i="3"/>
  <c r="Y58" i="3"/>
  <c r="CY58" i="3"/>
  <c r="CZ58" i="3"/>
  <c r="DB58" i="3" s="1"/>
  <c r="DA58" i="3"/>
  <c r="DC58" i="3"/>
  <c r="A59" i="3"/>
  <c r="Y59" i="3"/>
  <c r="CY59" i="3"/>
  <c r="CZ59" i="3"/>
  <c r="DB59" i="3" s="1"/>
  <c r="DA59" i="3"/>
  <c r="DC59" i="3"/>
  <c r="A60" i="3"/>
  <c r="Y60" i="3"/>
  <c r="CY60" i="3"/>
  <c r="CZ60" i="3"/>
  <c r="DB60" i="3" s="1"/>
  <c r="DA60" i="3"/>
  <c r="DC60" i="3"/>
  <c r="A61" i="3"/>
  <c r="Y61" i="3"/>
  <c r="CY61" i="3"/>
  <c r="CZ61" i="3"/>
  <c r="DB61" i="3" s="1"/>
  <c r="DA61" i="3"/>
  <c r="DC61" i="3"/>
  <c r="A62" i="3"/>
  <c r="Y62" i="3"/>
  <c r="CY62" i="3"/>
  <c r="CZ62" i="3"/>
  <c r="DA62" i="3"/>
  <c r="DB62" i="3"/>
  <c r="DC62" i="3"/>
  <c r="A63" i="3"/>
  <c r="Y63" i="3"/>
  <c r="CY63" i="3"/>
  <c r="CZ63" i="3"/>
  <c r="DA63" i="3"/>
  <c r="DB63" i="3"/>
  <c r="DC63" i="3"/>
  <c r="A64" i="3"/>
  <c r="Y64" i="3"/>
  <c r="CY64" i="3"/>
  <c r="CZ64" i="3"/>
  <c r="DB64" i="3" s="1"/>
  <c r="DA64" i="3"/>
  <c r="DC64" i="3"/>
  <c r="A65" i="3"/>
  <c r="Y65" i="3"/>
  <c r="CY65" i="3"/>
  <c r="CZ65" i="3"/>
  <c r="DB65" i="3" s="1"/>
  <c r="DA65" i="3"/>
  <c r="DC65" i="3"/>
  <c r="A66" i="3"/>
  <c r="Y66" i="3"/>
  <c r="CY66" i="3"/>
  <c r="CZ66" i="3"/>
  <c r="DB66" i="3" s="1"/>
  <c r="DA66" i="3"/>
  <c r="DC66" i="3"/>
  <c r="A67" i="3"/>
  <c r="Y67" i="3"/>
  <c r="CY67" i="3"/>
  <c r="CZ67" i="3"/>
  <c r="DA67" i="3"/>
  <c r="DB67" i="3"/>
  <c r="DC67" i="3"/>
  <c r="A68" i="3"/>
  <c r="Y68" i="3"/>
  <c r="CY68" i="3"/>
  <c r="CZ68" i="3"/>
  <c r="DA68" i="3"/>
  <c r="DB68" i="3"/>
  <c r="DC68" i="3"/>
  <c r="A69" i="3"/>
  <c r="Y69" i="3"/>
  <c r="CY69" i="3"/>
  <c r="CZ69" i="3"/>
  <c r="DB69" i="3" s="1"/>
  <c r="DA69" i="3"/>
  <c r="DC69" i="3"/>
  <c r="A70" i="3"/>
  <c r="Y70" i="3"/>
  <c r="CY70" i="3"/>
  <c r="CZ70" i="3"/>
  <c r="DA70" i="3"/>
  <c r="DB70" i="3"/>
  <c r="DC70" i="3"/>
  <c r="A71" i="3"/>
  <c r="Y71" i="3"/>
  <c r="CY71" i="3"/>
  <c r="CZ71" i="3"/>
  <c r="DB71" i="3" s="1"/>
  <c r="DA71" i="3"/>
  <c r="DC71" i="3"/>
  <c r="A72" i="3"/>
  <c r="Y72" i="3"/>
  <c r="CY72" i="3"/>
  <c r="CZ72" i="3"/>
  <c r="DB72" i="3" s="1"/>
  <c r="DA72" i="3"/>
  <c r="DC72" i="3"/>
  <c r="A73" i="3"/>
  <c r="Y73" i="3"/>
  <c r="CY73" i="3"/>
  <c r="CZ73" i="3"/>
  <c r="DB73" i="3" s="1"/>
  <c r="DA73" i="3"/>
  <c r="DC73" i="3"/>
  <c r="A74" i="3"/>
  <c r="Y74" i="3"/>
  <c r="CY74" i="3"/>
  <c r="CZ74" i="3"/>
  <c r="DA74" i="3"/>
  <c r="DB74" i="3"/>
  <c r="DC74" i="3"/>
  <c r="A75" i="3"/>
  <c r="Y75" i="3"/>
  <c r="CY75" i="3"/>
  <c r="CZ75" i="3"/>
  <c r="DB75" i="3" s="1"/>
  <c r="DA75" i="3"/>
  <c r="DC75" i="3"/>
  <c r="A76" i="3"/>
  <c r="Y76" i="3"/>
  <c r="CY76" i="3"/>
  <c r="CZ76" i="3"/>
  <c r="DB76" i="3" s="1"/>
  <c r="DA76" i="3"/>
  <c r="DC76" i="3"/>
  <c r="A77" i="3"/>
  <c r="Y77" i="3"/>
  <c r="CY77" i="3"/>
  <c r="CZ77" i="3"/>
  <c r="DA77" i="3"/>
  <c r="DB77" i="3"/>
  <c r="DC77" i="3"/>
  <c r="A78" i="3"/>
  <c r="Y78" i="3"/>
  <c r="CY78" i="3"/>
  <c r="CZ78" i="3"/>
  <c r="DB78" i="3" s="1"/>
  <c r="DA78" i="3"/>
  <c r="DC78" i="3"/>
  <c r="A79" i="3"/>
  <c r="Y79" i="3"/>
  <c r="CY79" i="3"/>
  <c r="CZ79" i="3"/>
  <c r="DB79" i="3" s="1"/>
  <c r="DA79" i="3"/>
  <c r="DC79" i="3"/>
  <c r="A80" i="3"/>
  <c r="Y80" i="3"/>
  <c r="CY80" i="3"/>
  <c r="CZ80" i="3"/>
  <c r="DA80" i="3"/>
  <c r="DB80" i="3"/>
  <c r="DC80" i="3"/>
  <c r="A81" i="3"/>
  <c r="Y81" i="3"/>
  <c r="CY81" i="3"/>
  <c r="CZ81" i="3"/>
  <c r="DB81" i="3" s="1"/>
  <c r="DA81" i="3"/>
  <c r="DC81" i="3"/>
  <c r="A82" i="3"/>
  <c r="Y82" i="3"/>
  <c r="CY82" i="3"/>
  <c r="CZ82" i="3"/>
  <c r="DB82" i="3" s="1"/>
  <c r="DA82" i="3"/>
  <c r="DC82" i="3"/>
  <c r="A83" i="3"/>
  <c r="Y83" i="3"/>
  <c r="CY83" i="3"/>
  <c r="CZ83" i="3"/>
  <c r="DA83" i="3"/>
  <c r="DB83" i="3"/>
  <c r="DC83" i="3"/>
  <c r="A84" i="3"/>
  <c r="Y84" i="3"/>
  <c r="CY84" i="3"/>
  <c r="CZ84" i="3"/>
  <c r="DB84" i="3" s="1"/>
  <c r="DA84" i="3"/>
  <c r="DC84" i="3"/>
  <c r="A85" i="3"/>
  <c r="Y85" i="3"/>
  <c r="CY85" i="3"/>
  <c r="CZ85" i="3"/>
  <c r="DB85" i="3" s="1"/>
  <c r="DA85" i="3"/>
  <c r="DC85" i="3"/>
  <c r="A86" i="3"/>
  <c r="Y86" i="3"/>
  <c r="CY86" i="3"/>
  <c r="CZ86" i="3"/>
  <c r="DA86" i="3"/>
  <c r="DB86" i="3"/>
  <c r="DC86" i="3"/>
  <c r="A87" i="3"/>
  <c r="Y87" i="3"/>
  <c r="CX87" i="3" s="1"/>
  <c r="CY87" i="3"/>
  <c r="CZ87" i="3"/>
  <c r="DB87" i="3" s="1"/>
  <c r="DA87" i="3"/>
  <c r="DC87" i="3"/>
  <c r="A88" i="3"/>
  <c r="Y88" i="3"/>
  <c r="CX88" i="3" s="1"/>
  <c r="CY88" i="3"/>
  <c r="CZ88" i="3"/>
  <c r="DB88" i="3" s="1"/>
  <c r="DA88" i="3"/>
  <c r="DC88" i="3"/>
  <c r="A89" i="3"/>
  <c r="Y89" i="3"/>
  <c r="CX89" i="3" s="1"/>
  <c r="CY89" i="3"/>
  <c r="CZ89" i="3"/>
  <c r="DB89" i="3" s="1"/>
  <c r="DA89" i="3"/>
  <c r="DC89" i="3"/>
  <c r="A90" i="3"/>
  <c r="Y90" i="3"/>
  <c r="CY90" i="3"/>
  <c r="CZ90" i="3"/>
  <c r="DB90" i="3" s="1"/>
  <c r="DA90" i="3"/>
  <c r="DC90" i="3"/>
  <c r="A91" i="3"/>
  <c r="Y91" i="3"/>
  <c r="CY91" i="3"/>
  <c r="CZ91" i="3"/>
  <c r="DA91" i="3"/>
  <c r="DB91" i="3"/>
  <c r="DC91" i="3"/>
  <c r="A92" i="3"/>
  <c r="Y92" i="3"/>
  <c r="CY92" i="3"/>
  <c r="CZ92" i="3"/>
  <c r="DA92" i="3"/>
  <c r="DB92" i="3"/>
  <c r="DC92" i="3"/>
  <c r="A93" i="3"/>
  <c r="Y93" i="3"/>
  <c r="CY93" i="3"/>
  <c r="CZ93" i="3"/>
  <c r="DB93" i="3" s="1"/>
  <c r="DA93" i="3"/>
  <c r="DC93" i="3"/>
  <c r="A94" i="3"/>
  <c r="Y94" i="3"/>
  <c r="CY94" i="3"/>
  <c r="CZ94" i="3"/>
  <c r="DB94" i="3" s="1"/>
  <c r="DA94" i="3"/>
  <c r="DC94" i="3"/>
  <c r="A95" i="3"/>
  <c r="Y95" i="3"/>
  <c r="CY95" i="3"/>
  <c r="CZ95" i="3"/>
  <c r="DA95" i="3"/>
  <c r="DB95" i="3"/>
  <c r="DC95" i="3"/>
  <c r="A96" i="3"/>
  <c r="Y96" i="3"/>
  <c r="CY96" i="3"/>
  <c r="CZ96" i="3"/>
  <c r="DB96" i="3" s="1"/>
  <c r="DA96" i="3"/>
  <c r="DC96" i="3"/>
  <c r="A97" i="3"/>
  <c r="Y97" i="3"/>
  <c r="CY97" i="3"/>
  <c r="CZ97" i="3"/>
  <c r="DB97" i="3" s="1"/>
  <c r="DA97" i="3"/>
  <c r="DC97" i="3"/>
  <c r="A98" i="3"/>
  <c r="Y98" i="3"/>
  <c r="CY98" i="3"/>
  <c r="CZ98" i="3"/>
  <c r="DA98" i="3"/>
  <c r="DB98" i="3"/>
  <c r="DC98" i="3"/>
  <c r="A99" i="3"/>
  <c r="Y99" i="3"/>
  <c r="CY99" i="3"/>
  <c r="CZ99" i="3"/>
  <c r="DA99" i="3"/>
  <c r="DB99" i="3"/>
  <c r="DC99" i="3"/>
  <c r="A100" i="3"/>
  <c r="Y100" i="3"/>
  <c r="CY100" i="3"/>
  <c r="CZ100" i="3"/>
  <c r="DB100" i="3" s="1"/>
  <c r="DA100" i="3"/>
  <c r="DC100" i="3"/>
  <c r="A101" i="3"/>
  <c r="Y101" i="3"/>
  <c r="CY101" i="3"/>
  <c r="CZ101" i="3"/>
  <c r="DA101" i="3"/>
  <c r="DB101" i="3"/>
  <c r="DC101" i="3"/>
  <c r="A102" i="3"/>
  <c r="Y102" i="3"/>
  <c r="CY102" i="3"/>
  <c r="CZ102" i="3"/>
  <c r="DB102" i="3" s="1"/>
  <c r="DA102" i="3"/>
  <c r="DC102" i="3"/>
  <c r="A103" i="3"/>
  <c r="Y103" i="3"/>
  <c r="CY103" i="3"/>
  <c r="CZ103" i="3"/>
  <c r="DB103" i="3" s="1"/>
  <c r="DA103" i="3"/>
  <c r="DC103" i="3"/>
  <c r="A104" i="3"/>
  <c r="Y104" i="3"/>
  <c r="CY104" i="3"/>
  <c r="CZ104" i="3"/>
  <c r="DA104" i="3"/>
  <c r="DB104" i="3"/>
  <c r="DC104" i="3"/>
  <c r="A105" i="3"/>
  <c r="Y105" i="3"/>
  <c r="CY105" i="3"/>
  <c r="CZ105" i="3"/>
  <c r="DB105" i="3" s="1"/>
  <c r="DA105" i="3"/>
  <c r="DC105" i="3"/>
  <c r="A106" i="3"/>
  <c r="Y106" i="3"/>
  <c r="CY106" i="3"/>
  <c r="CZ106" i="3"/>
  <c r="DB106" i="3" s="1"/>
  <c r="DA106" i="3"/>
  <c r="DC106" i="3"/>
  <c r="A107" i="3"/>
  <c r="Y107" i="3"/>
  <c r="CY107" i="3"/>
  <c r="CZ107" i="3"/>
  <c r="DA107" i="3"/>
  <c r="DB107" i="3"/>
  <c r="DC107" i="3"/>
  <c r="A108" i="3"/>
  <c r="Y108" i="3"/>
  <c r="CY108" i="3"/>
  <c r="CZ108" i="3"/>
  <c r="DB108" i="3" s="1"/>
  <c r="DA108" i="3"/>
  <c r="DC108" i="3"/>
  <c r="A109" i="3"/>
  <c r="Y109" i="3"/>
  <c r="CY109" i="3"/>
  <c r="CZ109" i="3"/>
  <c r="DA109" i="3"/>
  <c r="DB109" i="3"/>
  <c r="DC109" i="3"/>
  <c r="A110" i="3"/>
  <c r="Y110" i="3"/>
  <c r="CY110" i="3"/>
  <c r="CZ110" i="3"/>
  <c r="DA110" i="3"/>
  <c r="DB110" i="3"/>
  <c r="DC110" i="3"/>
  <c r="A111" i="3"/>
  <c r="Y111" i="3"/>
  <c r="CY111" i="3"/>
  <c r="CZ111" i="3"/>
  <c r="DB111" i="3" s="1"/>
  <c r="DA111" i="3"/>
  <c r="DC111" i="3"/>
  <c r="A112" i="3"/>
  <c r="Y112" i="3"/>
  <c r="CY112" i="3"/>
  <c r="CZ112" i="3"/>
  <c r="DB112" i="3" s="1"/>
  <c r="DA112" i="3"/>
  <c r="DC112" i="3"/>
  <c r="A113" i="3"/>
  <c r="Y113" i="3"/>
  <c r="CY113" i="3"/>
  <c r="CZ113" i="3"/>
  <c r="DB113" i="3" s="1"/>
  <c r="DA113" i="3"/>
  <c r="DC113" i="3"/>
  <c r="A114" i="3"/>
  <c r="Y114" i="3"/>
  <c r="CY114" i="3"/>
  <c r="CZ114" i="3"/>
  <c r="DB114" i="3" s="1"/>
  <c r="DA114" i="3"/>
  <c r="DC114" i="3"/>
  <c r="A115" i="3"/>
  <c r="Y115" i="3"/>
  <c r="CY115" i="3"/>
  <c r="CZ115" i="3"/>
  <c r="DA115" i="3"/>
  <c r="DB115" i="3"/>
  <c r="DC115" i="3"/>
  <c r="A116" i="3"/>
  <c r="Y116" i="3"/>
  <c r="CY116" i="3"/>
  <c r="CZ116" i="3"/>
  <c r="DB116" i="3" s="1"/>
  <c r="DA116" i="3"/>
  <c r="DC116" i="3"/>
  <c r="A117" i="3"/>
  <c r="Y117" i="3"/>
  <c r="CY117" i="3"/>
  <c r="CZ117" i="3"/>
  <c r="DB117" i="3" s="1"/>
  <c r="DA117" i="3"/>
  <c r="DC117" i="3"/>
  <c r="A118" i="3"/>
  <c r="Y118" i="3"/>
  <c r="CY118" i="3"/>
  <c r="CZ118" i="3"/>
  <c r="DB118" i="3" s="1"/>
  <c r="DA118" i="3"/>
  <c r="DC118" i="3"/>
  <c r="A119" i="3"/>
  <c r="Y119" i="3"/>
  <c r="CY119" i="3"/>
  <c r="CZ119" i="3"/>
  <c r="DB119" i="3" s="1"/>
  <c r="DA119" i="3"/>
  <c r="DC119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D24" i="1"/>
  <c r="E26" i="1"/>
  <c r="Z26" i="1"/>
  <c r="AA26" i="1"/>
  <c r="AM26" i="1"/>
  <c r="AN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C28" i="1"/>
  <c r="D28" i="1"/>
  <c r="I28" i="1"/>
  <c r="K28" i="1"/>
  <c r="AC28" i="1"/>
  <c r="AE28" i="1"/>
  <c r="AF28" i="1"/>
  <c r="AG28" i="1"/>
  <c r="CU28" i="1" s="1"/>
  <c r="AH28" i="1"/>
  <c r="CV28" i="1" s="1"/>
  <c r="AI28" i="1"/>
  <c r="AJ28" i="1"/>
  <c r="CX28" i="1" s="1"/>
  <c r="CQ28" i="1"/>
  <c r="CS28" i="1"/>
  <c r="CW28" i="1"/>
  <c r="V28" i="1" s="1"/>
  <c r="FR28" i="1"/>
  <c r="BY34" i="1" s="1"/>
  <c r="BY26" i="1" s="1"/>
  <c r="GL28" i="1"/>
  <c r="GO28" i="1"/>
  <c r="GP28" i="1"/>
  <c r="GV28" i="1"/>
  <c r="HC28" i="1"/>
  <c r="C29" i="1"/>
  <c r="D29" i="1"/>
  <c r="I29" i="1"/>
  <c r="K29" i="1"/>
  <c r="AC29" i="1"/>
  <c r="CQ29" i="1" s="1"/>
  <c r="P29" i="1" s="1"/>
  <c r="AE29" i="1"/>
  <c r="AF29" i="1"/>
  <c r="AG29" i="1"/>
  <c r="CU29" i="1" s="1"/>
  <c r="T29" i="1" s="1"/>
  <c r="AH29" i="1"/>
  <c r="CV29" i="1" s="1"/>
  <c r="AI29" i="1"/>
  <c r="CW29" i="1" s="1"/>
  <c r="V29" i="1" s="1"/>
  <c r="AJ29" i="1"/>
  <c r="CX29" i="1" s="1"/>
  <c r="FR29" i="1"/>
  <c r="GL29" i="1"/>
  <c r="GO29" i="1"/>
  <c r="GP29" i="1"/>
  <c r="GV29" i="1"/>
  <c r="HC29" i="1" s="1"/>
  <c r="GX29" i="1" s="1"/>
  <c r="C30" i="1"/>
  <c r="D30" i="1"/>
  <c r="AC30" i="1"/>
  <c r="AE30" i="1"/>
  <c r="AD30" i="1" s="1"/>
  <c r="AF30" i="1"/>
  <c r="AG30" i="1"/>
  <c r="CU30" i="1" s="1"/>
  <c r="T30" i="1" s="1"/>
  <c r="AH30" i="1"/>
  <c r="AI30" i="1"/>
  <c r="CW30" i="1" s="1"/>
  <c r="V30" i="1" s="1"/>
  <c r="AJ30" i="1"/>
  <c r="CR30" i="1"/>
  <c r="Q30" i="1" s="1"/>
  <c r="CS30" i="1"/>
  <c r="R30" i="1" s="1"/>
  <c r="CV30" i="1"/>
  <c r="U30" i="1" s="1"/>
  <c r="CX30" i="1"/>
  <c r="W30" i="1" s="1"/>
  <c r="FR30" i="1"/>
  <c r="GL30" i="1"/>
  <c r="GO30" i="1"/>
  <c r="GP30" i="1"/>
  <c r="GV30" i="1"/>
  <c r="HC30" i="1" s="1"/>
  <c r="GX30" i="1" s="1"/>
  <c r="C31" i="1"/>
  <c r="D31" i="1"/>
  <c r="AC31" i="1"/>
  <c r="AD31" i="1"/>
  <c r="AE31" i="1"/>
  <c r="AF31" i="1"/>
  <c r="AG31" i="1"/>
  <c r="CU31" i="1" s="1"/>
  <c r="T31" i="1" s="1"/>
  <c r="AH31" i="1"/>
  <c r="AI31" i="1"/>
  <c r="CW31" i="1" s="1"/>
  <c r="V31" i="1" s="1"/>
  <c r="AJ31" i="1"/>
  <c r="CQ31" i="1"/>
  <c r="P31" i="1" s="1"/>
  <c r="CR31" i="1"/>
  <c r="Q31" i="1" s="1"/>
  <c r="CS31" i="1"/>
  <c r="R31" i="1" s="1"/>
  <c r="CT31" i="1"/>
  <c r="S31" i="1" s="1"/>
  <c r="CV31" i="1"/>
  <c r="U31" i="1" s="1"/>
  <c r="CX31" i="1"/>
  <c r="W31" i="1" s="1"/>
  <c r="FR31" i="1"/>
  <c r="GL31" i="1"/>
  <c r="GO31" i="1"/>
  <c r="GP31" i="1"/>
  <c r="GV31" i="1"/>
  <c r="HC31" i="1" s="1"/>
  <c r="GX31" i="1" s="1"/>
  <c r="C32" i="1"/>
  <c r="D32" i="1"/>
  <c r="I32" i="1"/>
  <c r="K32" i="1"/>
  <c r="P32" i="1"/>
  <c r="AC32" i="1"/>
  <c r="AE32" i="1"/>
  <c r="AF32" i="1"/>
  <c r="AG32" i="1"/>
  <c r="CU32" i="1" s="1"/>
  <c r="T32" i="1" s="1"/>
  <c r="AH32" i="1"/>
  <c r="CV32" i="1" s="1"/>
  <c r="U32" i="1" s="1"/>
  <c r="AI32" i="1"/>
  <c r="CW32" i="1" s="1"/>
  <c r="V32" i="1" s="1"/>
  <c r="AJ32" i="1"/>
  <c r="CQ32" i="1"/>
  <c r="CS32" i="1"/>
  <c r="R32" i="1" s="1"/>
  <c r="CT32" i="1"/>
  <c r="S32" i="1" s="1"/>
  <c r="CX32" i="1"/>
  <c r="W32" i="1" s="1"/>
  <c r="FR32" i="1"/>
  <c r="GL32" i="1"/>
  <c r="GO32" i="1"/>
  <c r="GP32" i="1"/>
  <c r="GV32" i="1"/>
  <c r="HC32" i="1"/>
  <c r="GX32" i="1" s="1"/>
  <c r="B34" i="1"/>
  <c r="B26" i="1" s="1"/>
  <c r="C34" i="1"/>
  <c r="C26" i="1" s="1"/>
  <c r="D34" i="1"/>
  <c r="D26" i="1" s="1"/>
  <c r="F34" i="1"/>
  <c r="F26" i="1" s="1"/>
  <c r="G34" i="1"/>
  <c r="BX34" i="1"/>
  <c r="BX26" i="1" s="1"/>
  <c r="CC34" i="1"/>
  <c r="CC26" i="1" s="1"/>
  <c r="CD34" i="1"/>
  <c r="CD26" i="1" s="1"/>
  <c r="CK34" i="1"/>
  <c r="CK26" i="1" s="1"/>
  <c r="CL34" i="1"/>
  <c r="CL26" i="1" s="1"/>
  <c r="CM34" i="1"/>
  <c r="CM26" i="1" s="1"/>
  <c r="D64" i="1"/>
  <c r="E66" i="1"/>
  <c r="Z66" i="1"/>
  <c r="AA66" i="1"/>
  <c r="AM66" i="1"/>
  <c r="AN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EF66" i="1"/>
  <c r="EG66" i="1"/>
  <c r="EH66" i="1"/>
  <c r="EI66" i="1"/>
  <c r="EJ66" i="1"/>
  <c r="EK66" i="1"/>
  <c r="EL66" i="1"/>
  <c r="EM66" i="1"/>
  <c r="EN66" i="1"/>
  <c r="EO66" i="1"/>
  <c r="EP66" i="1"/>
  <c r="EQ66" i="1"/>
  <c r="ER66" i="1"/>
  <c r="ES66" i="1"/>
  <c r="ET66" i="1"/>
  <c r="EU66" i="1"/>
  <c r="EV66" i="1"/>
  <c r="EW66" i="1"/>
  <c r="EX66" i="1"/>
  <c r="EY66" i="1"/>
  <c r="EZ66" i="1"/>
  <c r="FA66" i="1"/>
  <c r="FB66" i="1"/>
  <c r="FC66" i="1"/>
  <c r="FD66" i="1"/>
  <c r="FE66" i="1"/>
  <c r="FF66" i="1"/>
  <c r="FG66" i="1"/>
  <c r="FH66" i="1"/>
  <c r="FI66" i="1"/>
  <c r="FJ66" i="1"/>
  <c r="FK66" i="1"/>
  <c r="FL66" i="1"/>
  <c r="FM66" i="1"/>
  <c r="FN66" i="1"/>
  <c r="FO66" i="1"/>
  <c r="FP66" i="1"/>
  <c r="FQ66" i="1"/>
  <c r="FR66" i="1"/>
  <c r="FS66" i="1"/>
  <c r="FT66" i="1"/>
  <c r="FU66" i="1"/>
  <c r="FV66" i="1"/>
  <c r="FW66" i="1"/>
  <c r="FX66" i="1"/>
  <c r="FY66" i="1"/>
  <c r="FZ66" i="1"/>
  <c r="GA66" i="1"/>
  <c r="GB66" i="1"/>
  <c r="GC66" i="1"/>
  <c r="GD66" i="1"/>
  <c r="GE66" i="1"/>
  <c r="GF66" i="1"/>
  <c r="GG66" i="1"/>
  <c r="GH66" i="1"/>
  <c r="GI66" i="1"/>
  <c r="GJ66" i="1"/>
  <c r="GK66" i="1"/>
  <c r="GL66" i="1"/>
  <c r="GM66" i="1"/>
  <c r="GN66" i="1"/>
  <c r="GO66" i="1"/>
  <c r="GP66" i="1"/>
  <c r="GQ66" i="1"/>
  <c r="GR66" i="1"/>
  <c r="GS66" i="1"/>
  <c r="GT66" i="1"/>
  <c r="GU66" i="1"/>
  <c r="GV66" i="1"/>
  <c r="GW66" i="1"/>
  <c r="GX66" i="1"/>
  <c r="C68" i="1"/>
  <c r="D68" i="1"/>
  <c r="I68" i="1"/>
  <c r="K68" i="1"/>
  <c r="AC68" i="1"/>
  <c r="AE68" i="1"/>
  <c r="AF68" i="1"/>
  <c r="AG68" i="1"/>
  <c r="AH68" i="1"/>
  <c r="AI68" i="1"/>
  <c r="CW68" i="1" s="1"/>
  <c r="V68" i="1" s="1"/>
  <c r="AJ68" i="1"/>
  <c r="CX68" i="1" s="1"/>
  <c r="W68" i="1" s="1"/>
  <c r="CR68" i="1"/>
  <c r="Q68" i="1" s="1"/>
  <c r="CS68" i="1"/>
  <c r="R68" i="1" s="1"/>
  <c r="CU68" i="1"/>
  <c r="T68" i="1" s="1"/>
  <c r="CV68" i="1"/>
  <c r="U68" i="1" s="1"/>
  <c r="FR68" i="1"/>
  <c r="GL68" i="1"/>
  <c r="GO68" i="1"/>
  <c r="GP68" i="1"/>
  <c r="GV68" i="1"/>
  <c r="HC68" i="1" s="1"/>
  <c r="GX68" i="1" s="1"/>
  <c r="Q69" i="1"/>
  <c r="AC69" i="1"/>
  <c r="AE69" i="1"/>
  <c r="AD69" i="1" s="1"/>
  <c r="AF69" i="1"/>
  <c r="AG69" i="1"/>
  <c r="CU69" i="1" s="1"/>
  <c r="T69" i="1" s="1"/>
  <c r="AH69" i="1"/>
  <c r="AI69" i="1"/>
  <c r="CW69" i="1" s="1"/>
  <c r="V69" i="1" s="1"/>
  <c r="AJ69" i="1"/>
  <c r="CR69" i="1"/>
  <c r="CV69" i="1"/>
  <c r="U69" i="1" s="1"/>
  <c r="L80" i="7" s="1"/>
  <c r="Q80" i="7" s="1"/>
  <c r="CX69" i="1"/>
  <c r="W69" i="1" s="1"/>
  <c r="FR69" i="1"/>
  <c r="GL69" i="1"/>
  <c r="GO69" i="1"/>
  <c r="GP69" i="1"/>
  <c r="GV69" i="1"/>
  <c r="HC69" i="1" s="1"/>
  <c r="GX69" i="1" s="1"/>
  <c r="AC70" i="1"/>
  <c r="AE70" i="1"/>
  <c r="AD70" i="1" s="1"/>
  <c r="AF70" i="1"/>
  <c r="AG70" i="1"/>
  <c r="CU70" i="1" s="1"/>
  <c r="T70" i="1" s="1"/>
  <c r="AH70" i="1"/>
  <c r="AI70" i="1"/>
  <c r="CW70" i="1" s="1"/>
  <c r="V70" i="1" s="1"/>
  <c r="AJ70" i="1"/>
  <c r="CR70" i="1"/>
  <c r="Q70" i="1" s="1"/>
  <c r="CS70" i="1"/>
  <c r="R70" i="1" s="1"/>
  <c r="CV70" i="1"/>
  <c r="U70" i="1" s="1"/>
  <c r="L82" i="7" s="1"/>
  <c r="Q82" i="7" s="1"/>
  <c r="CX70" i="1"/>
  <c r="W70" i="1" s="1"/>
  <c r="FR70" i="1"/>
  <c r="GL70" i="1"/>
  <c r="GO70" i="1"/>
  <c r="GP70" i="1"/>
  <c r="GV70" i="1"/>
  <c r="HC70" i="1" s="1"/>
  <c r="GX70" i="1" s="1"/>
  <c r="C71" i="1"/>
  <c r="D71" i="1"/>
  <c r="AC71" i="1"/>
  <c r="CQ71" i="1" s="1"/>
  <c r="P71" i="1" s="1"/>
  <c r="AE71" i="1"/>
  <c r="AF71" i="1"/>
  <c r="AG71" i="1"/>
  <c r="CU71" i="1" s="1"/>
  <c r="T71" i="1" s="1"/>
  <c r="AH71" i="1"/>
  <c r="AI71" i="1"/>
  <c r="CW71" i="1" s="1"/>
  <c r="V71" i="1" s="1"/>
  <c r="AJ71" i="1"/>
  <c r="CT71" i="1"/>
  <c r="S71" i="1" s="1"/>
  <c r="CV71" i="1"/>
  <c r="U71" i="1" s="1"/>
  <c r="CX71" i="1"/>
  <c r="W71" i="1" s="1"/>
  <c r="FR71" i="1"/>
  <c r="GL71" i="1"/>
  <c r="GO71" i="1"/>
  <c r="GP71" i="1"/>
  <c r="GV71" i="1"/>
  <c r="HC71" i="1" s="1"/>
  <c r="GX71" i="1" s="1"/>
  <c r="AC72" i="1"/>
  <c r="AE72" i="1"/>
  <c r="CS72" i="1" s="1"/>
  <c r="R72" i="1" s="1"/>
  <c r="AF72" i="1"/>
  <c r="AG72" i="1"/>
  <c r="CU72" i="1" s="1"/>
  <c r="T72" i="1" s="1"/>
  <c r="AH72" i="1"/>
  <c r="AI72" i="1"/>
  <c r="CW72" i="1" s="1"/>
  <c r="V72" i="1" s="1"/>
  <c r="AJ72" i="1"/>
  <c r="CQ72" i="1"/>
  <c r="P72" i="1" s="1"/>
  <c r="CT72" i="1"/>
  <c r="S72" i="1" s="1"/>
  <c r="CV72" i="1"/>
  <c r="U72" i="1" s="1"/>
  <c r="L93" i="7" s="1"/>
  <c r="Q93" i="7" s="1"/>
  <c r="CX72" i="1"/>
  <c r="W72" i="1" s="1"/>
  <c r="FR72" i="1"/>
  <c r="GL72" i="1"/>
  <c r="GO72" i="1"/>
  <c r="GP72" i="1"/>
  <c r="GV72" i="1"/>
  <c r="HC72" i="1" s="1"/>
  <c r="GX72" i="1" s="1"/>
  <c r="C73" i="1"/>
  <c r="D73" i="1"/>
  <c r="I73" i="1"/>
  <c r="K73" i="1"/>
  <c r="AC73" i="1"/>
  <c r="CQ73" i="1" s="1"/>
  <c r="AE73" i="1"/>
  <c r="AF73" i="1"/>
  <c r="AG73" i="1"/>
  <c r="AH73" i="1"/>
  <c r="CV73" i="1" s="1"/>
  <c r="AI73" i="1"/>
  <c r="CW73" i="1" s="1"/>
  <c r="AJ73" i="1"/>
  <c r="CX73" i="1" s="1"/>
  <c r="W73" i="1" s="1"/>
  <c r="CT73" i="1"/>
  <c r="CU73" i="1"/>
  <c r="FR73" i="1"/>
  <c r="GL73" i="1"/>
  <c r="GO73" i="1"/>
  <c r="GP73" i="1"/>
  <c r="GV73" i="1"/>
  <c r="HC73" i="1" s="1"/>
  <c r="S74" i="1"/>
  <c r="AC74" i="1"/>
  <c r="AE74" i="1"/>
  <c r="AD74" i="1" s="1"/>
  <c r="AF74" i="1"/>
  <c r="AG74" i="1"/>
  <c r="AH74" i="1"/>
  <c r="CV74" i="1" s="1"/>
  <c r="U74" i="1" s="1"/>
  <c r="L104" i="7" s="1"/>
  <c r="Q104" i="7" s="1"/>
  <c r="AI74" i="1"/>
  <c r="CW74" i="1" s="1"/>
  <c r="V74" i="1" s="1"/>
  <c r="AJ74" i="1"/>
  <c r="CR74" i="1"/>
  <c r="Q74" i="1" s="1"/>
  <c r="CT74" i="1"/>
  <c r="CU74" i="1"/>
  <c r="T74" i="1" s="1"/>
  <c r="CX74" i="1"/>
  <c r="W74" i="1" s="1"/>
  <c r="FR74" i="1"/>
  <c r="GL74" i="1"/>
  <c r="GO74" i="1"/>
  <c r="GP74" i="1"/>
  <c r="GV74" i="1"/>
  <c r="HC74" i="1" s="1"/>
  <c r="GX74" i="1" s="1"/>
  <c r="C75" i="1"/>
  <c r="D75" i="1"/>
  <c r="I75" i="1"/>
  <c r="K75" i="1"/>
  <c r="AC75" i="1"/>
  <c r="AD75" i="1"/>
  <c r="AE75" i="1"/>
  <c r="AF75" i="1"/>
  <c r="AG75" i="1"/>
  <c r="CU75" i="1" s="1"/>
  <c r="T75" i="1" s="1"/>
  <c r="AH75" i="1"/>
  <c r="AI75" i="1"/>
  <c r="CW75" i="1" s="1"/>
  <c r="V75" i="1" s="1"/>
  <c r="AJ75" i="1"/>
  <c r="CX75" i="1" s="1"/>
  <c r="W75" i="1" s="1"/>
  <c r="CQ75" i="1"/>
  <c r="CR75" i="1"/>
  <c r="Q75" i="1" s="1"/>
  <c r="CV75" i="1"/>
  <c r="U75" i="1" s="1"/>
  <c r="FR75" i="1"/>
  <c r="GL75" i="1"/>
  <c r="GO75" i="1"/>
  <c r="GP75" i="1"/>
  <c r="GV75" i="1"/>
  <c r="HC75" i="1" s="1"/>
  <c r="GX75" i="1" s="1"/>
  <c r="I76" i="1"/>
  <c r="AC76" i="1"/>
  <c r="AE76" i="1"/>
  <c r="CR76" i="1" s="1"/>
  <c r="Q76" i="1" s="1"/>
  <c r="AF76" i="1"/>
  <c r="AG76" i="1"/>
  <c r="AH76" i="1"/>
  <c r="CV76" i="1" s="1"/>
  <c r="U76" i="1" s="1"/>
  <c r="AI76" i="1"/>
  <c r="AJ76" i="1"/>
  <c r="CX76" i="1" s="1"/>
  <c r="W76" i="1" s="1"/>
  <c r="CS76" i="1"/>
  <c r="R76" i="1" s="1"/>
  <c r="CU76" i="1"/>
  <c r="T76" i="1" s="1"/>
  <c r="CW76" i="1"/>
  <c r="V76" i="1" s="1"/>
  <c r="FR76" i="1"/>
  <c r="GL76" i="1"/>
  <c r="GO76" i="1"/>
  <c r="GP76" i="1"/>
  <c r="GV76" i="1"/>
  <c r="HC76" i="1" s="1"/>
  <c r="GX76" i="1" s="1"/>
  <c r="AC77" i="1"/>
  <c r="AE77" i="1"/>
  <c r="AD77" i="1" s="1"/>
  <c r="AF77" i="1"/>
  <c r="AG77" i="1"/>
  <c r="AH77" i="1"/>
  <c r="CV77" i="1" s="1"/>
  <c r="U77" i="1" s="1"/>
  <c r="L116" i="7" s="1"/>
  <c r="Q116" i="7" s="1"/>
  <c r="AI77" i="1"/>
  <c r="CW77" i="1" s="1"/>
  <c r="V77" i="1" s="1"/>
  <c r="AJ77" i="1"/>
  <c r="CR77" i="1"/>
  <c r="Q77" i="1" s="1"/>
  <c r="CU77" i="1"/>
  <c r="T77" i="1" s="1"/>
  <c r="CX77" i="1"/>
  <c r="W77" i="1" s="1"/>
  <c r="FR77" i="1"/>
  <c r="BY101" i="1" s="1"/>
  <c r="GL77" i="1"/>
  <c r="GO77" i="1"/>
  <c r="GP77" i="1"/>
  <c r="GV77" i="1"/>
  <c r="HC77" i="1" s="1"/>
  <c r="GX77" i="1" s="1"/>
  <c r="C78" i="1"/>
  <c r="D78" i="1"/>
  <c r="I78" i="1"/>
  <c r="K78" i="1"/>
  <c r="AC78" i="1"/>
  <c r="AE78" i="1"/>
  <c r="AF78" i="1"/>
  <c r="AG78" i="1"/>
  <c r="AH78" i="1"/>
  <c r="CV78" i="1" s="1"/>
  <c r="AI78" i="1"/>
  <c r="CW78" i="1" s="1"/>
  <c r="AJ78" i="1"/>
  <c r="CX78" i="1" s="1"/>
  <c r="W78" i="1" s="1"/>
  <c r="CQ78" i="1"/>
  <c r="CT78" i="1"/>
  <c r="CU78" i="1"/>
  <c r="FR78" i="1"/>
  <c r="GL78" i="1"/>
  <c r="GO78" i="1"/>
  <c r="GP78" i="1"/>
  <c r="GV78" i="1"/>
  <c r="HC78" i="1" s="1"/>
  <c r="GX78" i="1" s="1"/>
  <c r="I79" i="1"/>
  <c r="K79" i="1"/>
  <c r="AC79" i="1"/>
  <c r="AE79" i="1"/>
  <c r="AD79" i="1" s="1"/>
  <c r="AF79" i="1"/>
  <c r="AG79" i="1"/>
  <c r="AH79" i="1"/>
  <c r="CV79" i="1" s="1"/>
  <c r="U79" i="1" s="1"/>
  <c r="L127" i="7" s="1"/>
  <c r="Q127" i="7" s="1"/>
  <c r="AI79" i="1"/>
  <c r="AJ79" i="1"/>
  <c r="CX79" i="1" s="1"/>
  <c r="CS79" i="1"/>
  <c r="CU79" i="1"/>
  <c r="T79" i="1" s="1"/>
  <c r="CW79" i="1"/>
  <c r="V79" i="1" s="1"/>
  <c r="FR79" i="1"/>
  <c r="GL79" i="1"/>
  <c r="GO79" i="1"/>
  <c r="GP79" i="1"/>
  <c r="GV79" i="1"/>
  <c r="HC79" i="1"/>
  <c r="GX79" i="1" s="1"/>
  <c r="I80" i="1"/>
  <c r="K80" i="1"/>
  <c r="AC80" i="1"/>
  <c r="AE80" i="1"/>
  <c r="AD80" i="1" s="1"/>
  <c r="AB80" i="1" s="1"/>
  <c r="AF80" i="1"/>
  <c r="AG80" i="1"/>
  <c r="CU80" i="1" s="1"/>
  <c r="T80" i="1" s="1"/>
  <c r="AH80" i="1"/>
  <c r="CV80" i="1" s="1"/>
  <c r="U80" i="1" s="1"/>
  <c r="L129" i="7" s="1"/>
  <c r="Q129" i="7" s="1"/>
  <c r="AI80" i="1"/>
  <c r="CW80" i="1" s="1"/>
  <c r="V80" i="1" s="1"/>
  <c r="AJ80" i="1"/>
  <c r="CR80" i="1"/>
  <c r="CT80" i="1"/>
  <c r="S80" i="1" s="1"/>
  <c r="CX80" i="1"/>
  <c r="FR80" i="1"/>
  <c r="GL80" i="1"/>
  <c r="GO80" i="1"/>
  <c r="GP80" i="1"/>
  <c r="GV80" i="1"/>
  <c r="HC80" i="1" s="1"/>
  <c r="GX80" i="1" s="1"/>
  <c r="I81" i="1"/>
  <c r="K81" i="1"/>
  <c r="AC81" i="1"/>
  <c r="AE81" i="1"/>
  <c r="CS81" i="1" s="1"/>
  <c r="R81" i="1" s="1"/>
  <c r="AF81" i="1"/>
  <c r="AG81" i="1"/>
  <c r="CU81" i="1" s="1"/>
  <c r="T81" i="1" s="1"/>
  <c r="AH81" i="1"/>
  <c r="AI81" i="1"/>
  <c r="CW81" i="1" s="1"/>
  <c r="V81" i="1" s="1"/>
  <c r="AJ81" i="1"/>
  <c r="CR81" i="1"/>
  <c r="Q81" i="1" s="1"/>
  <c r="CV81" i="1"/>
  <c r="U81" i="1" s="1"/>
  <c r="L131" i="7" s="1"/>
  <c r="Q131" i="7" s="1"/>
  <c r="CX81" i="1"/>
  <c r="W81" i="1" s="1"/>
  <c r="FR81" i="1"/>
  <c r="GL81" i="1"/>
  <c r="GO81" i="1"/>
  <c r="GP81" i="1"/>
  <c r="GV81" i="1"/>
  <c r="HC81" i="1" s="1"/>
  <c r="AC82" i="1"/>
  <c r="AE82" i="1"/>
  <c r="AD82" i="1" s="1"/>
  <c r="AF82" i="1"/>
  <c r="AG82" i="1"/>
  <c r="AH82" i="1"/>
  <c r="CV82" i="1" s="1"/>
  <c r="U82" i="1" s="1"/>
  <c r="L133" i="7" s="1"/>
  <c r="Q133" i="7" s="1"/>
  <c r="AI82" i="1"/>
  <c r="AJ82" i="1"/>
  <c r="CX82" i="1" s="1"/>
  <c r="W82" i="1" s="1"/>
  <c r="CQ82" i="1"/>
  <c r="P82" i="1" s="1"/>
  <c r="CS82" i="1"/>
  <c r="R82" i="1" s="1"/>
  <c r="CU82" i="1"/>
  <c r="T82" i="1" s="1"/>
  <c r="CW82" i="1"/>
  <c r="V82" i="1" s="1"/>
  <c r="FR82" i="1"/>
  <c r="GL82" i="1"/>
  <c r="GO82" i="1"/>
  <c r="GP82" i="1"/>
  <c r="GV82" i="1"/>
  <c r="HC82" i="1" s="1"/>
  <c r="GX82" i="1" s="1"/>
  <c r="C83" i="1"/>
  <c r="D83" i="1"/>
  <c r="I83" i="1"/>
  <c r="K83" i="1"/>
  <c r="AC83" i="1"/>
  <c r="AE83" i="1"/>
  <c r="AF83" i="1"/>
  <c r="AG83" i="1"/>
  <c r="AH83" i="1"/>
  <c r="CV83" i="1" s="1"/>
  <c r="U83" i="1" s="1"/>
  <c r="AI83" i="1"/>
  <c r="CW83" i="1" s="1"/>
  <c r="V83" i="1" s="1"/>
  <c r="AJ83" i="1"/>
  <c r="CR83" i="1"/>
  <c r="Q83" i="1" s="1"/>
  <c r="CU83" i="1"/>
  <c r="T83" i="1" s="1"/>
  <c r="CX83" i="1"/>
  <c r="W83" i="1" s="1"/>
  <c r="FR83" i="1"/>
  <c r="GL83" i="1"/>
  <c r="GO83" i="1"/>
  <c r="GP83" i="1"/>
  <c r="GV83" i="1"/>
  <c r="HC83" i="1" s="1"/>
  <c r="AC84" i="1"/>
  <c r="AE84" i="1"/>
  <c r="AF84" i="1"/>
  <c r="AG84" i="1"/>
  <c r="AH84" i="1"/>
  <c r="CV84" i="1" s="1"/>
  <c r="U84" i="1" s="1"/>
  <c r="L144" i="7" s="1"/>
  <c r="Q144" i="7" s="1"/>
  <c r="AI84" i="1"/>
  <c r="CW84" i="1" s="1"/>
  <c r="V84" i="1" s="1"/>
  <c r="AJ84" i="1"/>
  <c r="CT84" i="1"/>
  <c r="S84" i="1" s="1"/>
  <c r="CU84" i="1"/>
  <c r="T84" i="1" s="1"/>
  <c r="CX84" i="1"/>
  <c r="W84" i="1" s="1"/>
  <c r="FR84" i="1"/>
  <c r="GL84" i="1"/>
  <c r="GO84" i="1"/>
  <c r="GP84" i="1"/>
  <c r="GV84" i="1"/>
  <c r="HC84" i="1" s="1"/>
  <c r="GX84" i="1" s="1"/>
  <c r="C85" i="1"/>
  <c r="D85" i="1"/>
  <c r="I85" i="1"/>
  <c r="K85" i="1"/>
  <c r="AC85" i="1"/>
  <c r="AE85" i="1"/>
  <c r="AF85" i="1"/>
  <c r="AG85" i="1"/>
  <c r="CU85" i="1" s="1"/>
  <c r="T85" i="1" s="1"/>
  <c r="AH85" i="1"/>
  <c r="CV85" i="1" s="1"/>
  <c r="AI85" i="1"/>
  <c r="CW85" i="1" s="1"/>
  <c r="V85" i="1" s="1"/>
  <c r="AJ85" i="1"/>
  <c r="CX85" i="1" s="1"/>
  <c r="W85" i="1" s="1"/>
  <c r="CR85" i="1"/>
  <c r="FR85" i="1"/>
  <c r="GL85" i="1"/>
  <c r="GO85" i="1"/>
  <c r="GP85" i="1"/>
  <c r="GV85" i="1"/>
  <c r="HC85" i="1" s="1"/>
  <c r="GX85" i="1" s="1"/>
  <c r="AC86" i="1"/>
  <c r="AE86" i="1"/>
  <c r="AD86" i="1" s="1"/>
  <c r="AF86" i="1"/>
  <c r="AG86" i="1"/>
  <c r="CU86" i="1" s="1"/>
  <c r="T86" i="1" s="1"/>
  <c r="AH86" i="1"/>
  <c r="CV86" i="1" s="1"/>
  <c r="U86" i="1" s="1"/>
  <c r="L155" i="7" s="1"/>
  <c r="Q155" i="7" s="1"/>
  <c r="AI86" i="1"/>
  <c r="CW86" i="1" s="1"/>
  <c r="V86" i="1" s="1"/>
  <c r="AJ86" i="1"/>
  <c r="CR86" i="1"/>
  <c r="Q86" i="1" s="1"/>
  <c r="CT86" i="1"/>
  <c r="S86" i="1" s="1"/>
  <c r="CX86" i="1"/>
  <c r="W86" i="1" s="1"/>
  <c r="FR86" i="1"/>
  <c r="GL86" i="1"/>
  <c r="GO86" i="1"/>
  <c r="GP86" i="1"/>
  <c r="GV86" i="1"/>
  <c r="HC86" i="1" s="1"/>
  <c r="GX86" i="1"/>
  <c r="AC87" i="1"/>
  <c r="AE87" i="1"/>
  <c r="AD87" i="1" s="1"/>
  <c r="AF87" i="1"/>
  <c r="AG87" i="1"/>
  <c r="CU87" i="1" s="1"/>
  <c r="T87" i="1" s="1"/>
  <c r="AH87" i="1"/>
  <c r="CV87" i="1" s="1"/>
  <c r="U87" i="1" s="1"/>
  <c r="L157" i="7" s="1"/>
  <c r="Q157" i="7" s="1"/>
  <c r="AI87" i="1"/>
  <c r="CW87" i="1" s="1"/>
  <c r="V87" i="1" s="1"/>
  <c r="AJ87" i="1"/>
  <c r="CX87" i="1" s="1"/>
  <c r="W87" i="1" s="1"/>
  <c r="CR87" i="1"/>
  <c r="Q87" i="1" s="1"/>
  <c r="CT87" i="1"/>
  <c r="S87" i="1" s="1"/>
  <c r="FR87" i="1"/>
  <c r="GL87" i="1"/>
  <c r="GO87" i="1"/>
  <c r="GP87" i="1"/>
  <c r="GV87" i="1"/>
  <c r="HC87" i="1" s="1"/>
  <c r="GX87" i="1" s="1"/>
  <c r="C88" i="1"/>
  <c r="D88" i="1"/>
  <c r="I88" i="1"/>
  <c r="K88" i="1"/>
  <c r="AC88" i="1"/>
  <c r="AE88" i="1"/>
  <c r="AF88" i="1"/>
  <c r="AG88" i="1"/>
  <c r="CU88" i="1" s="1"/>
  <c r="AH88" i="1"/>
  <c r="CV88" i="1" s="1"/>
  <c r="AI88" i="1"/>
  <c r="CW88" i="1" s="1"/>
  <c r="AJ88" i="1"/>
  <c r="CX88" i="1" s="1"/>
  <c r="W88" i="1" s="1"/>
  <c r="CR88" i="1"/>
  <c r="CT88" i="1"/>
  <c r="FR88" i="1"/>
  <c r="GL88" i="1"/>
  <c r="GO88" i="1"/>
  <c r="GP88" i="1"/>
  <c r="GV88" i="1"/>
  <c r="HC88" i="1" s="1"/>
  <c r="AC89" i="1"/>
  <c r="AE89" i="1"/>
  <c r="CS89" i="1" s="1"/>
  <c r="R89" i="1" s="1"/>
  <c r="AF89" i="1"/>
  <c r="AG89" i="1"/>
  <c r="CU89" i="1" s="1"/>
  <c r="T89" i="1" s="1"/>
  <c r="AH89" i="1"/>
  <c r="CV89" i="1" s="1"/>
  <c r="U89" i="1" s="1"/>
  <c r="L169" i="7" s="1"/>
  <c r="Q169" i="7" s="1"/>
  <c r="AI89" i="1"/>
  <c r="CW89" i="1" s="1"/>
  <c r="V89" i="1" s="1"/>
  <c r="AJ89" i="1"/>
  <c r="CX89" i="1"/>
  <c r="W89" i="1" s="1"/>
  <c r="FR89" i="1"/>
  <c r="GL89" i="1"/>
  <c r="GO89" i="1"/>
  <c r="GP89" i="1"/>
  <c r="GV89" i="1"/>
  <c r="HC89" i="1" s="1"/>
  <c r="GX89" i="1" s="1"/>
  <c r="C90" i="1"/>
  <c r="D90" i="1"/>
  <c r="I90" i="1"/>
  <c r="K90" i="1"/>
  <c r="AC90" i="1"/>
  <c r="AE90" i="1"/>
  <c r="AF90" i="1"/>
  <c r="AG90" i="1"/>
  <c r="CU90" i="1" s="1"/>
  <c r="AH90" i="1"/>
  <c r="CV90" i="1" s="1"/>
  <c r="AI90" i="1"/>
  <c r="CW90" i="1" s="1"/>
  <c r="AJ90" i="1"/>
  <c r="CX90" i="1" s="1"/>
  <c r="W90" i="1" s="1"/>
  <c r="CR90" i="1"/>
  <c r="CT90" i="1"/>
  <c r="FR90" i="1"/>
  <c r="GL90" i="1"/>
  <c r="GO90" i="1"/>
  <c r="GP90" i="1"/>
  <c r="GV90" i="1"/>
  <c r="HC90" i="1" s="1"/>
  <c r="AC91" i="1"/>
  <c r="AE91" i="1"/>
  <c r="AD91" i="1" s="1"/>
  <c r="AF91" i="1"/>
  <c r="AG91" i="1"/>
  <c r="CU91" i="1" s="1"/>
  <c r="T91" i="1" s="1"/>
  <c r="AH91" i="1"/>
  <c r="CV91" i="1" s="1"/>
  <c r="U91" i="1" s="1"/>
  <c r="L181" i="7" s="1"/>
  <c r="Q181" i="7" s="1"/>
  <c r="AI91" i="1"/>
  <c r="CW91" i="1" s="1"/>
  <c r="V91" i="1" s="1"/>
  <c r="AJ91" i="1"/>
  <c r="CR91" i="1"/>
  <c r="Q91" i="1" s="1"/>
  <c r="CT91" i="1"/>
  <c r="S91" i="1" s="1"/>
  <c r="CX91" i="1"/>
  <c r="W91" i="1" s="1"/>
  <c r="FR91" i="1"/>
  <c r="GL91" i="1"/>
  <c r="GO91" i="1"/>
  <c r="GP91" i="1"/>
  <c r="GV91" i="1"/>
  <c r="HC91" i="1" s="1"/>
  <c r="GX91" i="1"/>
  <c r="C92" i="1"/>
  <c r="D92" i="1"/>
  <c r="AC92" i="1"/>
  <c r="AE92" i="1"/>
  <c r="AD92" i="1" s="1"/>
  <c r="AF92" i="1"/>
  <c r="AG92" i="1"/>
  <c r="CU92" i="1" s="1"/>
  <c r="T92" i="1" s="1"/>
  <c r="AH92" i="1"/>
  <c r="CV92" i="1" s="1"/>
  <c r="U92" i="1" s="1"/>
  <c r="AI92" i="1"/>
  <c r="CW92" i="1" s="1"/>
  <c r="V92" i="1" s="1"/>
  <c r="AJ92" i="1"/>
  <c r="CR92" i="1"/>
  <c r="Q92" i="1" s="1"/>
  <c r="CX92" i="1"/>
  <c r="W92" i="1" s="1"/>
  <c r="FR92" i="1"/>
  <c r="GL92" i="1"/>
  <c r="GO92" i="1"/>
  <c r="GP92" i="1"/>
  <c r="GV92" i="1"/>
  <c r="HC92" i="1" s="1"/>
  <c r="GX92" i="1" s="1"/>
  <c r="C93" i="1"/>
  <c r="D93" i="1"/>
  <c r="AC93" i="1"/>
  <c r="AE93" i="1"/>
  <c r="AF93" i="1"/>
  <c r="AG93" i="1"/>
  <c r="CU93" i="1" s="1"/>
  <c r="T93" i="1" s="1"/>
  <c r="AH93" i="1"/>
  <c r="AI93" i="1"/>
  <c r="CW93" i="1" s="1"/>
  <c r="V93" i="1" s="1"/>
  <c r="AJ93" i="1"/>
  <c r="CX93" i="1" s="1"/>
  <c r="W93" i="1" s="1"/>
  <c r="CT93" i="1"/>
  <c r="S93" i="1" s="1"/>
  <c r="CV93" i="1"/>
  <c r="U93" i="1" s="1"/>
  <c r="FR93" i="1"/>
  <c r="GL93" i="1"/>
  <c r="GO93" i="1"/>
  <c r="GP93" i="1"/>
  <c r="GV93" i="1"/>
  <c r="HC93" i="1" s="1"/>
  <c r="GX93" i="1" s="1"/>
  <c r="C94" i="1"/>
  <c r="D94" i="1"/>
  <c r="I94" i="1"/>
  <c r="K94" i="1"/>
  <c r="AC94" i="1"/>
  <c r="AE94" i="1"/>
  <c r="AF94" i="1"/>
  <c r="AG94" i="1"/>
  <c r="CU94" i="1" s="1"/>
  <c r="T94" i="1" s="1"/>
  <c r="AH94" i="1"/>
  <c r="AI94" i="1"/>
  <c r="CW94" i="1" s="1"/>
  <c r="V94" i="1" s="1"/>
  <c r="AJ94" i="1"/>
  <c r="CX94" i="1" s="1"/>
  <c r="CT94" i="1"/>
  <c r="S94" i="1" s="1"/>
  <c r="CV94" i="1"/>
  <c r="U94" i="1" s="1"/>
  <c r="FR94" i="1"/>
  <c r="GL94" i="1"/>
  <c r="GO94" i="1"/>
  <c r="GP94" i="1"/>
  <c r="GV94" i="1"/>
  <c r="HC94" i="1"/>
  <c r="GX94" i="1" s="1"/>
  <c r="C95" i="1"/>
  <c r="D95" i="1"/>
  <c r="I95" i="1"/>
  <c r="K95" i="1"/>
  <c r="AC95" i="1"/>
  <c r="AE95" i="1"/>
  <c r="AF95" i="1"/>
  <c r="AG95" i="1"/>
  <c r="CU95" i="1" s="1"/>
  <c r="AH95" i="1"/>
  <c r="AI95" i="1"/>
  <c r="CW95" i="1" s="1"/>
  <c r="AJ95" i="1"/>
  <c r="CX95" i="1" s="1"/>
  <c r="W95" i="1" s="1"/>
  <c r="CT95" i="1"/>
  <c r="S95" i="1" s="1"/>
  <c r="CV95" i="1"/>
  <c r="U95" i="1" s="1"/>
  <c r="FR95" i="1"/>
  <c r="GL95" i="1"/>
  <c r="GO95" i="1"/>
  <c r="GP95" i="1"/>
  <c r="GV95" i="1"/>
  <c r="HC95" i="1" s="1"/>
  <c r="AB96" i="1"/>
  <c r="AC96" i="1"/>
  <c r="AD96" i="1"/>
  <c r="AE96" i="1"/>
  <c r="AF96" i="1"/>
  <c r="AG96" i="1"/>
  <c r="CU96" i="1" s="1"/>
  <c r="AH96" i="1"/>
  <c r="CV96" i="1" s="1"/>
  <c r="AI96" i="1"/>
  <c r="AJ96" i="1"/>
  <c r="CX96" i="1" s="1"/>
  <c r="CQ96" i="1"/>
  <c r="CR96" i="1"/>
  <c r="CS96" i="1"/>
  <c r="CW96" i="1"/>
  <c r="FR96" i="1"/>
  <c r="GL96" i="1"/>
  <c r="GO96" i="1"/>
  <c r="GP96" i="1"/>
  <c r="GV96" i="1"/>
  <c r="HC96" i="1" s="1"/>
  <c r="K97" i="1"/>
  <c r="AC97" i="1"/>
  <c r="AE97" i="1"/>
  <c r="AD97" i="1" s="1"/>
  <c r="AB97" i="1" s="1"/>
  <c r="AF97" i="1"/>
  <c r="AG97" i="1"/>
  <c r="CU97" i="1" s="1"/>
  <c r="AH97" i="1"/>
  <c r="CV97" i="1" s="1"/>
  <c r="AI97" i="1"/>
  <c r="AJ97" i="1"/>
  <c r="CX97" i="1" s="1"/>
  <c r="CS97" i="1"/>
  <c r="CW97" i="1"/>
  <c r="FR97" i="1"/>
  <c r="GL97" i="1"/>
  <c r="GO97" i="1"/>
  <c r="GP97" i="1"/>
  <c r="GV97" i="1"/>
  <c r="HC97" i="1"/>
  <c r="C98" i="1"/>
  <c r="D98" i="1"/>
  <c r="I98" i="1"/>
  <c r="K98" i="1"/>
  <c r="AC98" i="1"/>
  <c r="AD98" i="1"/>
  <c r="AB98" i="1" s="1"/>
  <c r="AE98" i="1"/>
  <c r="AF98" i="1"/>
  <c r="AG98" i="1"/>
  <c r="CU98" i="1" s="1"/>
  <c r="T98" i="1" s="1"/>
  <c r="AH98" i="1"/>
  <c r="CV98" i="1" s="1"/>
  <c r="AI98" i="1"/>
  <c r="AJ98" i="1"/>
  <c r="CX98" i="1" s="1"/>
  <c r="CQ98" i="1"/>
  <c r="CR98" i="1"/>
  <c r="CS98" i="1"/>
  <c r="CW98" i="1"/>
  <c r="V98" i="1" s="1"/>
  <c r="FR98" i="1"/>
  <c r="GL98" i="1"/>
  <c r="GO98" i="1"/>
  <c r="GP98" i="1"/>
  <c r="GV98" i="1"/>
  <c r="HC98" i="1" s="1"/>
  <c r="AC99" i="1"/>
  <c r="AE99" i="1"/>
  <c r="AF99" i="1"/>
  <c r="AG99" i="1"/>
  <c r="CU99" i="1" s="1"/>
  <c r="T99" i="1" s="1"/>
  <c r="AH99" i="1"/>
  <c r="CV99" i="1" s="1"/>
  <c r="U99" i="1" s="1"/>
  <c r="L226" i="7" s="1"/>
  <c r="Q226" i="7" s="1"/>
  <c r="AI99" i="1"/>
  <c r="AJ99" i="1"/>
  <c r="CX99" i="1" s="1"/>
  <c r="W99" i="1" s="1"/>
  <c r="CQ99" i="1"/>
  <c r="P99" i="1" s="1"/>
  <c r="CW99" i="1"/>
  <c r="V99" i="1" s="1"/>
  <c r="FR99" i="1"/>
  <c r="GL99" i="1"/>
  <c r="GO99" i="1"/>
  <c r="GP99" i="1"/>
  <c r="GV99" i="1"/>
  <c r="HC99" i="1" s="1"/>
  <c r="GX99" i="1" s="1"/>
  <c r="B101" i="1"/>
  <c r="B66" i="1" s="1"/>
  <c r="C101" i="1"/>
  <c r="C66" i="1" s="1"/>
  <c r="D101" i="1"/>
  <c r="D66" i="1" s="1"/>
  <c r="F101" i="1"/>
  <c r="F66" i="1" s="1"/>
  <c r="G101" i="1"/>
  <c r="BX101" i="1"/>
  <c r="BX66" i="1" s="1"/>
  <c r="CK101" i="1"/>
  <c r="CK66" i="1" s="1"/>
  <c r="CL101" i="1"/>
  <c r="CL66" i="1" s="1"/>
  <c r="CM101" i="1"/>
  <c r="CM66" i="1" s="1"/>
  <c r="D131" i="1"/>
  <c r="E133" i="1"/>
  <c r="Z133" i="1"/>
  <c r="AA133" i="1"/>
  <c r="AM133" i="1"/>
  <c r="AN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DB133" i="1"/>
  <c r="DC133" i="1"/>
  <c r="DD133" i="1"/>
  <c r="DE133" i="1"/>
  <c r="DF133" i="1"/>
  <c r="DG133" i="1"/>
  <c r="DH133" i="1"/>
  <c r="DI133" i="1"/>
  <c r="DJ133" i="1"/>
  <c r="DK133" i="1"/>
  <c r="DL133" i="1"/>
  <c r="DM133" i="1"/>
  <c r="DN133" i="1"/>
  <c r="DO133" i="1"/>
  <c r="DP133" i="1"/>
  <c r="DQ133" i="1"/>
  <c r="DR133" i="1"/>
  <c r="DS133" i="1"/>
  <c r="DT133" i="1"/>
  <c r="DU133" i="1"/>
  <c r="DV133" i="1"/>
  <c r="DW133" i="1"/>
  <c r="DX133" i="1"/>
  <c r="DY133" i="1"/>
  <c r="DZ133" i="1"/>
  <c r="EA133" i="1"/>
  <c r="EB133" i="1"/>
  <c r="EC133" i="1"/>
  <c r="ED133" i="1"/>
  <c r="EE133" i="1"/>
  <c r="EF133" i="1"/>
  <c r="EG133" i="1"/>
  <c r="EH133" i="1"/>
  <c r="EI133" i="1"/>
  <c r="EJ133" i="1"/>
  <c r="EK133" i="1"/>
  <c r="EL133" i="1"/>
  <c r="EM133" i="1"/>
  <c r="EN133" i="1"/>
  <c r="EO133" i="1"/>
  <c r="EP133" i="1"/>
  <c r="EQ133" i="1"/>
  <c r="ER133" i="1"/>
  <c r="ES133" i="1"/>
  <c r="ET133" i="1"/>
  <c r="EU133" i="1"/>
  <c r="EV133" i="1"/>
  <c r="EW133" i="1"/>
  <c r="EX133" i="1"/>
  <c r="EY133" i="1"/>
  <c r="EZ133" i="1"/>
  <c r="FA133" i="1"/>
  <c r="FB133" i="1"/>
  <c r="FC133" i="1"/>
  <c r="FD133" i="1"/>
  <c r="FE133" i="1"/>
  <c r="FF133" i="1"/>
  <c r="FG133" i="1"/>
  <c r="FH133" i="1"/>
  <c r="FI133" i="1"/>
  <c r="FJ133" i="1"/>
  <c r="FK133" i="1"/>
  <c r="FL133" i="1"/>
  <c r="FM133" i="1"/>
  <c r="FN133" i="1"/>
  <c r="FO133" i="1"/>
  <c r="FP133" i="1"/>
  <c r="FQ133" i="1"/>
  <c r="FR133" i="1"/>
  <c r="FS133" i="1"/>
  <c r="FT133" i="1"/>
  <c r="FU133" i="1"/>
  <c r="FV133" i="1"/>
  <c r="FW133" i="1"/>
  <c r="FX133" i="1"/>
  <c r="FY133" i="1"/>
  <c r="FZ133" i="1"/>
  <c r="GA133" i="1"/>
  <c r="GB133" i="1"/>
  <c r="GC133" i="1"/>
  <c r="GD133" i="1"/>
  <c r="GE133" i="1"/>
  <c r="GF133" i="1"/>
  <c r="GG133" i="1"/>
  <c r="GH133" i="1"/>
  <c r="GI133" i="1"/>
  <c r="GJ133" i="1"/>
  <c r="GK133" i="1"/>
  <c r="GL133" i="1"/>
  <c r="GM133" i="1"/>
  <c r="GN133" i="1"/>
  <c r="GO133" i="1"/>
  <c r="GP133" i="1"/>
  <c r="GQ133" i="1"/>
  <c r="GR133" i="1"/>
  <c r="GS133" i="1"/>
  <c r="GT133" i="1"/>
  <c r="GU133" i="1"/>
  <c r="GV133" i="1"/>
  <c r="GW133" i="1"/>
  <c r="GX133" i="1"/>
  <c r="O135" i="1"/>
  <c r="P135" i="1"/>
  <c r="Q135" i="1"/>
  <c r="R135" i="1"/>
  <c r="S135" i="1"/>
  <c r="T135" i="1"/>
  <c r="U135" i="1"/>
  <c r="V135" i="1"/>
  <c r="W135" i="1"/>
  <c r="X135" i="1"/>
  <c r="Y135" i="1"/>
  <c r="AB135" i="1"/>
  <c r="AC135" i="1"/>
  <c r="AD135" i="1"/>
  <c r="AE135" i="1"/>
  <c r="AF135" i="1"/>
  <c r="AG135" i="1"/>
  <c r="AH135" i="1"/>
  <c r="AI135" i="1"/>
  <c r="AJ135" i="1"/>
  <c r="CP135" i="1"/>
  <c r="GM135" i="1" s="1"/>
  <c r="FR135" i="1"/>
  <c r="GL135" i="1"/>
  <c r="BZ139" i="1" s="1"/>
  <c r="AQ139" i="1" s="1"/>
  <c r="GN135" i="1"/>
  <c r="GO135" i="1"/>
  <c r="GP135" i="1"/>
  <c r="GV135" i="1"/>
  <c r="GX135" i="1"/>
  <c r="I136" i="1"/>
  <c r="K136" i="1"/>
  <c r="O136" i="1"/>
  <c r="P136" i="1"/>
  <c r="Q136" i="1"/>
  <c r="R136" i="1"/>
  <c r="S136" i="1"/>
  <c r="T136" i="1"/>
  <c r="U136" i="1"/>
  <c r="L236" i="7" s="1"/>
  <c r="Q236" i="7" s="1"/>
  <c r="V136" i="1"/>
  <c r="W136" i="1"/>
  <c r="X136" i="1"/>
  <c r="Y136" i="1"/>
  <c r="AB136" i="1"/>
  <c r="CP136" i="1" s="1"/>
  <c r="AC136" i="1"/>
  <c r="AD136" i="1"/>
  <c r="AE136" i="1"/>
  <c r="AF136" i="1"/>
  <c r="AG136" i="1"/>
  <c r="AH136" i="1"/>
  <c r="AI136" i="1"/>
  <c r="AJ136" i="1"/>
  <c r="FR136" i="1"/>
  <c r="GL136" i="1"/>
  <c r="GO136" i="1"/>
  <c r="GP136" i="1"/>
  <c r="GV136" i="1"/>
  <c r="GX136" i="1"/>
  <c r="I137" i="1"/>
  <c r="K137" i="1"/>
  <c r="AC137" i="1"/>
  <c r="AE137" i="1"/>
  <c r="CS137" i="1" s="1"/>
  <c r="R137" i="1" s="1"/>
  <c r="AF137" i="1"/>
  <c r="AG137" i="1"/>
  <c r="AH137" i="1"/>
  <c r="CV137" i="1" s="1"/>
  <c r="AI137" i="1"/>
  <c r="AJ137" i="1"/>
  <c r="CX137" i="1" s="1"/>
  <c r="CQ137" i="1"/>
  <c r="CU137" i="1"/>
  <c r="T137" i="1" s="1"/>
  <c r="AG139" i="1" s="1"/>
  <c r="CW137" i="1"/>
  <c r="FR137" i="1"/>
  <c r="GL137" i="1"/>
  <c r="GO137" i="1"/>
  <c r="GP137" i="1"/>
  <c r="GV137" i="1"/>
  <c r="HC137" i="1" s="1"/>
  <c r="B139" i="1"/>
  <c r="B133" i="1" s="1"/>
  <c r="C139" i="1"/>
  <c r="C133" i="1" s="1"/>
  <c r="D139" i="1"/>
  <c r="D133" i="1" s="1"/>
  <c r="F139" i="1"/>
  <c r="F133" i="1" s="1"/>
  <c r="G139" i="1"/>
  <c r="BX139" i="1"/>
  <c r="BX133" i="1" s="1"/>
  <c r="BY139" i="1"/>
  <c r="CK139" i="1"/>
  <c r="BB139" i="1" s="1"/>
  <c r="CL139" i="1"/>
  <c r="B169" i="1"/>
  <c r="B22" i="1" s="1"/>
  <c r="C169" i="1"/>
  <c r="C22" i="1" s="1"/>
  <c r="D169" i="1"/>
  <c r="D22" i="1" s="1"/>
  <c r="F169" i="1"/>
  <c r="F22" i="1" s="1"/>
  <c r="G169" i="1"/>
  <c r="B199" i="1"/>
  <c r="B18" i="1" s="1"/>
  <c r="C199" i="1"/>
  <c r="C18" i="1" s="1"/>
  <c r="D199" i="1"/>
  <c r="D18" i="1" s="1"/>
  <c r="F199" i="1"/>
  <c r="F18" i="1" s="1"/>
  <c r="G199" i="1"/>
  <c r="B20" i="2"/>
  <c r="B21" i="2"/>
  <c r="B22" i="2"/>
  <c r="B23" i="2"/>
  <c r="B24" i="2"/>
  <c r="B25" i="2"/>
  <c r="B26" i="2"/>
  <c r="B27" i="2"/>
  <c r="B28" i="2"/>
  <c r="B29" i="2"/>
  <c r="B30" i="2"/>
  <c r="B32" i="2"/>
  <c r="B33" i="2"/>
  <c r="B35" i="2"/>
  <c r="B36" i="2"/>
  <c r="B37" i="2"/>
  <c r="B39" i="2"/>
  <c r="B40" i="2"/>
  <c r="B41" i="2"/>
  <c r="B42" i="2"/>
  <c r="B43" i="2"/>
  <c r="B44" i="2"/>
  <c r="B45" i="2"/>
  <c r="B46" i="2"/>
  <c r="B47" i="2"/>
  <c r="B48" i="2"/>
  <c r="K87" i="7" l="1"/>
  <c r="J89" i="6"/>
  <c r="AE139" i="1"/>
  <c r="AE133" i="1" s="1"/>
  <c r="GM136" i="1"/>
  <c r="GN136" i="1"/>
  <c r="T97" i="1"/>
  <c r="CT137" i="1"/>
  <c r="S137" i="1" s="1"/>
  <c r="T239" i="6"/>
  <c r="U237" i="7"/>
  <c r="R239" i="6"/>
  <c r="S237" i="7"/>
  <c r="G66" i="1"/>
  <c r="A230" i="6"/>
  <c r="A228" i="7"/>
  <c r="E216" i="7"/>
  <c r="E218" i="6"/>
  <c r="R98" i="1"/>
  <c r="CS93" i="1"/>
  <c r="R93" i="1" s="1"/>
  <c r="H192" i="6"/>
  <c r="H190" i="7"/>
  <c r="CR93" i="1"/>
  <c r="Q93" i="1" s="1"/>
  <c r="U182" i="7"/>
  <c r="H185" i="7" s="1"/>
  <c r="R184" i="6"/>
  <c r="H186" i="6" s="1"/>
  <c r="G189" i="6" s="1"/>
  <c r="O189" i="6" s="1"/>
  <c r="S182" i="7"/>
  <c r="H184" i="7" s="1"/>
  <c r="Q185" i="6"/>
  <c r="H185" i="6"/>
  <c r="H183" i="7"/>
  <c r="T184" i="6"/>
  <c r="H187" i="6" s="1"/>
  <c r="CT92" i="1"/>
  <c r="S92" i="1" s="1"/>
  <c r="L63" i="7"/>
  <c r="Q63" i="7" s="1"/>
  <c r="H64" i="6"/>
  <c r="L62" i="7"/>
  <c r="L55" i="7"/>
  <c r="Q55" i="7" s="1"/>
  <c r="L54" i="7"/>
  <c r="H56" i="6"/>
  <c r="CT68" i="1"/>
  <c r="S68" i="1" s="1"/>
  <c r="U70" i="7"/>
  <c r="H76" i="7" s="1"/>
  <c r="S70" i="7"/>
  <c r="H75" i="7" s="1"/>
  <c r="H71" i="7"/>
  <c r="Q73" i="6"/>
  <c r="H73" i="6"/>
  <c r="R72" i="6"/>
  <c r="H77" i="6" s="1"/>
  <c r="T72" i="6"/>
  <c r="H78" i="6" s="1"/>
  <c r="T170" i="6"/>
  <c r="R170" i="6"/>
  <c r="U168" i="7"/>
  <c r="S168" i="7"/>
  <c r="CT89" i="1"/>
  <c r="S89" i="1" s="1"/>
  <c r="CD101" i="1"/>
  <c r="H239" i="6"/>
  <c r="H237" i="7"/>
  <c r="G240" i="6"/>
  <c r="O240" i="6" s="1"/>
  <c r="AD99" i="1"/>
  <c r="AB99" i="1" s="1"/>
  <c r="CR99" i="1"/>
  <c r="Q99" i="1" s="1"/>
  <c r="CZ93" i="1"/>
  <c r="Y93" i="1" s="1"/>
  <c r="J191" i="6"/>
  <c r="K189" i="7"/>
  <c r="CS84" i="1"/>
  <c r="R84" i="1" s="1"/>
  <c r="CR84" i="1"/>
  <c r="Q84" i="1" s="1"/>
  <c r="AD84" i="1"/>
  <c r="H119" i="7"/>
  <c r="H120" i="7"/>
  <c r="R120" i="7" s="1"/>
  <c r="H121" i="6"/>
  <c r="Q122" i="6"/>
  <c r="H122" i="6"/>
  <c r="AD78" i="1"/>
  <c r="AB78" i="1" s="1"/>
  <c r="CR78" i="1"/>
  <c r="Q78" i="1" s="1"/>
  <c r="K72" i="7"/>
  <c r="J74" i="6"/>
  <c r="CY31" i="1"/>
  <c r="X31" i="1" s="1"/>
  <c r="K50" i="7"/>
  <c r="J52" i="6"/>
  <c r="CZ31" i="1"/>
  <c r="Y31" i="1" s="1"/>
  <c r="CL133" i="1"/>
  <c r="BC139" i="1"/>
  <c r="F155" i="1" s="1"/>
  <c r="L193" i="7"/>
  <c r="L194" i="7"/>
  <c r="Q194" i="7" s="1"/>
  <c r="H195" i="6"/>
  <c r="CI139" i="1"/>
  <c r="BY133" i="1"/>
  <c r="P137" i="1"/>
  <c r="U235" i="6"/>
  <c r="V233" i="7"/>
  <c r="CS99" i="1"/>
  <c r="R99" i="1" s="1"/>
  <c r="CZ99" i="1" s="1"/>
  <c r="Y99" i="1" s="1"/>
  <c r="CQ97" i="1"/>
  <c r="CS95" i="1"/>
  <c r="R95" i="1" s="1"/>
  <c r="H206" i="7"/>
  <c r="H208" i="6"/>
  <c r="H207" i="7"/>
  <c r="R207" i="7" s="1"/>
  <c r="Q209" i="6"/>
  <c r="H209" i="6"/>
  <c r="CR95" i="1"/>
  <c r="Q95" i="1" s="1"/>
  <c r="E158" i="7"/>
  <c r="C159" i="7"/>
  <c r="C161" i="6"/>
  <c r="E160" i="6"/>
  <c r="Q88" i="1"/>
  <c r="S88" i="1"/>
  <c r="H154" i="7"/>
  <c r="G157" i="6"/>
  <c r="O157" i="6" s="1"/>
  <c r="H156" i="6"/>
  <c r="K136" i="7"/>
  <c r="J138" i="6"/>
  <c r="CS78" i="1"/>
  <c r="R78" i="1" s="1"/>
  <c r="BZ101" i="1"/>
  <c r="BZ66" i="1" s="1"/>
  <c r="DF38" i="3"/>
  <c r="DH38" i="3"/>
  <c r="G18" i="1"/>
  <c r="AF248" i="7"/>
  <c r="A248" i="7"/>
  <c r="AF250" i="6"/>
  <c r="A250" i="6"/>
  <c r="H87" i="7"/>
  <c r="H89" i="6"/>
  <c r="AD137" i="1"/>
  <c r="AB137" i="1" s="1"/>
  <c r="CR137" i="1"/>
  <c r="Q137" i="1" s="1"/>
  <c r="AD139" i="1" s="1"/>
  <c r="AC139" i="1"/>
  <c r="H214" i="6"/>
  <c r="L213" i="7"/>
  <c r="Q213" i="7" s="1"/>
  <c r="L211" i="7"/>
  <c r="H182" i="6"/>
  <c r="H180" i="7"/>
  <c r="G183" i="6"/>
  <c r="O183" i="6" s="1"/>
  <c r="CX83" i="3"/>
  <c r="C171" i="7"/>
  <c r="E172" i="6"/>
  <c r="C173" i="6"/>
  <c r="E170" i="7"/>
  <c r="CT76" i="1"/>
  <c r="S76" i="1" s="1"/>
  <c r="U113" i="7"/>
  <c r="S113" i="7"/>
  <c r="T112" i="6"/>
  <c r="R112" i="6"/>
  <c r="H113" i="6" s="1"/>
  <c r="E27" i="7"/>
  <c r="E29" i="6"/>
  <c r="L203" i="7"/>
  <c r="Q203" i="7" s="1"/>
  <c r="H204" i="6"/>
  <c r="L202" i="7"/>
  <c r="E239" i="6"/>
  <c r="E237" i="7"/>
  <c r="H235" i="7"/>
  <c r="H237" i="6"/>
  <c r="G238" i="6" s="1"/>
  <c r="O238" i="6" s="1"/>
  <c r="K205" i="7"/>
  <c r="J207" i="6"/>
  <c r="GX90" i="1"/>
  <c r="U88" i="1"/>
  <c r="CT82" i="1"/>
  <c r="S82" i="1" s="1"/>
  <c r="S132" i="7"/>
  <c r="T134" i="6"/>
  <c r="R134" i="6"/>
  <c r="U132" i="7"/>
  <c r="E117" i="7"/>
  <c r="E119" i="6"/>
  <c r="P78" i="1"/>
  <c r="C95" i="7"/>
  <c r="E94" i="7"/>
  <c r="C97" i="6"/>
  <c r="E96" i="6"/>
  <c r="BZ34" i="1"/>
  <c r="BZ26" i="1" s="1"/>
  <c r="DG39" i="3"/>
  <c r="DJ39" i="3" s="1"/>
  <c r="DH39" i="3"/>
  <c r="U126" i="7"/>
  <c r="S126" i="7"/>
  <c r="T128" i="6"/>
  <c r="R128" i="6"/>
  <c r="CT79" i="1"/>
  <c r="S79" i="1" s="1"/>
  <c r="L77" i="7"/>
  <c r="H79" i="6"/>
  <c r="L78" i="7"/>
  <c r="Q78" i="7" s="1"/>
  <c r="CD139" i="1"/>
  <c r="CD133" i="1" s="1"/>
  <c r="S235" i="6"/>
  <c r="T233" i="7"/>
  <c r="T235" i="7"/>
  <c r="S237" i="6"/>
  <c r="W98" i="1"/>
  <c r="E206" i="6"/>
  <c r="E204" i="7"/>
  <c r="I96" i="1"/>
  <c r="GX96" i="1" s="1"/>
  <c r="I97" i="1"/>
  <c r="H216" i="6" s="1"/>
  <c r="AD94" i="1"/>
  <c r="H197" i="7"/>
  <c r="H199" i="6"/>
  <c r="H198" i="7"/>
  <c r="R198" i="7" s="1"/>
  <c r="Q200" i="6"/>
  <c r="H200" i="6"/>
  <c r="CR94" i="1"/>
  <c r="Q94" i="1" s="1"/>
  <c r="L186" i="7"/>
  <c r="L187" i="7"/>
  <c r="Q187" i="7" s="1"/>
  <c r="H188" i="6"/>
  <c r="U90" i="1"/>
  <c r="L142" i="7"/>
  <c r="Q142" i="7" s="1"/>
  <c r="L141" i="7"/>
  <c r="H143" i="6"/>
  <c r="AB82" i="1"/>
  <c r="H130" i="7"/>
  <c r="H132" i="6"/>
  <c r="G133" i="6"/>
  <c r="O133" i="6" s="1"/>
  <c r="V78" i="1"/>
  <c r="K107" i="7"/>
  <c r="J109" i="6"/>
  <c r="CP32" i="1"/>
  <c r="O32" i="1" s="1"/>
  <c r="U28" i="1"/>
  <c r="DG42" i="3"/>
  <c r="DF42" i="3"/>
  <c r="DJ42" i="3" s="1"/>
  <c r="DH42" i="3"/>
  <c r="DI42" i="3"/>
  <c r="W137" i="1"/>
  <c r="L234" i="7"/>
  <c r="Q234" i="7" s="1"/>
  <c r="CT98" i="1"/>
  <c r="S98" i="1" s="1"/>
  <c r="U216" i="7"/>
  <c r="H222" i="7" s="1"/>
  <c r="S216" i="7"/>
  <c r="H221" i="7" s="1"/>
  <c r="T218" i="6"/>
  <c r="H224" i="6" s="1"/>
  <c r="R218" i="6"/>
  <c r="H223" i="6" s="1"/>
  <c r="H217" i="7"/>
  <c r="Q219" i="6"/>
  <c r="H219" i="6"/>
  <c r="CT96" i="1"/>
  <c r="T211" i="6"/>
  <c r="H208" i="7"/>
  <c r="H210" i="6"/>
  <c r="K196" i="7"/>
  <c r="J198" i="6"/>
  <c r="AB94" i="1"/>
  <c r="H199" i="7"/>
  <c r="H201" i="6"/>
  <c r="T90" i="1"/>
  <c r="T88" i="1"/>
  <c r="U145" i="7"/>
  <c r="H151" i="7" s="1"/>
  <c r="S145" i="7"/>
  <c r="H150" i="7" s="1"/>
  <c r="H146" i="7"/>
  <c r="T147" i="6"/>
  <c r="H153" i="6" s="1"/>
  <c r="R147" i="6"/>
  <c r="H152" i="6" s="1"/>
  <c r="G155" i="6" s="1"/>
  <c r="O155" i="6" s="1"/>
  <c r="Q148" i="6"/>
  <c r="H148" i="6"/>
  <c r="AB79" i="1"/>
  <c r="V73" i="1"/>
  <c r="U92" i="7"/>
  <c r="T94" i="6"/>
  <c r="R94" i="6"/>
  <c r="S92" i="7"/>
  <c r="AD68" i="1"/>
  <c r="H73" i="7"/>
  <c r="R73" i="7" s="1"/>
  <c r="H74" i="6"/>
  <c r="Q75" i="6"/>
  <c r="H72" i="7"/>
  <c r="H75" i="6"/>
  <c r="CP31" i="1"/>
  <c r="O31" i="1" s="1"/>
  <c r="K51" i="7"/>
  <c r="J53" i="6"/>
  <c r="AB31" i="1"/>
  <c r="H51" i="7"/>
  <c r="H53" i="6"/>
  <c r="CT29" i="1"/>
  <c r="S29" i="1" s="1"/>
  <c r="U35" i="7"/>
  <c r="H40" i="7" s="1"/>
  <c r="S35" i="7"/>
  <c r="H39" i="7" s="1"/>
  <c r="H36" i="7"/>
  <c r="T37" i="6"/>
  <c r="H42" i="6" s="1"/>
  <c r="R37" i="6"/>
  <c r="H41" i="6" s="1"/>
  <c r="G44" i="6" s="1"/>
  <c r="O44" i="6" s="1"/>
  <c r="Q38" i="6"/>
  <c r="H38" i="6"/>
  <c r="GX28" i="1"/>
  <c r="T28" i="1"/>
  <c r="G133" i="1"/>
  <c r="A240" i="7"/>
  <c r="A242" i="6"/>
  <c r="Q221" i="6"/>
  <c r="H219" i="7"/>
  <c r="R219" i="7" s="1"/>
  <c r="H221" i="6"/>
  <c r="H218" i="7"/>
  <c r="H220" i="6"/>
  <c r="CT97" i="1"/>
  <c r="S97" i="1" s="1"/>
  <c r="T216" i="6"/>
  <c r="U214" i="7"/>
  <c r="R216" i="6"/>
  <c r="S214" i="7"/>
  <c r="GX95" i="1"/>
  <c r="T172" i="6"/>
  <c r="H179" i="6" s="1"/>
  <c r="Q174" i="6"/>
  <c r="R172" i="6"/>
  <c r="H178" i="6" s="1"/>
  <c r="G181" i="6" s="1"/>
  <c r="O181" i="6" s="1"/>
  <c r="H174" i="6"/>
  <c r="U170" i="7"/>
  <c r="H177" i="7" s="1"/>
  <c r="S170" i="7"/>
  <c r="H176" i="7" s="1"/>
  <c r="H172" i="7"/>
  <c r="G171" i="6"/>
  <c r="O171" i="6" s="1"/>
  <c r="H168" i="7"/>
  <c r="H170" i="6"/>
  <c r="H160" i="7"/>
  <c r="Q162" i="6"/>
  <c r="R160" i="6"/>
  <c r="H166" i="6" s="1"/>
  <c r="U158" i="7"/>
  <c r="H165" i="7" s="1"/>
  <c r="H162" i="6"/>
  <c r="T160" i="6"/>
  <c r="H167" i="6" s="1"/>
  <c r="S158" i="7"/>
  <c r="H164" i="7" s="1"/>
  <c r="U156" i="7"/>
  <c r="S156" i="7"/>
  <c r="T158" i="6"/>
  <c r="R158" i="6"/>
  <c r="AD85" i="1"/>
  <c r="AB85" i="1" s="1"/>
  <c r="H148" i="7"/>
  <c r="R148" i="7" s="1"/>
  <c r="Q150" i="6"/>
  <c r="H150" i="6"/>
  <c r="H147" i="7"/>
  <c r="H149" i="6"/>
  <c r="AB84" i="1"/>
  <c r="G146" i="6"/>
  <c r="O146" i="6" s="1"/>
  <c r="H143" i="7"/>
  <c r="H145" i="6"/>
  <c r="CR82" i="1"/>
  <c r="Q82" i="1" s="1"/>
  <c r="R79" i="1"/>
  <c r="H126" i="7"/>
  <c r="G129" i="6"/>
  <c r="O129" i="6" s="1"/>
  <c r="H128" i="6"/>
  <c r="H121" i="7"/>
  <c r="H123" i="6"/>
  <c r="AD76" i="1"/>
  <c r="U73" i="1"/>
  <c r="K73" i="7"/>
  <c r="J75" i="6"/>
  <c r="H74" i="7"/>
  <c r="H76" i="6"/>
  <c r="K58" i="7"/>
  <c r="J60" i="6"/>
  <c r="U56" i="7"/>
  <c r="H61" i="7" s="1"/>
  <c r="S56" i="7"/>
  <c r="H60" i="7" s="1"/>
  <c r="H58" i="7"/>
  <c r="H60" i="6"/>
  <c r="R58" i="6"/>
  <c r="H62" i="6" s="1"/>
  <c r="Q60" i="6"/>
  <c r="T58" i="6"/>
  <c r="H63" i="6" s="1"/>
  <c r="CX26" i="3"/>
  <c r="C57" i="7"/>
  <c r="E56" i="7"/>
  <c r="E58" i="6"/>
  <c r="C59" i="6"/>
  <c r="AD29" i="1"/>
  <c r="AB29" i="1" s="1"/>
  <c r="H37" i="7"/>
  <c r="H38" i="7"/>
  <c r="R38" i="7" s="1"/>
  <c r="H39" i="6"/>
  <c r="Q40" i="6"/>
  <c r="H40" i="6"/>
  <c r="H28" i="7"/>
  <c r="U27" i="7"/>
  <c r="H32" i="7" s="1"/>
  <c r="R29" i="6"/>
  <c r="H33" i="6" s="1"/>
  <c r="S27" i="7"/>
  <c r="H31" i="7" s="1"/>
  <c r="T29" i="6"/>
  <c r="H34" i="6" s="1"/>
  <c r="Q30" i="6"/>
  <c r="H30" i="6"/>
  <c r="GX97" i="1"/>
  <c r="R97" i="1"/>
  <c r="AD90" i="1"/>
  <c r="H173" i="7"/>
  <c r="H174" i="7"/>
  <c r="R174" i="7" s="1"/>
  <c r="H175" i="6"/>
  <c r="Q176" i="6"/>
  <c r="H176" i="6"/>
  <c r="CR89" i="1"/>
  <c r="Q89" i="1" s="1"/>
  <c r="CS88" i="1"/>
  <c r="R88" i="1" s="1"/>
  <c r="H161" i="7"/>
  <c r="H163" i="6"/>
  <c r="H162" i="7"/>
  <c r="R162" i="7" s="1"/>
  <c r="Q164" i="6"/>
  <c r="H164" i="6"/>
  <c r="CT85" i="1"/>
  <c r="S85" i="1" s="1"/>
  <c r="H149" i="7"/>
  <c r="H151" i="6"/>
  <c r="U134" i="7"/>
  <c r="H140" i="7" s="1"/>
  <c r="S134" i="7"/>
  <c r="H139" i="7" s="1"/>
  <c r="T136" i="6"/>
  <c r="H142" i="6" s="1"/>
  <c r="R136" i="6"/>
  <c r="H141" i="6" s="1"/>
  <c r="Q137" i="6"/>
  <c r="H137" i="6"/>
  <c r="H135" i="7"/>
  <c r="E134" i="7"/>
  <c r="E136" i="6"/>
  <c r="K132" i="7"/>
  <c r="J133" i="7" s="1"/>
  <c r="P133" i="7" s="1"/>
  <c r="I135" i="6"/>
  <c r="P135" i="6" s="1"/>
  <c r="J134" i="6"/>
  <c r="H132" i="7"/>
  <c r="G135" i="6"/>
  <c r="O135" i="6" s="1"/>
  <c r="H134" i="6"/>
  <c r="U128" i="7"/>
  <c r="S128" i="7"/>
  <c r="R130" i="6"/>
  <c r="T130" i="6"/>
  <c r="CQ79" i="1"/>
  <c r="P79" i="1" s="1"/>
  <c r="CT77" i="1"/>
  <c r="S77" i="1" s="1"/>
  <c r="U115" i="7"/>
  <c r="S115" i="7"/>
  <c r="T117" i="6"/>
  <c r="R117" i="6"/>
  <c r="H113" i="7"/>
  <c r="W113" i="7" s="1"/>
  <c r="H112" i="6"/>
  <c r="G116" i="6" s="1"/>
  <c r="O116" i="6" s="1"/>
  <c r="E107" i="6"/>
  <c r="E105" i="7"/>
  <c r="S103" i="7"/>
  <c r="T105" i="6"/>
  <c r="R105" i="6"/>
  <c r="U103" i="7"/>
  <c r="CR72" i="1"/>
  <c r="Q72" i="1" s="1"/>
  <c r="AD72" i="1"/>
  <c r="AB72" i="1" s="1"/>
  <c r="CT70" i="1"/>
  <c r="S70" i="1" s="1"/>
  <c r="U81" i="7"/>
  <c r="S81" i="7"/>
  <c r="T83" i="6"/>
  <c r="R83" i="6"/>
  <c r="H59" i="7"/>
  <c r="H61" i="6"/>
  <c r="CT28" i="1"/>
  <c r="S28" i="1" s="1"/>
  <c r="AD28" i="1"/>
  <c r="AB28" i="1" s="1"/>
  <c r="H29" i="7"/>
  <c r="Q32" i="6"/>
  <c r="H32" i="6"/>
  <c r="H30" i="7"/>
  <c r="R30" i="7" s="1"/>
  <c r="H31" i="6"/>
  <c r="G22" i="1"/>
  <c r="A244" i="7"/>
  <c r="A246" i="6"/>
  <c r="U137" i="1"/>
  <c r="L238" i="7" s="1"/>
  <c r="Q238" i="7" s="1"/>
  <c r="U235" i="7"/>
  <c r="S235" i="7"/>
  <c r="E235" i="7"/>
  <c r="T237" i="6"/>
  <c r="R237" i="6"/>
  <c r="E237" i="6"/>
  <c r="J235" i="6"/>
  <c r="I236" i="6" s="1"/>
  <c r="P236" i="6" s="1"/>
  <c r="K233" i="7"/>
  <c r="J234" i="7" s="1"/>
  <c r="P234" i="7" s="1"/>
  <c r="GX98" i="1"/>
  <c r="Q98" i="1"/>
  <c r="V137" i="1"/>
  <c r="AI139" i="1" s="1"/>
  <c r="H235" i="6"/>
  <c r="G236" i="6" s="1"/>
  <c r="O236" i="6" s="1"/>
  <c r="G242" i="6" s="1"/>
  <c r="H233" i="7"/>
  <c r="CT99" i="1"/>
  <c r="S99" i="1" s="1"/>
  <c r="U225" i="7"/>
  <c r="S225" i="7"/>
  <c r="T227" i="6"/>
  <c r="R227" i="6"/>
  <c r="P98" i="1"/>
  <c r="H222" i="6"/>
  <c r="H220" i="7"/>
  <c r="CR97" i="1"/>
  <c r="Q97" i="1" s="1"/>
  <c r="H212" i="7"/>
  <c r="W212" i="7" s="1"/>
  <c r="H211" i="6"/>
  <c r="CC101" i="1"/>
  <c r="CC66" i="1" s="1"/>
  <c r="V95" i="1"/>
  <c r="W94" i="1"/>
  <c r="E195" i="7"/>
  <c r="E197" i="6"/>
  <c r="H189" i="7"/>
  <c r="H191" i="6"/>
  <c r="U188" i="7"/>
  <c r="H192" i="7" s="1"/>
  <c r="T190" i="6"/>
  <c r="H194" i="6" s="1"/>
  <c r="S188" i="7"/>
  <c r="H191" i="7" s="1"/>
  <c r="R190" i="6"/>
  <c r="H193" i="6" s="1"/>
  <c r="Q191" i="6"/>
  <c r="S90" i="1"/>
  <c r="H177" i="6"/>
  <c r="H175" i="7"/>
  <c r="H163" i="7"/>
  <c r="H165" i="6"/>
  <c r="H156" i="7"/>
  <c r="H158" i="6"/>
  <c r="G159" i="6"/>
  <c r="O159" i="6" s="1"/>
  <c r="Q85" i="1"/>
  <c r="CS83" i="1"/>
  <c r="R83" i="1" s="1"/>
  <c r="H136" i="7"/>
  <c r="H137" i="7"/>
  <c r="R137" i="7" s="1"/>
  <c r="Q139" i="6"/>
  <c r="H139" i="6"/>
  <c r="H138" i="6"/>
  <c r="E130" i="7"/>
  <c r="E132" i="6"/>
  <c r="L114" i="7"/>
  <c r="Q114" i="7" s="1"/>
  <c r="L112" i="7"/>
  <c r="H115" i="6"/>
  <c r="U105" i="7"/>
  <c r="H111" i="7" s="1"/>
  <c r="S105" i="7"/>
  <c r="H110" i="7" s="1"/>
  <c r="Q108" i="6"/>
  <c r="R107" i="6"/>
  <c r="H108" i="6"/>
  <c r="H106" i="7"/>
  <c r="R106" i="7" s="1"/>
  <c r="T107" i="6"/>
  <c r="H114" i="6" s="1"/>
  <c r="U94" i="7"/>
  <c r="H100" i="7" s="1"/>
  <c r="S94" i="7"/>
  <c r="H99" i="7" s="1"/>
  <c r="H96" i="7"/>
  <c r="T96" i="6"/>
  <c r="H102" i="6" s="1"/>
  <c r="Q98" i="6"/>
  <c r="R96" i="6"/>
  <c r="H101" i="6" s="1"/>
  <c r="G104" i="6" s="1"/>
  <c r="O104" i="6" s="1"/>
  <c r="H98" i="6"/>
  <c r="K92" i="7"/>
  <c r="J93" i="7" s="1"/>
  <c r="P93" i="7" s="1"/>
  <c r="I95" i="6"/>
  <c r="P95" i="6" s="1"/>
  <c r="J94" i="6"/>
  <c r="H92" i="7"/>
  <c r="G95" i="6"/>
  <c r="O95" i="6" s="1"/>
  <c r="H94" i="6"/>
  <c r="CR32" i="1"/>
  <c r="Q32" i="1" s="1"/>
  <c r="AD32" i="1"/>
  <c r="CS29" i="1"/>
  <c r="R29" i="1" s="1"/>
  <c r="R28" i="1"/>
  <c r="AE34" i="1" s="1"/>
  <c r="Q90" i="1"/>
  <c r="GX88" i="1"/>
  <c r="GX83" i="1"/>
  <c r="CT83" i="1"/>
  <c r="S83" i="1" s="1"/>
  <c r="AD83" i="1"/>
  <c r="AB83" i="1" s="1"/>
  <c r="CT81" i="1"/>
  <c r="S81" i="1" s="1"/>
  <c r="CZ81" i="1" s="1"/>
  <c r="Y81" i="1" s="1"/>
  <c r="U130" i="7"/>
  <c r="S130" i="7"/>
  <c r="T132" i="6"/>
  <c r="R132" i="6"/>
  <c r="CS80" i="1"/>
  <c r="R80" i="1" s="1"/>
  <c r="CY80" i="1" s="1"/>
  <c r="X80" i="1" s="1"/>
  <c r="CQ80" i="1"/>
  <c r="P80" i="1" s="1"/>
  <c r="H128" i="7"/>
  <c r="H130" i="6"/>
  <c r="G131" i="6"/>
  <c r="O131" i="6" s="1"/>
  <c r="U78" i="1"/>
  <c r="CS77" i="1"/>
  <c r="R77" i="1" s="1"/>
  <c r="E113" i="7"/>
  <c r="E112" i="6"/>
  <c r="CT75" i="1"/>
  <c r="S75" i="1" s="1"/>
  <c r="CS75" i="1"/>
  <c r="R75" i="1" s="1"/>
  <c r="CY75" i="1" s="1"/>
  <c r="X75" i="1" s="1"/>
  <c r="H107" i="7"/>
  <c r="G114" i="7" s="1"/>
  <c r="O114" i="7" s="1"/>
  <c r="H108" i="7"/>
  <c r="R108" i="7" s="1"/>
  <c r="H109" i="6"/>
  <c r="Q110" i="6"/>
  <c r="H110" i="6"/>
  <c r="CQ74" i="1"/>
  <c r="P74" i="1" s="1"/>
  <c r="CP74" i="1" s="1"/>
  <c r="O74" i="1" s="1"/>
  <c r="H103" i="7"/>
  <c r="H105" i="6"/>
  <c r="G106" i="6"/>
  <c r="O106" i="6" s="1"/>
  <c r="T73" i="1"/>
  <c r="AD73" i="1"/>
  <c r="H97" i="7"/>
  <c r="H98" i="7"/>
  <c r="R98" i="7" s="1"/>
  <c r="Q100" i="6"/>
  <c r="H100" i="6"/>
  <c r="H99" i="6"/>
  <c r="L90" i="7"/>
  <c r="L91" i="7"/>
  <c r="Q91" i="7" s="1"/>
  <c r="H92" i="6"/>
  <c r="H84" i="7"/>
  <c r="U83" i="7"/>
  <c r="H89" i="7" s="1"/>
  <c r="S83" i="7"/>
  <c r="H88" i="7" s="1"/>
  <c r="Q86" i="6"/>
  <c r="H86" i="6"/>
  <c r="T85" i="6"/>
  <c r="H91" i="6" s="1"/>
  <c r="R85" i="6"/>
  <c r="H90" i="6" s="1"/>
  <c r="G93" i="6" s="1"/>
  <c r="O93" i="6" s="1"/>
  <c r="H81" i="7"/>
  <c r="H83" i="6"/>
  <c r="G84" i="6"/>
  <c r="O84" i="6" s="1"/>
  <c r="CT69" i="1"/>
  <c r="S69" i="1" s="1"/>
  <c r="CY69" i="1" s="1"/>
  <c r="X69" i="1" s="1"/>
  <c r="U79" i="7"/>
  <c r="S79" i="7"/>
  <c r="R81" i="6"/>
  <c r="T81" i="6"/>
  <c r="E70" i="7"/>
  <c r="E72" i="6"/>
  <c r="G26" i="1"/>
  <c r="A65" i="7"/>
  <c r="A67" i="6"/>
  <c r="AB32" i="1"/>
  <c r="W29" i="1"/>
  <c r="P28" i="1"/>
  <c r="DH23" i="3"/>
  <c r="T95" i="1"/>
  <c r="T182" i="6"/>
  <c r="R182" i="6"/>
  <c r="U180" i="7"/>
  <c r="S180" i="7"/>
  <c r="H138" i="7"/>
  <c r="H140" i="6"/>
  <c r="E126" i="7"/>
  <c r="E128" i="6"/>
  <c r="T78" i="1"/>
  <c r="AB77" i="1"/>
  <c r="H115" i="7"/>
  <c r="G118" i="6"/>
  <c r="O118" i="6" s="1"/>
  <c r="H117" i="6"/>
  <c r="P73" i="1"/>
  <c r="K84" i="7"/>
  <c r="J86" i="6"/>
  <c r="CS71" i="1"/>
  <c r="R71" i="1" s="1"/>
  <c r="H85" i="7"/>
  <c r="H86" i="7"/>
  <c r="R86" i="7" s="1"/>
  <c r="H87" i="6"/>
  <c r="Q88" i="6"/>
  <c r="H88" i="6"/>
  <c r="U49" i="7"/>
  <c r="H53" i="7" s="1"/>
  <c r="S49" i="7"/>
  <c r="H52" i="7" s="1"/>
  <c r="H50" i="7"/>
  <c r="T51" i="6"/>
  <c r="H55" i="6" s="1"/>
  <c r="R51" i="6"/>
  <c r="H54" i="6" s="1"/>
  <c r="G57" i="6" s="1"/>
  <c r="O57" i="6" s="1"/>
  <c r="Q52" i="6"/>
  <c r="H52" i="6"/>
  <c r="L47" i="7"/>
  <c r="L48" i="7"/>
  <c r="Q48" i="7" s="1"/>
  <c r="H49" i="6"/>
  <c r="CT30" i="1"/>
  <c r="S30" i="1" s="1"/>
  <c r="H44" i="7"/>
  <c r="U43" i="7"/>
  <c r="H46" i="7" s="1"/>
  <c r="H46" i="6"/>
  <c r="S43" i="7"/>
  <c r="H45" i="7" s="1"/>
  <c r="T45" i="6"/>
  <c r="H48" i="6" s="1"/>
  <c r="Q46" i="6"/>
  <c r="R45" i="6"/>
  <c r="H47" i="6" s="1"/>
  <c r="G50" i="6" s="1"/>
  <c r="O50" i="6" s="1"/>
  <c r="E35" i="7"/>
  <c r="E37" i="6"/>
  <c r="W28" i="1"/>
  <c r="AJ34" i="1" s="1"/>
  <c r="AJ26" i="1" s="1"/>
  <c r="W97" i="1"/>
  <c r="U154" i="7"/>
  <c r="S154" i="7"/>
  <c r="T156" i="6"/>
  <c r="R156" i="6"/>
  <c r="E145" i="7"/>
  <c r="E147" i="6"/>
  <c r="GX137" i="1"/>
  <c r="CJ139" i="1" s="1"/>
  <c r="V235" i="7"/>
  <c r="U237" i="6"/>
  <c r="CC139" i="1"/>
  <c r="AJ139" i="1"/>
  <c r="AJ133" i="1" s="1"/>
  <c r="K225" i="7"/>
  <c r="J226" i="7" s="1"/>
  <c r="P226" i="7" s="1"/>
  <c r="I228" i="6"/>
  <c r="P228" i="6" s="1"/>
  <c r="J227" i="6"/>
  <c r="G228" i="6"/>
  <c r="O228" i="6" s="1"/>
  <c r="H225" i="7"/>
  <c r="H227" i="6"/>
  <c r="U98" i="1"/>
  <c r="U96" i="1"/>
  <c r="H207" i="6"/>
  <c r="U204" i="7"/>
  <c r="S204" i="7"/>
  <c r="T206" i="6"/>
  <c r="H205" i="7"/>
  <c r="R206" i="6"/>
  <c r="Q207" i="6"/>
  <c r="H196" i="7"/>
  <c r="R197" i="6"/>
  <c r="H202" i="6" s="1"/>
  <c r="G205" i="6" s="1"/>
  <c r="O205" i="6" s="1"/>
  <c r="Q198" i="6"/>
  <c r="H198" i="6"/>
  <c r="U195" i="7"/>
  <c r="H201" i="7" s="1"/>
  <c r="S195" i="7"/>
  <c r="H200" i="7" s="1"/>
  <c r="T197" i="6"/>
  <c r="H203" i="6" s="1"/>
  <c r="V90" i="1"/>
  <c r="V88" i="1"/>
  <c r="U85" i="1"/>
  <c r="U143" i="7"/>
  <c r="S143" i="7"/>
  <c r="T145" i="6"/>
  <c r="R145" i="6"/>
  <c r="GX81" i="1"/>
  <c r="AD81" i="1"/>
  <c r="AB81" i="1" s="1"/>
  <c r="W80" i="1"/>
  <c r="E128" i="7"/>
  <c r="E130" i="6"/>
  <c r="S78" i="1"/>
  <c r="U117" i="7"/>
  <c r="H123" i="7" s="1"/>
  <c r="S117" i="7"/>
  <c r="H122" i="7" s="1"/>
  <c r="H118" i="7"/>
  <c r="T119" i="6"/>
  <c r="H125" i="6" s="1"/>
  <c r="R119" i="6"/>
  <c r="H124" i="6" s="1"/>
  <c r="G127" i="6" s="1"/>
  <c r="O127" i="6" s="1"/>
  <c r="Q120" i="6"/>
  <c r="H120" i="6"/>
  <c r="P75" i="1"/>
  <c r="AB75" i="1"/>
  <c r="H109" i="7"/>
  <c r="H111" i="6"/>
  <c r="GX73" i="1"/>
  <c r="CJ101" i="1" s="1"/>
  <c r="CR73" i="1"/>
  <c r="Q73" i="1" s="1"/>
  <c r="CR71" i="1"/>
  <c r="Q71" i="1" s="1"/>
  <c r="AD71" i="1"/>
  <c r="AB71" i="1" s="1"/>
  <c r="CS69" i="1"/>
  <c r="R69" i="1" s="1"/>
  <c r="AB69" i="1"/>
  <c r="H79" i="7"/>
  <c r="H81" i="6"/>
  <c r="G82" i="6"/>
  <c r="O82" i="6" s="1"/>
  <c r="CG34" i="1"/>
  <c r="CG26" i="1" s="1"/>
  <c r="U29" i="1"/>
  <c r="DH40" i="3"/>
  <c r="G65" i="6"/>
  <c r="O65" i="6" s="1"/>
  <c r="CC133" i="1"/>
  <c r="AT139" i="1"/>
  <c r="BA139" i="1"/>
  <c r="CJ133" i="1"/>
  <c r="F152" i="1"/>
  <c r="BB133" i="1"/>
  <c r="W139" i="1"/>
  <c r="CP137" i="1"/>
  <c r="O137" i="1" s="1"/>
  <c r="HD135" i="1"/>
  <c r="AQ133" i="1"/>
  <c r="F149" i="1"/>
  <c r="AI133" i="1"/>
  <c r="V139" i="1"/>
  <c r="AZ139" i="1"/>
  <c r="CI133" i="1"/>
  <c r="AG133" i="1"/>
  <c r="T139" i="1"/>
  <c r="CY137" i="1"/>
  <c r="X137" i="1" s="1"/>
  <c r="CZ137" i="1"/>
  <c r="Y137" i="1" s="1"/>
  <c r="AF139" i="1"/>
  <c r="CG139" i="1"/>
  <c r="AP139" i="1"/>
  <c r="CK133" i="1"/>
  <c r="AC133" i="1"/>
  <c r="CP99" i="1"/>
  <c r="O99" i="1" s="1"/>
  <c r="CY81" i="1"/>
  <c r="X81" i="1" s="1"/>
  <c r="AO139" i="1"/>
  <c r="BC133" i="1"/>
  <c r="CY98" i="1"/>
  <c r="X98" i="1" s="1"/>
  <c r="CE139" i="1"/>
  <c r="BZ133" i="1"/>
  <c r="BY66" i="1"/>
  <c r="CI101" i="1"/>
  <c r="AB91" i="1"/>
  <c r="CY86" i="1"/>
  <c r="X86" i="1" s="1"/>
  <c r="AB86" i="1"/>
  <c r="CY82" i="1"/>
  <c r="X82" i="1" s="1"/>
  <c r="CZ82" i="1"/>
  <c r="Y82" i="1" s="1"/>
  <c r="AQ101" i="1"/>
  <c r="R139" i="1"/>
  <c r="BC101" i="1"/>
  <c r="AP101" i="1"/>
  <c r="CZ95" i="1"/>
  <c r="Y95" i="1" s="1"/>
  <c r="AB92" i="1"/>
  <c r="CG101" i="1"/>
  <c r="AO101" i="1"/>
  <c r="CZ89" i="1"/>
  <c r="Y89" i="1" s="1"/>
  <c r="CZ84" i="1"/>
  <c r="Y84" i="1" s="1"/>
  <c r="CP82" i="1"/>
  <c r="O82" i="1" s="1"/>
  <c r="P139" i="1"/>
  <c r="CP98" i="1"/>
  <c r="O98" i="1" s="1"/>
  <c r="CY97" i="1"/>
  <c r="X97" i="1" s="1"/>
  <c r="CZ97" i="1"/>
  <c r="Y97" i="1" s="1"/>
  <c r="CZ90" i="1"/>
  <c r="Y90" i="1" s="1"/>
  <c r="AB90" i="1"/>
  <c r="CZ87" i="1"/>
  <c r="Y87" i="1" s="1"/>
  <c r="AB87" i="1"/>
  <c r="CZ80" i="1"/>
  <c r="Y80" i="1" s="1"/>
  <c r="AU139" i="1"/>
  <c r="CZ88" i="1"/>
  <c r="Y88" i="1" s="1"/>
  <c r="CX114" i="3"/>
  <c r="CX108" i="3"/>
  <c r="CX116" i="3"/>
  <c r="CX113" i="3"/>
  <c r="CX110" i="3"/>
  <c r="CX118" i="3"/>
  <c r="CY95" i="1"/>
  <c r="X95" i="1" s="1"/>
  <c r="CQ95" i="1"/>
  <c r="P95" i="1" s="1"/>
  <c r="AD95" i="1"/>
  <c r="AB95" i="1" s="1"/>
  <c r="CY93" i="1"/>
  <c r="X93" i="1" s="1"/>
  <c r="CQ93" i="1"/>
  <c r="P93" i="1" s="1"/>
  <c r="CP93" i="1" s="1"/>
  <c r="O93" i="1" s="1"/>
  <c r="AD93" i="1"/>
  <c r="AB93" i="1" s="1"/>
  <c r="CS92" i="1"/>
  <c r="R92" i="1" s="1"/>
  <c r="CZ92" i="1" s="1"/>
  <c r="Y92" i="1" s="1"/>
  <c r="CY89" i="1"/>
  <c r="X89" i="1" s="1"/>
  <c r="CQ89" i="1"/>
  <c r="P89" i="1" s="1"/>
  <c r="AD89" i="1"/>
  <c r="AB89" i="1" s="1"/>
  <c r="CY88" i="1"/>
  <c r="X88" i="1" s="1"/>
  <c r="CQ88" i="1"/>
  <c r="P88" i="1" s="1"/>
  <c r="AD88" i="1"/>
  <c r="AB88" i="1" s="1"/>
  <c r="CY84" i="1"/>
  <c r="X84" i="1" s="1"/>
  <c r="CQ84" i="1"/>
  <c r="P84" i="1" s="1"/>
  <c r="CY83" i="1"/>
  <c r="X83" i="1" s="1"/>
  <c r="CQ83" i="1"/>
  <c r="P83" i="1" s="1"/>
  <c r="CQ81" i="1"/>
  <c r="P81" i="1" s="1"/>
  <c r="CY78" i="1"/>
  <c r="X78" i="1" s="1"/>
  <c r="CQ77" i="1"/>
  <c r="P77" i="1" s="1"/>
  <c r="CY71" i="1"/>
  <c r="X71" i="1" s="1"/>
  <c r="CS94" i="1"/>
  <c r="R94" i="1" s="1"/>
  <c r="CQ92" i="1"/>
  <c r="P92" i="1" s="1"/>
  <c r="CP92" i="1" s="1"/>
  <c r="O92" i="1" s="1"/>
  <c r="CS91" i="1"/>
  <c r="R91" i="1" s="1"/>
  <c r="CY91" i="1" s="1"/>
  <c r="X91" i="1" s="1"/>
  <c r="CS90" i="1"/>
  <c r="R90" i="1" s="1"/>
  <c r="CS87" i="1"/>
  <c r="R87" i="1" s="1"/>
  <c r="CY87" i="1" s="1"/>
  <c r="X87" i="1" s="1"/>
  <c r="CS86" i="1"/>
  <c r="R86" i="1" s="1"/>
  <c r="CZ86" i="1" s="1"/>
  <c r="Y86" i="1" s="1"/>
  <c r="CS85" i="1"/>
  <c r="R85" i="1" s="1"/>
  <c r="AB76" i="1"/>
  <c r="CQ76" i="1"/>
  <c r="P76" i="1" s="1"/>
  <c r="CP76" i="1" s="1"/>
  <c r="O76" i="1" s="1"/>
  <c r="CY68" i="1"/>
  <c r="X68" i="1" s="1"/>
  <c r="CZ68" i="1"/>
  <c r="Y68" i="1" s="1"/>
  <c r="CX90" i="3"/>
  <c r="CX96" i="3"/>
  <c r="DF83" i="3"/>
  <c r="DG83" i="3"/>
  <c r="DH83" i="3"/>
  <c r="DI83" i="3"/>
  <c r="DJ83" i="3" s="1"/>
  <c r="CX75" i="3"/>
  <c r="CX74" i="3"/>
  <c r="CX76" i="3"/>
  <c r="CX78" i="3"/>
  <c r="GN31" i="1"/>
  <c r="CY29" i="1"/>
  <c r="X29" i="1" s="1"/>
  <c r="CZ29" i="1"/>
  <c r="Y29" i="1" s="1"/>
  <c r="CJ34" i="1"/>
  <c r="AG34" i="1"/>
  <c r="BD101" i="1"/>
  <c r="CQ94" i="1"/>
  <c r="P94" i="1" s="1"/>
  <c r="CQ91" i="1"/>
  <c r="P91" i="1" s="1"/>
  <c r="CQ90" i="1"/>
  <c r="P90" i="1" s="1"/>
  <c r="CQ87" i="1"/>
  <c r="P87" i="1" s="1"/>
  <c r="CQ86" i="1"/>
  <c r="P86" i="1" s="1"/>
  <c r="CQ85" i="1"/>
  <c r="P85" i="1" s="1"/>
  <c r="CR79" i="1"/>
  <c r="Q79" i="1" s="1"/>
  <c r="CY72" i="1"/>
  <c r="X72" i="1" s="1"/>
  <c r="CZ72" i="1"/>
  <c r="Y72" i="1" s="1"/>
  <c r="AB68" i="1"/>
  <c r="CY32" i="1"/>
  <c r="X32" i="1" s="1"/>
  <c r="CZ32" i="1"/>
  <c r="Y32" i="1" s="1"/>
  <c r="AI34" i="1"/>
  <c r="Q80" i="1"/>
  <c r="CP80" i="1" s="1"/>
  <c r="O80" i="1" s="1"/>
  <c r="CZ79" i="1"/>
  <c r="Y79" i="1" s="1"/>
  <c r="CP78" i="1"/>
  <c r="O78" i="1" s="1"/>
  <c r="CY70" i="1"/>
  <c r="X70" i="1" s="1"/>
  <c r="CZ70" i="1"/>
  <c r="Y70" i="1" s="1"/>
  <c r="BB101" i="1"/>
  <c r="W79" i="1"/>
  <c r="CP72" i="1"/>
  <c r="O72" i="1" s="1"/>
  <c r="CX98" i="3"/>
  <c r="CX106" i="3"/>
  <c r="CX100" i="3"/>
  <c r="CX105" i="3"/>
  <c r="CX99" i="3"/>
  <c r="CX82" i="3"/>
  <c r="CX79" i="3"/>
  <c r="CX81" i="3"/>
  <c r="CX70" i="3"/>
  <c r="CX68" i="3"/>
  <c r="CX66" i="3"/>
  <c r="CX71" i="3"/>
  <c r="CY76" i="1"/>
  <c r="X76" i="1" s="1"/>
  <c r="CZ76" i="1"/>
  <c r="Y76" i="1" s="1"/>
  <c r="AB70" i="1"/>
  <c r="CZ69" i="1"/>
  <c r="Y69" i="1" s="1"/>
  <c r="AB74" i="1"/>
  <c r="AB73" i="1"/>
  <c r="BD34" i="1"/>
  <c r="AB30" i="1"/>
  <c r="CX111" i="3"/>
  <c r="DF87" i="3"/>
  <c r="DG87" i="3"/>
  <c r="DH87" i="3"/>
  <c r="DI87" i="3"/>
  <c r="DJ87" i="3" s="1"/>
  <c r="CX54" i="3"/>
  <c r="CX55" i="3"/>
  <c r="CX51" i="3"/>
  <c r="BC34" i="1"/>
  <c r="AU34" i="1"/>
  <c r="CX117" i="3"/>
  <c r="BB34" i="1"/>
  <c r="AT34" i="1"/>
  <c r="CX112" i="3"/>
  <c r="CX94" i="3"/>
  <c r="DI88" i="3"/>
  <c r="DJ88" i="3" s="1"/>
  <c r="DG88" i="3"/>
  <c r="DH88" i="3"/>
  <c r="DF88" i="3"/>
  <c r="CX34" i="3"/>
  <c r="CX31" i="3"/>
  <c r="CX30" i="3"/>
  <c r="CX119" i="3"/>
  <c r="CX107" i="3"/>
  <c r="CX101" i="3"/>
  <c r="CX95" i="3"/>
  <c r="DF89" i="3"/>
  <c r="DG89" i="3"/>
  <c r="DJ89" i="3" s="1"/>
  <c r="DH89" i="3"/>
  <c r="DI89" i="3"/>
  <c r="CX58" i="3"/>
  <c r="CX60" i="3"/>
  <c r="CX63" i="3"/>
  <c r="CX64" i="3"/>
  <c r="CX59" i="3"/>
  <c r="CX62" i="3"/>
  <c r="CS74" i="1"/>
  <c r="R74" i="1" s="1"/>
  <c r="CZ74" i="1" s="1"/>
  <c r="Y74" i="1" s="1"/>
  <c r="CS73" i="1"/>
  <c r="R73" i="1" s="1"/>
  <c r="CQ70" i="1"/>
  <c r="P70" i="1" s="1"/>
  <c r="CQ69" i="1"/>
  <c r="P69" i="1" s="1"/>
  <c r="CQ68" i="1"/>
  <c r="P68" i="1" s="1"/>
  <c r="CI34" i="1"/>
  <c r="DH26" i="3"/>
  <c r="DI26" i="3"/>
  <c r="DF26" i="3"/>
  <c r="DG26" i="3"/>
  <c r="DJ26" i="3" s="1"/>
  <c r="CR29" i="1"/>
  <c r="Q29" i="1" s="1"/>
  <c r="CX102" i="3"/>
  <c r="CX84" i="3"/>
  <c r="CX50" i="3"/>
  <c r="CX46" i="3"/>
  <c r="CX47" i="3"/>
  <c r="CX48" i="3"/>
  <c r="AQ34" i="1"/>
  <c r="CX103" i="3"/>
  <c r="CX97" i="3"/>
  <c r="CX72" i="3"/>
  <c r="AX34" i="1"/>
  <c r="AP34" i="1"/>
  <c r="CX115" i="3"/>
  <c r="CX109" i="3"/>
  <c r="CX91" i="3"/>
  <c r="S73" i="1"/>
  <c r="AO34" i="1"/>
  <c r="CQ30" i="1"/>
  <c r="P30" i="1" s="1"/>
  <c r="CR28" i="1"/>
  <c r="Q28" i="1" s="1"/>
  <c r="CX2" i="3"/>
  <c r="CX7" i="3"/>
  <c r="CX4" i="3"/>
  <c r="CX6" i="3"/>
  <c r="CX3" i="3"/>
  <c r="CX104" i="3"/>
  <c r="CX92" i="3"/>
  <c r="CX86" i="3"/>
  <c r="CX80" i="3"/>
  <c r="CX67" i="3"/>
  <c r="CX56" i="3"/>
  <c r="DI37" i="3"/>
  <c r="DJ37" i="3" s="1"/>
  <c r="DF37" i="3"/>
  <c r="DG37" i="3"/>
  <c r="DH37" i="3"/>
  <c r="CX13" i="3"/>
  <c r="CX8" i="3"/>
  <c r="CX69" i="3"/>
  <c r="CX32" i="3"/>
  <c r="CX27" i="3"/>
  <c r="CX19" i="3"/>
  <c r="CX93" i="3"/>
  <c r="CX49" i="3"/>
  <c r="CX33" i="3"/>
  <c r="CX28" i="3"/>
  <c r="CX20" i="3"/>
  <c r="CX9" i="3"/>
  <c r="CX85" i="3"/>
  <c r="CX61" i="3"/>
  <c r="CX5" i="3"/>
  <c r="CX77" i="3"/>
  <c r="CX73" i="3"/>
  <c r="DI45" i="3"/>
  <c r="DF45" i="3"/>
  <c r="DJ45" i="3" s="1"/>
  <c r="DG45" i="3"/>
  <c r="DH45" i="3"/>
  <c r="DF44" i="3"/>
  <c r="DJ44" i="3" s="1"/>
  <c r="DH44" i="3"/>
  <c r="DI44" i="3"/>
  <c r="DF43" i="3"/>
  <c r="DJ43" i="3" s="1"/>
  <c r="DH43" i="3"/>
  <c r="DI43" i="3"/>
  <c r="CX29" i="3"/>
  <c r="CX21" i="3"/>
  <c r="CX57" i="3"/>
  <c r="CX53" i="3"/>
  <c r="CX35" i="3"/>
  <c r="DF24" i="3"/>
  <c r="DJ24" i="3" s="1"/>
  <c r="DG24" i="3"/>
  <c r="DH24" i="3"/>
  <c r="DI24" i="3"/>
  <c r="CX16" i="3"/>
  <c r="CX11" i="3"/>
  <c r="CX1" i="3"/>
  <c r="CX10" i="3"/>
  <c r="CX18" i="3"/>
  <c r="CX15" i="3"/>
  <c r="CX14" i="3"/>
  <c r="CX65" i="3"/>
  <c r="CX52" i="3"/>
  <c r="DG43" i="3"/>
  <c r="DF36" i="3"/>
  <c r="DG36" i="3"/>
  <c r="DH36" i="3"/>
  <c r="DI36" i="3"/>
  <c r="DJ36" i="3" s="1"/>
  <c r="CX25" i="3"/>
  <c r="CX17" i="3"/>
  <c r="CX12" i="3"/>
  <c r="DG44" i="3"/>
  <c r="DG41" i="3"/>
  <c r="DH41" i="3"/>
  <c r="DI40" i="3"/>
  <c r="DF39" i="3"/>
  <c r="DF23" i="3"/>
  <c r="DI38" i="3"/>
  <c r="DI22" i="3"/>
  <c r="DJ22" i="3" s="1"/>
  <c r="DG38" i="3"/>
  <c r="DJ38" i="3" s="1"/>
  <c r="DG22" i="3"/>
  <c r="DI39" i="3"/>
  <c r="DI23" i="3"/>
  <c r="DJ23" i="3" s="1"/>
  <c r="V130" i="7" l="1"/>
  <c r="U132" i="6"/>
  <c r="T79" i="7"/>
  <c r="S81" i="6"/>
  <c r="T128" i="7"/>
  <c r="S130" i="6"/>
  <c r="AD133" i="1"/>
  <c r="Q139" i="1"/>
  <c r="U227" i="6"/>
  <c r="V225" i="7"/>
  <c r="AI101" i="1"/>
  <c r="T105" i="7"/>
  <c r="S107" i="6"/>
  <c r="T156" i="7"/>
  <c r="S158" i="6"/>
  <c r="CJ66" i="1"/>
  <c r="BA101" i="1"/>
  <c r="BA66" i="1" s="1"/>
  <c r="K148" i="7"/>
  <c r="J150" i="6"/>
  <c r="T158" i="7"/>
  <c r="K164" i="7" s="1"/>
  <c r="S160" i="6"/>
  <c r="J166" i="6" s="1"/>
  <c r="T154" i="7"/>
  <c r="S156" i="6"/>
  <c r="AH34" i="1"/>
  <c r="L41" i="7"/>
  <c r="L42" i="7"/>
  <c r="Q42" i="7" s="1"/>
  <c r="H43" i="6"/>
  <c r="K86" i="7"/>
  <c r="J88" i="6"/>
  <c r="K172" i="7"/>
  <c r="J174" i="6"/>
  <c r="R36" i="7"/>
  <c r="G42" i="7"/>
  <c r="O42" i="7" s="1"/>
  <c r="W42" i="7"/>
  <c r="L179" i="7"/>
  <c r="Q179" i="7" s="1"/>
  <c r="L178" i="7"/>
  <c r="H180" i="6"/>
  <c r="W238" i="7"/>
  <c r="G238" i="7"/>
  <c r="O238" i="7" s="1"/>
  <c r="K74" i="7"/>
  <c r="J76" i="6"/>
  <c r="AD101" i="1"/>
  <c r="V154" i="7"/>
  <c r="U156" i="6"/>
  <c r="W34" i="1"/>
  <c r="CP81" i="1"/>
  <c r="O81" i="1" s="1"/>
  <c r="K130" i="7"/>
  <c r="J131" i="7" s="1"/>
  <c r="P131" i="7" s="1"/>
  <c r="I133" i="6"/>
  <c r="P133" i="6" s="1"/>
  <c r="J132" i="6"/>
  <c r="CP95" i="1"/>
  <c r="O95" i="1" s="1"/>
  <c r="K208" i="7"/>
  <c r="J210" i="6"/>
  <c r="V158" i="7"/>
  <c r="K165" i="7" s="1"/>
  <c r="U160" i="6"/>
  <c r="J167" i="6" s="1"/>
  <c r="V156" i="7"/>
  <c r="U158" i="6"/>
  <c r="K97" i="7"/>
  <c r="J99" i="6"/>
  <c r="R196" i="7"/>
  <c r="G203" i="7"/>
  <c r="O203" i="7" s="1"/>
  <c r="W203" i="7"/>
  <c r="G36" i="6"/>
  <c r="O36" i="6" s="1"/>
  <c r="R160" i="7"/>
  <c r="W167" i="7"/>
  <c r="G167" i="7"/>
  <c r="O167" i="7" s="1"/>
  <c r="R211" i="6"/>
  <c r="K160" i="7"/>
  <c r="J162" i="6"/>
  <c r="H214" i="7"/>
  <c r="G80" i="6"/>
  <c r="O80" i="6" s="1"/>
  <c r="G230" i="6" s="1"/>
  <c r="AD34" i="1"/>
  <c r="K29" i="7"/>
  <c r="J31" i="6"/>
  <c r="T92" i="7"/>
  <c r="S94" i="6"/>
  <c r="K85" i="7"/>
  <c r="J87" i="6"/>
  <c r="L153" i="7"/>
  <c r="Q153" i="7" s="1"/>
  <c r="L228" i="7" s="1"/>
  <c r="L152" i="7"/>
  <c r="H154" i="6"/>
  <c r="K44" i="7"/>
  <c r="J46" i="6"/>
  <c r="W234" i="7"/>
  <c r="G234" i="7"/>
  <c r="O234" i="7" s="1"/>
  <c r="J30" i="6"/>
  <c r="K28" i="7"/>
  <c r="CZ28" i="1"/>
  <c r="Y28" i="1" s="1"/>
  <c r="CY28" i="1"/>
  <c r="X28" i="1" s="1"/>
  <c r="W155" i="7"/>
  <c r="G155" i="7"/>
  <c r="O155" i="7" s="1"/>
  <c r="R183" i="7"/>
  <c r="G187" i="7"/>
  <c r="O187" i="7" s="1"/>
  <c r="W187" i="7"/>
  <c r="V126" i="7"/>
  <c r="U128" i="6"/>
  <c r="CP69" i="1"/>
  <c r="O69" i="1" s="1"/>
  <c r="K79" i="7"/>
  <c r="J80" i="7" s="1"/>
  <c r="P80" i="7" s="1"/>
  <c r="J81" i="6"/>
  <c r="I82" i="6"/>
  <c r="P82" i="6" s="1"/>
  <c r="CZ75" i="1"/>
  <c r="Y75" i="1" s="1"/>
  <c r="CP85" i="1"/>
  <c r="O85" i="1" s="1"/>
  <c r="K149" i="7"/>
  <c r="J151" i="6"/>
  <c r="U72" i="6"/>
  <c r="J78" i="6" s="1"/>
  <c r="V70" i="7"/>
  <c r="K76" i="7" s="1"/>
  <c r="CP83" i="1"/>
  <c r="O83" i="1" s="1"/>
  <c r="K138" i="7"/>
  <c r="J140" i="6"/>
  <c r="CP89" i="1"/>
  <c r="O89" i="1" s="1"/>
  <c r="I171" i="6"/>
  <c r="P171" i="6" s="1"/>
  <c r="J170" i="6"/>
  <c r="K168" i="7"/>
  <c r="J169" i="7" s="1"/>
  <c r="P169" i="7" s="1"/>
  <c r="T204" i="7"/>
  <c r="S206" i="6"/>
  <c r="V143" i="7"/>
  <c r="U145" i="6"/>
  <c r="AT101" i="1"/>
  <c r="H225" i="6"/>
  <c r="L223" i="7"/>
  <c r="L224" i="7"/>
  <c r="Q224" i="7" s="1"/>
  <c r="R84" i="7"/>
  <c r="W91" i="7"/>
  <c r="G91" i="7"/>
  <c r="O91" i="7" s="1"/>
  <c r="J175" i="6"/>
  <c r="K173" i="7"/>
  <c r="W93" i="7"/>
  <c r="G93" i="7"/>
  <c r="O93" i="7" s="1"/>
  <c r="G196" i="6"/>
  <c r="O196" i="6" s="1"/>
  <c r="J222" i="6"/>
  <c r="K220" i="7"/>
  <c r="W127" i="7"/>
  <c r="G127" i="7"/>
  <c r="O127" i="7" s="1"/>
  <c r="W153" i="7"/>
  <c r="R146" i="7"/>
  <c r="G153" i="7"/>
  <c r="O153" i="7" s="1"/>
  <c r="S212" i="7"/>
  <c r="W131" i="7"/>
  <c r="G131" i="7"/>
  <c r="O131" i="7" s="1"/>
  <c r="CY79" i="1"/>
  <c r="X79" i="1" s="1"/>
  <c r="W96" i="1"/>
  <c r="K161" i="7"/>
  <c r="J163" i="6"/>
  <c r="V96" i="1"/>
  <c r="CD66" i="1"/>
  <c r="AU101" i="1"/>
  <c r="T96" i="1"/>
  <c r="AG101" i="1" s="1"/>
  <c r="HD136" i="1"/>
  <c r="CM139" i="1" s="1"/>
  <c r="K235" i="7"/>
  <c r="J236" i="7" s="1"/>
  <c r="P236" i="7" s="1"/>
  <c r="J237" i="6"/>
  <c r="I238" i="6" s="1"/>
  <c r="P238" i="6" s="1"/>
  <c r="I242" i="6" s="1"/>
  <c r="T117" i="7"/>
  <c r="K122" i="7" s="1"/>
  <c r="S119" i="6"/>
  <c r="J124" i="6" s="1"/>
  <c r="W55" i="7"/>
  <c r="R50" i="7"/>
  <c r="G55" i="7"/>
  <c r="O55" i="7" s="1"/>
  <c r="K103" i="7"/>
  <c r="J104" i="7" s="1"/>
  <c r="P104" i="7" s="1"/>
  <c r="I106" i="6"/>
  <c r="P106" i="6" s="1"/>
  <c r="J105" i="6"/>
  <c r="K147" i="7"/>
  <c r="J149" i="6"/>
  <c r="T49" i="7"/>
  <c r="K52" i="7" s="1"/>
  <c r="S51" i="6"/>
  <c r="J54" i="6" s="1"/>
  <c r="V188" i="7"/>
  <c r="K192" i="7" s="1"/>
  <c r="U190" i="6"/>
  <c r="J194" i="6" s="1"/>
  <c r="CP73" i="1"/>
  <c r="O73" i="1" s="1"/>
  <c r="K96" i="7"/>
  <c r="J98" i="6"/>
  <c r="CP29" i="1"/>
  <c r="O29" i="1" s="1"/>
  <c r="K37" i="7"/>
  <c r="J39" i="6"/>
  <c r="CP70" i="1"/>
  <c r="O70" i="1" s="1"/>
  <c r="K81" i="7"/>
  <c r="J82" i="7" s="1"/>
  <c r="P82" i="7" s="1"/>
  <c r="I84" i="6"/>
  <c r="P84" i="6" s="1"/>
  <c r="J83" i="6"/>
  <c r="CP86" i="1"/>
  <c r="O86" i="1" s="1"/>
  <c r="K154" i="7"/>
  <c r="J155" i="7" s="1"/>
  <c r="P155" i="7" s="1"/>
  <c r="I157" i="6"/>
  <c r="P157" i="6" s="1"/>
  <c r="J156" i="6"/>
  <c r="AF34" i="1"/>
  <c r="T70" i="7"/>
  <c r="K75" i="7" s="1"/>
  <c r="S72" i="6"/>
  <c r="J77" i="6" s="1"/>
  <c r="I80" i="6" s="1"/>
  <c r="P80" i="6" s="1"/>
  <c r="CY90" i="1"/>
  <c r="X90" i="1" s="1"/>
  <c r="K174" i="7"/>
  <c r="J176" i="6"/>
  <c r="CY30" i="1"/>
  <c r="X30" i="1" s="1"/>
  <c r="T134" i="7"/>
  <c r="K139" i="7" s="1"/>
  <c r="S136" i="6"/>
  <c r="J141" i="6" s="1"/>
  <c r="S170" i="6"/>
  <c r="T168" i="7"/>
  <c r="W125" i="7"/>
  <c r="G125" i="7"/>
  <c r="O125" i="7" s="1"/>
  <c r="R118" i="7"/>
  <c r="H212" i="6"/>
  <c r="G215" i="6" s="1"/>
  <c r="O215" i="6" s="1"/>
  <c r="G82" i="7"/>
  <c r="O82" i="7" s="1"/>
  <c r="W82" i="7"/>
  <c r="L125" i="7"/>
  <c r="Q125" i="7" s="1"/>
  <c r="L124" i="7"/>
  <c r="H126" i="6"/>
  <c r="R96" i="7"/>
  <c r="W102" i="7"/>
  <c r="G102" i="7"/>
  <c r="O102" i="7" s="1"/>
  <c r="W157" i="7"/>
  <c r="G157" i="7"/>
  <c r="O157" i="7" s="1"/>
  <c r="K218" i="7"/>
  <c r="J220" i="6"/>
  <c r="K162" i="7"/>
  <c r="J164" i="6"/>
  <c r="R28" i="7"/>
  <c r="G34" i="7"/>
  <c r="O34" i="7" s="1"/>
  <c r="W34" i="7"/>
  <c r="R58" i="7"/>
  <c r="G63" i="7"/>
  <c r="O63" i="7" s="1"/>
  <c r="W63" i="7"/>
  <c r="G169" i="7"/>
  <c r="O169" i="7" s="1"/>
  <c r="W169" i="7"/>
  <c r="K36" i="7"/>
  <c r="J38" i="6"/>
  <c r="S96" i="1"/>
  <c r="CZ98" i="1"/>
  <c r="Y98" i="1" s="1"/>
  <c r="K217" i="7"/>
  <c r="J219" i="6"/>
  <c r="L34" i="7"/>
  <c r="Q34" i="7" s="1"/>
  <c r="L33" i="7"/>
  <c r="H35" i="6"/>
  <c r="E216" i="6"/>
  <c r="E214" i="7"/>
  <c r="V97" i="1"/>
  <c r="K120" i="7"/>
  <c r="J122" i="6"/>
  <c r="G217" i="6"/>
  <c r="O217" i="6" s="1"/>
  <c r="K219" i="7"/>
  <c r="J221" i="6"/>
  <c r="K98" i="7"/>
  <c r="J100" i="6"/>
  <c r="V113" i="7"/>
  <c r="U112" i="6"/>
  <c r="AJ101" i="1"/>
  <c r="GN32" i="1"/>
  <c r="V56" i="7"/>
  <c r="K61" i="7" s="1"/>
  <c r="U58" i="6"/>
  <c r="J63" i="6" s="1"/>
  <c r="CP87" i="1"/>
  <c r="O87" i="1" s="1"/>
  <c r="K156" i="7"/>
  <c r="J157" i="7" s="1"/>
  <c r="P157" i="7" s="1"/>
  <c r="I159" i="6"/>
  <c r="P159" i="6" s="1"/>
  <c r="J158" i="6"/>
  <c r="V35" i="7"/>
  <c r="K40" i="7" s="1"/>
  <c r="U37" i="6"/>
  <c r="J42" i="6" s="1"/>
  <c r="S182" i="6"/>
  <c r="T180" i="7"/>
  <c r="CZ30" i="1"/>
  <c r="Y30" i="1" s="1"/>
  <c r="CP84" i="1"/>
  <c r="O84" i="1" s="1"/>
  <c r="K143" i="7"/>
  <c r="J144" i="7" s="1"/>
  <c r="P144" i="7" s="1"/>
  <c r="I146" i="6"/>
  <c r="P146" i="6" s="1"/>
  <c r="J145" i="6"/>
  <c r="U184" i="6"/>
  <c r="J187" i="6" s="1"/>
  <c r="V182" i="7"/>
  <c r="K185" i="7" s="1"/>
  <c r="V170" i="7"/>
  <c r="K177" i="7" s="1"/>
  <c r="U172" i="6"/>
  <c r="J179" i="6" s="1"/>
  <c r="CZ85" i="1"/>
  <c r="Y85" i="1" s="1"/>
  <c r="V204" i="7"/>
  <c r="U206" i="6"/>
  <c r="T130" i="7"/>
  <c r="S132" i="6"/>
  <c r="G80" i="7"/>
  <c r="O80" i="7" s="1"/>
  <c r="W80" i="7"/>
  <c r="R205" i="7"/>
  <c r="G226" i="7"/>
  <c r="O226" i="7" s="1"/>
  <c r="W226" i="7"/>
  <c r="K30" i="7"/>
  <c r="J32" i="6"/>
  <c r="W114" i="7"/>
  <c r="G142" i="7"/>
  <c r="O142" i="7" s="1"/>
  <c r="R135" i="7"/>
  <c r="W142" i="7"/>
  <c r="L101" i="7"/>
  <c r="L102" i="7"/>
  <c r="Q102" i="7" s="1"/>
  <c r="H103" i="6"/>
  <c r="L240" i="7"/>
  <c r="K197" i="7"/>
  <c r="J199" i="6"/>
  <c r="E212" i="7"/>
  <c r="E211" i="6"/>
  <c r="R96" i="1"/>
  <c r="P96" i="1"/>
  <c r="W236" i="7"/>
  <c r="G236" i="7"/>
  <c r="O236" i="7" s="1"/>
  <c r="CH139" i="1"/>
  <c r="CF139" i="1"/>
  <c r="I240" i="6"/>
  <c r="P240" i="6" s="1"/>
  <c r="J239" i="6"/>
  <c r="K237" i="7"/>
  <c r="J238" i="7" s="1"/>
  <c r="P238" i="7" s="1"/>
  <c r="K119" i="7"/>
  <c r="J121" i="6"/>
  <c r="R71" i="7"/>
  <c r="G78" i="7"/>
  <c r="O78" i="7" s="1"/>
  <c r="W78" i="7"/>
  <c r="V103" i="7"/>
  <c r="U105" i="6"/>
  <c r="S112" i="6"/>
  <c r="T113" i="7"/>
  <c r="GM32" i="1"/>
  <c r="T56" i="7"/>
  <c r="K60" i="7" s="1"/>
  <c r="S58" i="6"/>
  <c r="J62" i="6" s="1"/>
  <c r="I65" i="6" s="1"/>
  <c r="P65" i="6" s="1"/>
  <c r="CP90" i="1"/>
  <c r="O90" i="1" s="1"/>
  <c r="K175" i="7"/>
  <c r="J177" i="6"/>
  <c r="T35" i="7"/>
  <c r="K39" i="7" s="1"/>
  <c r="S37" i="6"/>
  <c r="J41" i="6" s="1"/>
  <c r="CZ71" i="1"/>
  <c r="Y71" i="1" s="1"/>
  <c r="T143" i="7"/>
  <c r="S145" i="6"/>
  <c r="U216" i="6"/>
  <c r="V214" i="7"/>
  <c r="CY85" i="1"/>
  <c r="X85" i="1" s="1"/>
  <c r="V132" i="7"/>
  <c r="U134" i="6"/>
  <c r="AL139" i="1"/>
  <c r="Y139" i="1" s="1"/>
  <c r="U239" i="6"/>
  <c r="V237" i="7"/>
  <c r="H213" i="6"/>
  <c r="K38" i="7"/>
  <c r="J40" i="6"/>
  <c r="J240" i="7"/>
  <c r="K146" i="7"/>
  <c r="J148" i="6"/>
  <c r="R172" i="7"/>
  <c r="W179" i="7"/>
  <c r="G179" i="7"/>
  <c r="O179" i="7" s="1"/>
  <c r="AH139" i="1"/>
  <c r="K207" i="7"/>
  <c r="J209" i="6"/>
  <c r="V49" i="7"/>
  <c r="K53" i="7" s="1"/>
  <c r="U51" i="6"/>
  <c r="J55" i="6" s="1"/>
  <c r="CP91" i="1"/>
  <c r="O91" i="1" s="1"/>
  <c r="I183" i="6"/>
  <c r="P183" i="6" s="1"/>
  <c r="J182" i="6"/>
  <c r="K180" i="7"/>
  <c r="J181" i="7" s="1"/>
  <c r="P181" i="7" s="1"/>
  <c r="CZ94" i="1"/>
  <c r="Y94" i="1" s="1"/>
  <c r="K198" i="7"/>
  <c r="J200" i="6"/>
  <c r="V128" i="7"/>
  <c r="U130" i="6"/>
  <c r="T132" i="7"/>
  <c r="S134" i="6"/>
  <c r="CP75" i="1"/>
  <c r="O75" i="1" s="1"/>
  <c r="GN75" i="1" s="1"/>
  <c r="K109" i="7"/>
  <c r="J111" i="6"/>
  <c r="CZ77" i="1"/>
  <c r="Y77" i="1" s="1"/>
  <c r="CY77" i="1"/>
  <c r="X77" i="1" s="1"/>
  <c r="W133" i="7"/>
  <c r="G133" i="7"/>
  <c r="O133" i="7" s="1"/>
  <c r="H20" i="6"/>
  <c r="G144" i="7"/>
  <c r="O144" i="7" s="1"/>
  <c r="W144" i="7"/>
  <c r="G224" i="7"/>
  <c r="O224" i="7" s="1"/>
  <c r="R217" i="7"/>
  <c r="W224" i="7"/>
  <c r="K121" i="7"/>
  <c r="J123" i="6"/>
  <c r="L166" i="7"/>
  <c r="L167" i="7"/>
  <c r="Q167" i="7" s="1"/>
  <c r="H168" i="6"/>
  <c r="Q96" i="1"/>
  <c r="K183" i="7"/>
  <c r="J185" i="6"/>
  <c r="J192" i="6"/>
  <c r="K190" i="7"/>
  <c r="J194" i="7" s="1"/>
  <c r="P194" i="7" s="1"/>
  <c r="V79" i="7"/>
  <c r="U81" i="6"/>
  <c r="V81" i="7"/>
  <c r="U83" i="6"/>
  <c r="K113" i="7"/>
  <c r="J112" i="6"/>
  <c r="T83" i="7"/>
  <c r="K88" i="7" s="1"/>
  <c r="S85" i="6"/>
  <c r="J90" i="6" s="1"/>
  <c r="S216" i="6"/>
  <c r="T214" i="7"/>
  <c r="U170" i="6"/>
  <c r="V168" i="7"/>
  <c r="AK139" i="1"/>
  <c r="X139" i="1" s="1"/>
  <c r="T237" i="7"/>
  <c r="S239" i="6"/>
  <c r="CZ78" i="1"/>
  <c r="Y78" i="1" s="1"/>
  <c r="K118" i="7"/>
  <c r="J120" i="6"/>
  <c r="H209" i="7"/>
  <c r="W213" i="7" s="1"/>
  <c r="W116" i="7"/>
  <c r="G116" i="7"/>
  <c r="O116" i="7" s="1"/>
  <c r="K108" i="7"/>
  <c r="J110" i="6"/>
  <c r="W129" i="7"/>
  <c r="G129" i="7"/>
  <c r="O129" i="7" s="1"/>
  <c r="T81" i="7"/>
  <c r="S83" i="6"/>
  <c r="V92" i="7"/>
  <c r="U94" i="6"/>
  <c r="CP94" i="1"/>
  <c r="O94" i="1" s="1"/>
  <c r="K199" i="7"/>
  <c r="J201" i="6"/>
  <c r="GM31" i="1"/>
  <c r="CP77" i="1"/>
  <c r="O77" i="1" s="1"/>
  <c r="GN77" i="1" s="1"/>
  <c r="K115" i="7"/>
  <c r="J116" i="7" s="1"/>
  <c r="P116" i="7" s="1"/>
  <c r="I118" i="6"/>
  <c r="P118" i="6" s="1"/>
  <c r="J117" i="6"/>
  <c r="CP88" i="1"/>
  <c r="O88" i="1" s="1"/>
  <c r="J165" i="6"/>
  <c r="K163" i="7"/>
  <c r="T188" i="7"/>
  <c r="K191" i="7" s="1"/>
  <c r="S190" i="6"/>
  <c r="J193" i="6" s="1"/>
  <c r="I196" i="6" s="1"/>
  <c r="P196" i="6" s="1"/>
  <c r="T216" i="7"/>
  <c r="K221" i="7" s="1"/>
  <c r="S218" i="6"/>
  <c r="J223" i="6" s="1"/>
  <c r="H210" i="7"/>
  <c r="G48" i="7"/>
  <c r="O48" i="7" s="1"/>
  <c r="R44" i="7"/>
  <c r="W48" i="7"/>
  <c r="W104" i="7"/>
  <c r="G104" i="7"/>
  <c r="O104" i="7" s="1"/>
  <c r="K106" i="7"/>
  <c r="J108" i="6"/>
  <c r="K128" i="7"/>
  <c r="J129" i="7" s="1"/>
  <c r="P129" i="7" s="1"/>
  <c r="I131" i="6"/>
  <c r="P131" i="6" s="1"/>
  <c r="J130" i="6"/>
  <c r="CZ83" i="1"/>
  <c r="Y83" i="1" s="1"/>
  <c r="K135" i="7"/>
  <c r="J137" i="6"/>
  <c r="K59" i="7"/>
  <c r="J61" i="6"/>
  <c r="K137" i="7"/>
  <c r="J139" i="6"/>
  <c r="G194" i="7"/>
  <c r="O194" i="7" s="1"/>
  <c r="W194" i="7"/>
  <c r="R189" i="7"/>
  <c r="CY99" i="1"/>
  <c r="X99" i="1" s="1"/>
  <c r="K126" i="7"/>
  <c r="J127" i="7" s="1"/>
  <c r="P127" i="7" s="1"/>
  <c r="I129" i="6"/>
  <c r="P129" i="6" s="1"/>
  <c r="J128" i="6"/>
  <c r="G144" i="6"/>
  <c r="O144" i="6" s="1"/>
  <c r="J63" i="7"/>
  <c r="P63" i="7" s="1"/>
  <c r="G169" i="6"/>
  <c r="O169" i="6" s="1"/>
  <c r="U212" i="7"/>
  <c r="G226" i="6"/>
  <c r="O226" i="6" s="1"/>
  <c r="U97" i="1"/>
  <c r="L215" i="7" s="1"/>
  <c r="Q215" i="7" s="1"/>
  <c r="W181" i="7"/>
  <c r="G181" i="7"/>
  <c r="O181" i="7" s="1"/>
  <c r="J208" i="6"/>
  <c r="K206" i="7"/>
  <c r="P97" i="1"/>
  <c r="J55" i="7"/>
  <c r="P55" i="7" s="1"/>
  <c r="K71" i="7"/>
  <c r="J73" i="6"/>
  <c r="CP71" i="1"/>
  <c r="O71" i="1" s="1"/>
  <c r="GN80" i="1"/>
  <c r="GM80" i="1"/>
  <c r="DF73" i="3"/>
  <c r="DG73" i="3"/>
  <c r="DH73" i="3"/>
  <c r="DI73" i="3"/>
  <c r="DJ73" i="3" s="1"/>
  <c r="DF33" i="3"/>
  <c r="DJ33" i="3" s="1"/>
  <c r="DG33" i="3"/>
  <c r="DH33" i="3"/>
  <c r="DI33" i="3"/>
  <c r="DI13" i="3"/>
  <c r="DF13" i="3"/>
  <c r="DG13" i="3"/>
  <c r="DJ13" i="3" s="1"/>
  <c r="DH13" i="3"/>
  <c r="DH86" i="3"/>
  <c r="DI86" i="3"/>
  <c r="DF86" i="3"/>
  <c r="DJ86" i="3" s="1"/>
  <c r="DG86" i="3"/>
  <c r="AD26" i="1"/>
  <c r="Q34" i="1"/>
  <c r="AX26" i="1"/>
  <c r="F41" i="1"/>
  <c r="DH50" i="3"/>
  <c r="DG50" i="3"/>
  <c r="DJ50" i="3" s="1"/>
  <c r="DF50" i="3"/>
  <c r="DI50" i="3"/>
  <c r="CI26" i="1"/>
  <c r="AZ34" i="1"/>
  <c r="DI64" i="3"/>
  <c r="DF64" i="3"/>
  <c r="DJ64" i="3" s="1"/>
  <c r="DG64" i="3"/>
  <c r="DH64" i="3"/>
  <c r="DF95" i="3"/>
  <c r="DG95" i="3"/>
  <c r="DJ95" i="3" s="1"/>
  <c r="DH95" i="3"/>
  <c r="DI95" i="3"/>
  <c r="AU26" i="1"/>
  <c r="F53" i="1"/>
  <c r="AU169" i="1"/>
  <c r="DG66" i="3"/>
  <c r="DF66" i="3"/>
  <c r="DH66" i="3"/>
  <c r="DI66" i="3"/>
  <c r="DJ66" i="3" s="1"/>
  <c r="DF100" i="3"/>
  <c r="DG100" i="3"/>
  <c r="DJ100" i="3" s="1"/>
  <c r="DH100" i="3"/>
  <c r="DI100" i="3"/>
  <c r="GM81" i="1"/>
  <c r="GN81" i="1"/>
  <c r="GM95" i="1"/>
  <c r="GN95" i="1"/>
  <c r="CY94" i="1"/>
  <c r="X94" i="1" s="1"/>
  <c r="GN94" i="1" s="1"/>
  <c r="CE133" i="1"/>
  <c r="AV139" i="1"/>
  <c r="AF133" i="1"/>
  <c r="S139" i="1"/>
  <c r="GM137" i="1"/>
  <c r="CA139" i="1" s="1"/>
  <c r="GN137" i="1"/>
  <c r="CB139" i="1" s="1"/>
  <c r="DH77" i="3"/>
  <c r="DF77" i="3"/>
  <c r="DJ77" i="3" s="1"/>
  <c r="DG77" i="3"/>
  <c r="DI77" i="3"/>
  <c r="DH84" i="3"/>
  <c r="DI84" i="3"/>
  <c r="DJ84" i="3" s="1"/>
  <c r="DF84" i="3"/>
  <c r="DG84" i="3"/>
  <c r="CP68" i="1"/>
  <c r="O68" i="1" s="1"/>
  <c r="AC101" i="1"/>
  <c r="DF63" i="3"/>
  <c r="DJ63" i="3" s="1"/>
  <c r="DG63" i="3"/>
  <c r="DH63" i="3"/>
  <c r="DI63" i="3"/>
  <c r="DG101" i="3"/>
  <c r="DJ101" i="3" s="1"/>
  <c r="DH101" i="3"/>
  <c r="DI101" i="3"/>
  <c r="DF101" i="3"/>
  <c r="BC26" i="1"/>
  <c r="F50" i="1"/>
  <c r="BC169" i="1"/>
  <c r="DF111" i="3"/>
  <c r="DG111" i="3"/>
  <c r="DJ111" i="3" s="1"/>
  <c r="DH111" i="3"/>
  <c r="DI111" i="3"/>
  <c r="DI68" i="3"/>
  <c r="DF68" i="3"/>
  <c r="DG68" i="3"/>
  <c r="DJ68" i="3" s="1"/>
  <c r="DH68" i="3"/>
  <c r="DF106" i="3"/>
  <c r="DJ106" i="3" s="1"/>
  <c r="DG106" i="3"/>
  <c r="DH106" i="3"/>
  <c r="DI106" i="3"/>
  <c r="GN78" i="1"/>
  <c r="GM78" i="1"/>
  <c r="BD66" i="1"/>
  <c r="F126" i="1"/>
  <c r="DI78" i="3"/>
  <c r="DF78" i="3"/>
  <c r="DJ78" i="3" s="1"/>
  <c r="DG78" i="3"/>
  <c r="DH78" i="3"/>
  <c r="DI96" i="3"/>
  <c r="DF96" i="3"/>
  <c r="DJ96" i="3" s="1"/>
  <c r="DG96" i="3"/>
  <c r="DH96" i="3"/>
  <c r="GM83" i="1"/>
  <c r="GN83" i="1"/>
  <c r="GM89" i="1"/>
  <c r="GN89" i="1"/>
  <c r="AT66" i="1"/>
  <c r="F119" i="1"/>
  <c r="DF1" i="3"/>
  <c r="DG1" i="3"/>
  <c r="DH1" i="3"/>
  <c r="DI1" i="3"/>
  <c r="DJ1" i="3" s="1"/>
  <c r="GN69" i="1"/>
  <c r="GM69" i="1"/>
  <c r="DF51" i="3"/>
  <c r="DG51" i="3"/>
  <c r="DH51" i="3"/>
  <c r="DI51" i="3"/>
  <c r="DJ51" i="3" s="1"/>
  <c r="CP28" i="1"/>
  <c r="O28" i="1" s="1"/>
  <c r="GN74" i="1"/>
  <c r="DG70" i="3"/>
  <c r="DH70" i="3"/>
  <c r="DI70" i="3"/>
  <c r="DF70" i="3"/>
  <c r="DJ70" i="3" s="1"/>
  <c r="DF98" i="3"/>
  <c r="DG98" i="3"/>
  <c r="DH98" i="3"/>
  <c r="DI98" i="3"/>
  <c r="DJ98" i="3" s="1"/>
  <c r="AD66" i="1"/>
  <c r="Q101" i="1"/>
  <c r="AG26" i="1"/>
  <c r="T34" i="1"/>
  <c r="DI76" i="3"/>
  <c r="DF76" i="3"/>
  <c r="DJ76" i="3" s="1"/>
  <c r="DG76" i="3"/>
  <c r="DH76" i="3"/>
  <c r="DG90" i="3"/>
  <c r="DH90" i="3"/>
  <c r="DI90" i="3"/>
  <c r="DJ90" i="3" s="1"/>
  <c r="DF90" i="3"/>
  <c r="GN76" i="1"/>
  <c r="GM76" i="1"/>
  <c r="DF118" i="3"/>
  <c r="DJ118" i="3" s="1"/>
  <c r="DG118" i="3"/>
  <c r="DH118" i="3"/>
  <c r="DI118" i="3"/>
  <c r="GM98" i="1"/>
  <c r="GN98" i="1"/>
  <c r="CZ91" i="1"/>
  <c r="Y91" i="1" s="1"/>
  <c r="F163" i="1"/>
  <c r="W133" i="1"/>
  <c r="AC34" i="1"/>
  <c r="CP30" i="1"/>
  <c r="O30" i="1" s="1"/>
  <c r="DH93" i="3"/>
  <c r="DF93" i="3"/>
  <c r="DG93" i="3"/>
  <c r="DJ93" i="3" s="1"/>
  <c r="DI93" i="3"/>
  <c r="AO26" i="1"/>
  <c r="F38" i="1"/>
  <c r="AO169" i="1"/>
  <c r="DF19" i="3"/>
  <c r="DJ19" i="3" s="1"/>
  <c r="DG19" i="3"/>
  <c r="DH19" i="3"/>
  <c r="DI19" i="3"/>
  <c r="DF103" i="3"/>
  <c r="DG103" i="3"/>
  <c r="DJ103" i="3" s="1"/>
  <c r="DH103" i="3"/>
  <c r="DI103" i="3"/>
  <c r="GM29" i="1"/>
  <c r="GN29" i="1"/>
  <c r="GN70" i="1"/>
  <c r="GM70" i="1"/>
  <c r="DH58" i="3"/>
  <c r="DG58" i="3"/>
  <c r="DF58" i="3"/>
  <c r="DI58" i="3"/>
  <c r="DJ58" i="3" s="1"/>
  <c r="DF119" i="3"/>
  <c r="DJ119" i="3" s="1"/>
  <c r="DG119" i="3"/>
  <c r="DH119" i="3"/>
  <c r="DI119" i="3"/>
  <c r="DG94" i="3"/>
  <c r="DJ94" i="3" s="1"/>
  <c r="DH94" i="3"/>
  <c r="DI94" i="3"/>
  <c r="DF94" i="3"/>
  <c r="DG55" i="3"/>
  <c r="DF55" i="3"/>
  <c r="DJ55" i="3" s="1"/>
  <c r="DH55" i="3"/>
  <c r="DI55" i="3"/>
  <c r="DF81" i="3"/>
  <c r="DG81" i="3"/>
  <c r="DJ81" i="3" s="1"/>
  <c r="DH81" i="3"/>
  <c r="DI81" i="3"/>
  <c r="AE26" i="1"/>
  <c r="R34" i="1"/>
  <c r="GN85" i="1"/>
  <c r="GM85" i="1"/>
  <c r="BA34" i="1"/>
  <c r="CJ26" i="1"/>
  <c r="DG74" i="3"/>
  <c r="DJ74" i="3" s="1"/>
  <c r="DF74" i="3"/>
  <c r="DH74" i="3"/>
  <c r="DI74" i="3"/>
  <c r="GM84" i="1"/>
  <c r="GN84" i="1"/>
  <c r="DF110" i="3"/>
  <c r="DG110" i="3"/>
  <c r="DJ110" i="3" s="1"/>
  <c r="DH110" i="3"/>
  <c r="DI110" i="3"/>
  <c r="P133" i="1"/>
  <c r="F142" i="1"/>
  <c r="AP66" i="1"/>
  <c r="F110" i="1"/>
  <c r="AQ66" i="1"/>
  <c r="F111" i="1"/>
  <c r="F143" i="1"/>
  <c r="AO133" i="1"/>
  <c r="AP133" i="1"/>
  <c r="F148" i="1"/>
  <c r="F160" i="1"/>
  <c r="T133" i="1"/>
  <c r="DG49" i="3"/>
  <c r="DJ49" i="3" s="1"/>
  <c r="DH49" i="3"/>
  <c r="DF49" i="3"/>
  <c r="DI49" i="3"/>
  <c r="DF97" i="3"/>
  <c r="DJ97" i="3" s="1"/>
  <c r="DG97" i="3"/>
  <c r="DH97" i="3"/>
  <c r="DI97" i="3"/>
  <c r="DH57" i="3"/>
  <c r="DG57" i="3"/>
  <c r="DI57" i="3"/>
  <c r="DJ57" i="3" s="1"/>
  <c r="DF57" i="3"/>
  <c r="DI21" i="3"/>
  <c r="DF21" i="3"/>
  <c r="DJ21" i="3" s="1"/>
  <c r="DG21" i="3"/>
  <c r="DH21" i="3"/>
  <c r="DH85" i="3"/>
  <c r="DF85" i="3"/>
  <c r="DG85" i="3"/>
  <c r="DJ85" i="3" s="1"/>
  <c r="DI85" i="3"/>
  <c r="DF27" i="3"/>
  <c r="DG27" i="3"/>
  <c r="DJ27" i="3" s="1"/>
  <c r="DH27" i="3"/>
  <c r="DI27" i="3"/>
  <c r="DF6" i="3"/>
  <c r="DG6" i="3"/>
  <c r="DJ6" i="3" s="1"/>
  <c r="DH6" i="3"/>
  <c r="DI6" i="3"/>
  <c r="DF91" i="3"/>
  <c r="DG91" i="3"/>
  <c r="DH91" i="3"/>
  <c r="DI91" i="3"/>
  <c r="DJ91" i="3" s="1"/>
  <c r="AQ26" i="1"/>
  <c r="F44" i="1"/>
  <c r="AQ169" i="1"/>
  <c r="AE101" i="1"/>
  <c r="DF30" i="3"/>
  <c r="DG30" i="3"/>
  <c r="DJ30" i="3" s="1"/>
  <c r="DH30" i="3"/>
  <c r="DI30" i="3"/>
  <c r="DH112" i="3"/>
  <c r="DI112" i="3"/>
  <c r="DF112" i="3"/>
  <c r="DJ112" i="3" s="1"/>
  <c r="DG112" i="3"/>
  <c r="DF54" i="3"/>
  <c r="DG54" i="3"/>
  <c r="DJ54" i="3" s="1"/>
  <c r="DH54" i="3"/>
  <c r="DI54" i="3"/>
  <c r="BD26" i="1"/>
  <c r="F59" i="1"/>
  <c r="DF79" i="3"/>
  <c r="DG79" i="3"/>
  <c r="DH79" i="3"/>
  <c r="DI79" i="3"/>
  <c r="DJ79" i="3" s="1"/>
  <c r="GM72" i="1"/>
  <c r="GN72" i="1"/>
  <c r="AI26" i="1"/>
  <c r="V34" i="1"/>
  <c r="GN86" i="1"/>
  <c r="GM86" i="1"/>
  <c r="AF26" i="1"/>
  <c r="S34" i="1"/>
  <c r="DF75" i="3"/>
  <c r="DG75" i="3"/>
  <c r="DJ75" i="3" s="1"/>
  <c r="DH75" i="3"/>
  <c r="DI75" i="3"/>
  <c r="DF113" i="3"/>
  <c r="DJ113" i="3" s="1"/>
  <c r="DG113" i="3"/>
  <c r="DH113" i="3"/>
  <c r="DI113" i="3"/>
  <c r="CP79" i="1"/>
  <c r="O79" i="1" s="1"/>
  <c r="AO66" i="1"/>
  <c r="F105" i="1"/>
  <c r="BC66" i="1"/>
  <c r="F117" i="1"/>
  <c r="CG133" i="1"/>
  <c r="AX139" i="1"/>
  <c r="F159" i="1"/>
  <c r="BA133" i="1"/>
  <c r="DH10" i="3"/>
  <c r="DI10" i="3"/>
  <c r="DJ10" i="3" s="1"/>
  <c r="DF10" i="3"/>
  <c r="DG10" i="3"/>
  <c r="DG92" i="3"/>
  <c r="DJ92" i="3" s="1"/>
  <c r="DH92" i="3"/>
  <c r="DI92" i="3"/>
  <c r="DF92" i="3"/>
  <c r="DH104" i="3"/>
  <c r="DI104" i="3"/>
  <c r="DF104" i="3"/>
  <c r="DJ104" i="3" s="1"/>
  <c r="DG104" i="3"/>
  <c r="DF60" i="3"/>
  <c r="DI60" i="3"/>
  <c r="DG60" i="3"/>
  <c r="DJ60" i="3" s="1"/>
  <c r="DH60" i="3"/>
  <c r="DF11" i="3"/>
  <c r="DG11" i="3"/>
  <c r="DJ11" i="3" s="1"/>
  <c r="DH11" i="3"/>
  <c r="DI11" i="3"/>
  <c r="CY73" i="1"/>
  <c r="X73" i="1" s="1"/>
  <c r="CZ73" i="1"/>
  <c r="Y73" i="1" s="1"/>
  <c r="AF101" i="1"/>
  <c r="DF9" i="3"/>
  <c r="DG9" i="3"/>
  <c r="DH9" i="3"/>
  <c r="DI9" i="3"/>
  <c r="DJ9" i="3" s="1"/>
  <c r="DG109" i="3"/>
  <c r="DJ109" i="3" s="1"/>
  <c r="DH109" i="3"/>
  <c r="DI109" i="3"/>
  <c r="DF109" i="3"/>
  <c r="DG31" i="3"/>
  <c r="DJ31" i="3" s="1"/>
  <c r="DH31" i="3"/>
  <c r="DI31" i="3"/>
  <c r="DF31" i="3"/>
  <c r="AT26" i="1"/>
  <c r="F52" i="1"/>
  <c r="AT169" i="1"/>
  <c r="DG82" i="3"/>
  <c r="DI82" i="3"/>
  <c r="DF82" i="3"/>
  <c r="DJ82" i="3" s="1"/>
  <c r="DH82" i="3"/>
  <c r="AJ66" i="1"/>
  <c r="W101" i="1"/>
  <c r="GN87" i="1"/>
  <c r="GM87" i="1"/>
  <c r="AL34" i="1"/>
  <c r="CY74" i="1"/>
  <c r="X74" i="1" s="1"/>
  <c r="GM93" i="1"/>
  <c r="GN93" i="1"/>
  <c r="DF116" i="3"/>
  <c r="DJ116" i="3" s="1"/>
  <c r="DG116" i="3"/>
  <c r="DH116" i="3"/>
  <c r="DI116" i="3"/>
  <c r="AU133" i="1"/>
  <c r="F158" i="1"/>
  <c r="GN82" i="1"/>
  <c r="GM82" i="1"/>
  <c r="F121" i="1"/>
  <c r="R133" i="1"/>
  <c r="F153" i="1"/>
  <c r="CI66" i="1"/>
  <c r="AZ101" i="1"/>
  <c r="F151" i="1"/>
  <c r="Q133" i="1"/>
  <c r="AB139" i="1"/>
  <c r="DH18" i="3"/>
  <c r="DI18" i="3"/>
  <c r="DF18" i="3"/>
  <c r="DJ18" i="3" s="1"/>
  <c r="DG18" i="3"/>
  <c r="DI72" i="3"/>
  <c r="DJ72" i="3" s="1"/>
  <c r="DH72" i="3"/>
  <c r="DF72" i="3"/>
  <c r="DG72" i="3"/>
  <c r="DI53" i="3"/>
  <c r="DH53" i="3"/>
  <c r="DG53" i="3"/>
  <c r="DJ53" i="3" s="1"/>
  <c r="DF53" i="3"/>
  <c r="DF102" i="3"/>
  <c r="DG102" i="3"/>
  <c r="DJ102" i="3" s="1"/>
  <c r="DH102" i="3"/>
  <c r="DI102" i="3"/>
  <c r="DF3" i="3"/>
  <c r="DG3" i="3"/>
  <c r="DJ3" i="3" s="1"/>
  <c r="DH3" i="3"/>
  <c r="DI3" i="3"/>
  <c r="DF12" i="3"/>
  <c r="DG12" i="3"/>
  <c r="DJ12" i="3" s="1"/>
  <c r="DH12" i="3"/>
  <c r="DI12" i="3"/>
  <c r="DF16" i="3"/>
  <c r="DJ16" i="3" s="1"/>
  <c r="DG16" i="3"/>
  <c r="DH16" i="3"/>
  <c r="DI16" i="3"/>
  <c r="DH65" i="3"/>
  <c r="DI65" i="3"/>
  <c r="DJ65" i="3" s="1"/>
  <c r="DF65" i="3"/>
  <c r="DG65" i="3"/>
  <c r="DI29" i="3"/>
  <c r="DJ29" i="3" s="1"/>
  <c r="DF29" i="3"/>
  <c r="DG29" i="3"/>
  <c r="DH29" i="3"/>
  <c r="DF32" i="3"/>
  <c r="DG32" i="3"/>
  <c r="DJ32" i="3" s="1"/>
  <c r="DH32" i="3"/>
  <c r="DI32" i="3"/>
  <c r="DF4" i="3"/>
  <c r="DG4" i="3"/>
  <c r="DJ4" i="3" s="1"/>
  <c r="DH4" i="3"/>
  <c r="DI4" i="3"/>
  <c r="DG48" i="3"/>
  <c r="DJ48" i="3" s="1"/>
  <c r="DI48" i="3"/>
  <c r="DF48" i="3"/>
  <c r="DH48" i="3"/>
  <c r="DF25" i="3"/>
  <c r="DG25" i="3"/>
  <c r="DH25" i="3"/>
  <c r="DI25" i="3"/>
  <c r="DJ25" i="3" s="1"/>
  <c r="DF67" i="3"/>
  <c r="DI67" i="3"/>
  <c r="DG67" i="3"/>
  <c r="DJ67" i="3" s="1"/>
  <c r="DH67" i="3"/>
  <c r="DI115" i="3"/>
  <c r="DF115" i="3"/>
  <c r="DJ115" i="3" s="1"/>
  <c r="DG115" i="3"/>
  <c r="DH115" i="3"/>
  <c r="DG47" i="3"/>
  <c r="DI47" i="3"/>
  <c r="DJ47" i="3" s="1"/>
  <c r="DF47" i="3"/>
  <c r="DH47" i="3"/>
  <c r="DG62" i="3"/>
  <c r="DJ62" i="3" s="1"/>
  <c r="DF62" i="3"/>
  <c r="DH62" i="3"/>
  <c r="DI62" i="3"/>
  <c r="DH34" i="3"/>
  <c r="DI34" i="3"/>
  <c r="DF34" i="3"/>
  <c r="DJ34" i="3" s="1"/>
  <c r="DG34" i="3"/>
  <c r="BB26" i="1"/>
  <c r="F47" i="1"/>
  <c r="BB169" i="1"/>
  <c r="DI99" i="3"/>
  <c r="DJ99" i="3" s="1"/>
  <c r="DF99" i="3"/>
  <c r="DG99" i="3"/>
  <c r="DH99" i="3"/>
  <c r="BB66" i="1"/>
  <c r="F114" i="1"/>
  <c r="GN90" i="1"/>
  <c r="AK34" i="1"/>
  <c r="W26" i="1"/>
  <c r="F58" i="1"/>
  <c r="W169" i="1"/>
  <c r="GM77" i="1"/>
  <c r="GM88" i="1"/>
  <c r="GN88" i="1"/>
  <c r="DF108" i="3"/>
  <c r="DG108" i="3"/>
  <c r="DH108" i="3"/>
  <c r="DI108" i="3"/>
  <c r="DJ108" i="3" s="1"/>
  <c r="CG66" i="1"/>
  <c r="AX101" i="1"/>
  <c r="AZ133" i="1"/>
  <c r="F150" i="1"/>
  <c r="AT133" i="1"/>
  <c r="F157" i="1"/>
  <c r="DF35" i="3"/>
  <c r="DJ35" i="3" s="1"/>
  <c r="DG35" i="3"/>
  <c r="DH35" i="3"/>
  <c r="DI35" i="3"/>
  <c r="DI5" i="3"/>
  <c r="DF5" i="3"/>
  <c r="DG5" i="3"/>
  <c r="DJ5" i="3" s="1"/>
  <c r="DH5" i="3"/>
  <c r="DI107" i="3"/>
  <c r="DJ107" i="3" s="1"/>
  <c r="DF107" i="3"/>
  <c r="DG107" i="3"/>
  <c r="DH107" i="3"/>
  <c r="DH61" i="3"/>
  <c r="DF61" i="3"/>
  <c r="DG61" i="3"/>
  <c r="DJ61" i="3" s="1"/>
  <c r="DI61" i="3"/>
  <c r="DF52" i="3"/>
  <c r="DH52" i="3"/>
  <c r="DI52" i="3"/>
  <c r="DJ52" i="3" s="1"/>
  <c r="DG52" i="3"/>
  <c r="DF17" i="3"/>
  <c r="DJ17" i="3" s="1"/>
  <c r="DG17" i="3"/>
  <c r="DH17" i="3"/>
  <c r="DI17" i="3"/>
  <c r="DI56" i="3"/>
  <c r="DH56" i="3"/>
  <c r="DF56" i="3"/>
  <c r="DJ56" i="3" s="1"/>
  <c r="DG56" i="3"/>
  <c r="DF14" i="3"/>
  <c r="DJ14" i="3" s="1"/>
  <c r="DG14" i="3"/>
  <c r="DH14" i="3"/>
  <c r="DI14" i="3"/>
  <c r="DF20" i="3"/>
  <c r="DJ20" i="3" s="1"/>
  <c r="DG20" i="3"/>
  <c r="DH20" i="3"/>
  <c r="DI20" i="3"/>
  <c r="DH69" i="3"/>
  <c r="DF69" i="3"/>
  <c r="DJ69" i="3" s="1"/>
  <c r="DG69" i="3"/>
  <c r="DI69" i="3"/>
  <c r="DG7" i="3"/>
  <c r="DH7" i="3"/>
  <c r="DI7" i="3"/>
  <c r="DF7" i="3"/>
  <c r="DJ7" i="3" s="1"/>
  <c r="DG15" i="3"/>
  <c r="DH15" i="3"/>
  <c r="DI15" i="3"/>
  <c r="DF15" i="3"/>
  <c r="DJ15" i="3" s="1"/>
  <c r="DF28" i="3"/>
  <c r="DG28" i="3"/>
  <c r="DH28" i="3"/>
  <c r="DI28" i="3"/>
  <c r="DJ28" i="3" s="1"/>
  <c r="DF8" i="3"/>
  <c r="DJ8" i="3" s="1"/>
  <c r="DG8" i="3"/>
  <c r="DH8" i="3"/>
  <c r="DI8" i="3"/>
  <c r="DI80" i="3"/>
  <c r="DJ80" i="3" s="1"/>
  <c r="DH80" i="3"/>
  <c r="DF80" i="3"/>
  <c r="DG80" i="3"/>
  <c r="DH2" i="3"/>
  <c r="DI2" i="3"/>
  <c r="DJ2" i="3" s="1"/>
  <c r="DF2" i="3"/>
  <c r="DG2" i="3"/>
  <c r="AP26" i="1"/>
  <c r="F43" i="1"/>
  <c r="AP169" i="1"/>
  <c r="DF46" i="3"/>
  <c r="DG46" i="3"/>
  <c r="DI46" i="3"/>
  <c r="DJ46" i="3" s="1"/>
  <c r="DH46" i="3"/>
  <c r="DF59" i="3"/>
  <c r="DG59" i="3"/>
  <c r="DJ59" i="3" s="1"/>
  <c r="DH59" i="3"/>
  <c r="DI59" i="3"/>
  <c r="DG117" i="3"/>
  <c r="DH117" i="3"/>
  <c r="DI117" i="3"/>
  <c r="DF117" i="3"/>
  <c r="DJ117" i="3" s="1"/>
  <c r="DF71" i="3"/>
  <c r="DJ71" i="3" s="1"/>
  <c r="DG71" i="3"/>
  <c r="DH71" i="3"/>
  <c r="DI71" i="3"/>
  <c r="DF105" i="3"/>
  <c r="DJ105" i="3" s="1"/>
  <c r="DG105" i="3"/>
  <c r="DH105" i="3"/>
  <c r="DI105" i="3"/>
  <c r="GN91" i="1"/>
  <c r="GM91" i="1"/>
  <c r="DF114" i="3"/>
  <c r="DJ114" i="3" s="1"/>
  <c r="DG114" i="3"/>
  <c r="DH114" i="3"/>
  <c r="DI114" i="3"/>
  <c r="CY92" i="1"/>
  <c r="X92" i="1" s="1"/>
  <c r="V133" i="1"/>
  <c r="F162" i="1"/>
  <c r="G244" i="7" l="1"/>
  <c r="BD139" i="1"/>
  <c r="BD169" i="1" s="1"/>
  <c r="CM133" i="1"/>
  <c r="AG66" i="1"/>
  <c r="T101" i="1"/>
  <c r="V94" i="7"/>
  <c r="K100" i="7" s="1"/>
  <c r="U96" i="6"/>
  <c r="J102" i="6" s="1"/>
  <c r="J78" i="7"/>
  <c r="P78" i="7" s="1"/>
  <c r="V27" i="7"/>
  <c r="K32" i="7" s="1"/>
  <c r="U29" i="6"/>
  <c r="J34" i="6" s="1"/>
  <c r="T225" i="7"/>
  <c r="S227" i="6"/>
  <c r="G67" i="6"/>
  <c r="G250" i="6"/>
  <c r="H18" i="6"/>
  <c r="GN99" i="1"/>
  <c r="I217" i="6"/>
  <c r="P217" i="6" s="1"/>
  <c r="J216" i="6"/>
  <c r="K214" i="7"/>
  <c r="J215" i="7" s="1"/>
  <c r="P215" i="7" s="1"/>
  <c r="CP97" i="1"/>
  <c r="O97" i="1" s="1"/>
  <c r="V115" i="7"/>
  <c r="U117" i="6"/>
  <c r="J153" i="7"/>
  <c r="P153" i="7" s="1"/>
  <c r="I44" i="6"/>
  <c r="P44" i="6" s="1"/>
  <c r="CP96" i="1"/>
  <c r="O96" i="1" s="1"/>
  <c r="W215" i="7"/>
  <c r="G215" i="7"/>
  <c r="O215" i="7" s="1"/>
  <c r="AH101" i="1"/>
  <c r="AH26" i="1"/>
  <c r="U34" i="1"/>
  <c r="GM99" i="1"/>
  <c r="GM94" i="1"/>
  <c r="V134" i="7"/>
  <c r="K140" i="7" s="1"/>
  <c r="J142" i="7" s="1"/>
  <c r="P142" i="7" s="1"/>
  <c r="U136" i="6"/>
  <c r="J142" i="6" s="1"/>
  <c r="J224" i="7"/>
  <c r="P224" i="7" s="1"/>
  <c r="T126" i="7"/>
  <c r="S128" i="6"/>
  <c r="V105" i="7"/>
  <c r="K111" i="7" s="1"/>
  <c r="U107" i="6"/>
  <c r="J114" i="6" s="1"/>
  <c r="G240" i="7"/>
  <c r="J187" i="7"/>
  <c r="P187" i="7" s="1"/>
  <c r="T170" i="7"/>
  <c r="K176" i="7" s="1"/>
  <c r="J179" i="7" s="1"/>
  <c r="P179" i="7" s="1"/>
  <c r="S172" i="6"/>
  <c r="J178" i="6" s="1"/>
  <c r="I181" i="6" s="1"/>
  <c r="P181" i="6" s="1"/>
  <c r="GM92" i="1"/>
  <c r="S184" i="6"/>
  <c r="J186" i="6" s="1"/>
  <c r="I189" i="6" s="1"/>
  <c r="P189" i="6" s="1"/>
  <c r="T182" i="7"/>
  <c r="K184" i="7" s="1"/>
  <c r="AK133" i="1"/>
  <c r="AL133" i="1"/>
  <c r="V117" i="7"/>
  <c r="K123" i="7" s="1"/>
  <c r="J125" i="7" s="1"/>
  <c r="P125" i="7" s="1"/>
  <c r="U119" i="6"/>
  <c r="J125" i="6" s="1"/>
  <c r="I127" i="6" s="1"/>
  <c r="P127" i="6" s="1"/>
  <c r="V195" i="7"/>
  <c r="K201" i="7" s="1"/>
  <c r="U197" i="6"/>
  <c r="J203" i="6" s="1"/>
  <c r="T145" i="7"/>
  <c r="K150" i="7" s="1"/>
  <c r="S147" i="6"/>
  <c r="J152" i="6" s="1"/>
  <c r="U218" i="6"/>
  <c r="J224" i="6" s="1"/>
  <c r="I226" i="6" s="1"/>
  <c r="P226" i="6" s="1"/>
  <c r="V216" i="7"/>
  <c r="K222" i="7" s="1"/>
  <c r="I144" i="6"/>
  <c r="P144" i="6" s="1"/>
  <c r="J167" i="7"/>
  <c r="P167" i="7" s="1"/>
  <c r="I169" i="6"/>
  <c r="P169" i="6" s="1"/>
  <c r="GM73" i="1"/>
  <c r="T94" i="7"/>
  <c r="K99" i="7" s="1"/>
  <c r="S96" i="6"/>
  <c r="J101" i="6" s="1"/>
  <c r="T115" i="7"/>
  <c r="S117" i="6"/>
  <c r="V83" i="7"/>
  <c r="K89" i="7" s="1"/>
  <c r="J91" i="7" s="1"/>
  <c r="P91" i="7" s="1"/>
  <c r="U85" i="6"/>
  <c r="J91" i="6" s="1"/>
  <c r="I93" i="6" s="1"/>
  <c r="P93" i="6" s="1"/>
  <c r="L248" i="7"/>
  <c r="L244" i="7"/>
  <c r="L65" i="7"/>
  <c r="J102" i="7"/>
  <c r="P102" i="7" s="1"/>
  <c r="V101" i="1"/>
  <c r="AI66" i="1"/>
  <c r="GM90" i="1"/>
  <c r="GM74" i="1"/>
  <c r="T103" i="7"/>
  <c r="S105" i="6"/>
  <c r="U139" i="1"/>
  <c r="AH133" i="1"/>
  <c r="V145" i="7"/>
  <c r="K151" i="7" s="1"/>
  <c r="U147" i="6"/>
  <c r="J153" i="6" s="1"/>
  <c r="CY96" i="1"/>
  <c r="X96" i="1" s="1"/>
  <c r="CZ96" i="1"/>
  <c r="Y96" i="1" s="1"/>
  <c r="I57" i="6"/>
  <c r="P57" i="6" s="1"/>
  <c r="AU66" i="1"/>
  <c r="F120" i="1"/>
  <c r="J113" i="6"/>
  <c r="I116" i="6" s="1"/>
  <c r="P116" i="6" s="1"/>
  <c r="G246" i="6"/>
  <c r="V180" i="7"/>
  <c r="U182" i="6"/>
  <c r="T195" i="7"/>
  <c r="K200" i="7" s="1"/>
  <c r="J203" i="7" s="1"/>
  <c r="P203" i="7" s="1"/>
  <c r="S197" i="6"/>
  <c r="J202" i="6" s="1"/>
  <c r="GM71" i="1"/>
  <c r="G213" i="7"/>
  <c r="O213" i="7" s="1"/>
  <c r="G228" i="7" s="1"/>
  <c r="GN71" i="1"/>
  <c r="CF133" i="1"/>
  <c r="AW139" i="1"/>
  <c r="V43" i="7"/>
  <c r="K46" i="7" s="1"/>
  <c r="U45" i="6"/>
  <c r="J48" i="6" s="1"/>
  <c r="G65" i="7"/>
  <c r="T43" i="7"/>
  <c r="K45" i="7" s="1"/>
  <c r="J48" i="7" s="1"/>
  <c r="P48" i="7" s="1"/>
  <c r="S45" i="6"/>
  <c r="J47" i="6" s="1"/>
  <c r="I50" i="6" s="1"/>
  <c r="P50" i="6" s="1"/>
  <c r="I67" i="6" s="1"/>
  <c r="K110" i="7"/>
  <c r="AY139" i="1"/>
  <c r="CH133" i="1"/>
  <c r="J42" i="7"/>
  <c r="P42" i="7" s="1"/>
  <c r="T27" i="7"/>
  <c r="K31" i="7" s="1"/>
  <c r="J34" i="7" s="1"/>
  <c r="P34" i="7" s="1"/>
  <c r="S29" i="6"/>
  <c r="J33" i="6" s="1"/>
  <c r="I36" i="6" s="1"/>
  <c r="P36" i="6" s="1"/>
  <c r="GM75" i="1"/>
  <c r="BD22" i="1"/>
  <c r="F194" i="1"/>
  <c r="BD199" i="1"/>
  <c r="AX66" i="1"/>
  <c r="F108" i="1"/>
  <c r="S26" i="1"/>
  <c r="F49" i="1"/>
  <c r="BA26" i="1"/>
  <c r="F54" i="1"/>
  <c r="BA169" i="1"/>
  <c r="BC22" i="1"/>
  <c r="BC199" i="1"/>
  <c r="F185" i="1"/>
  <c r="F46" i="1"/>
  <c r="Q26" i="1"/>
  <c r="Q169" i="1"/>
  <c r="AL26" i="1"/>
  <c r="Y34" i="1"/>
  <c r="AF66" i="1"/>
  <c r="S101" i="1"/>
  <c r="S169" i="1" s="1"/>
  <c r="X133" i="1"/>
  <c r="F165" i="1"/>
  <c r="Q66" i="1"/>
  <c r="F113" i="1"/>
  <c r="W22" i="1"/>
  <c r="W199" i="1"/>
  <c r="F193" i="1"/>
  <c r="AT22" i="1"/>
  <c r="F187" i="1"/>
  <c r="F16" i="2" s="1"/>
  <c r="F18" i="2" s="1"/>
  <c r="AT199" i="1"/>
  <c r="GN73" i="1"/>
  <c r="AE66" i="1"/>
  <c r="R101" i="1"/>
  <c r="F48" i="1"/>
  <c r="R26" i="1"/>
  <c r="AC66" i="1"/>
  <c r="CE101" i="1"/>
  <c r="P101" i="1"/>
  <c r="CF101" i="1"/>
  <c r="CH101" i="1"/>
  <c r="AV133" i="1"/>
  <c r="F144" i="1"/>
  <c r="O139" i="1"/>
  <c r="AB133" i="1"/>
  <c r="W66" i="1"/>
  <c r="F125" i="1"/>
  <c r="AX133" i="1"/>
  <c r="F146" i="1"/>
  <c r="GM79" i="1"/>
  <c r="GN79" i="1"/>
  <c r="V26" i="1"/>
  <c r="F57" i="1"/>
  <c r="V169" i="1"/>
  <c r="AQ22" i="1"/>
  <c r="F179" i="1"/>
  <c r="AQ199" i="1"/>
  <c r="GM30" i="1"/>
  <c r="GN30" i="1"/>
  <c r="GN68" i="1"/>
  <c r="GM68" i="1"/>
  <c r="AB101" i="1"/>
  <c r="AU22" i="1"/>
  <c r="F188" i="1"/>
  <c r="AU199" i="1"/>
  <c r="AK101" i="1"/>
  <c r="AO22" i="1"/>
  <c r="F173" i="1"/>
  <c r="AO199" i="1"/>
  <c r="AC26" i="1"/>
  <c r="CF34" i="1"/>
  <c r="CH34" i="1"/>
  <c r="P34" i="1"/>
  <c r="CE34" i="1"/>
  <c r="GM28" i="1"/>
  <c r="GN28" i="1"/>
  <c r="CB34" i="1" s="1"/>
  <c r="AB34" i="1"/>
  <c r="AS139" i="1"/>
  <c r="CB133" i="1"/>
  <c r="AX169" i="1"/>
  <c r="GN92" i="1"/>
  <c r="AR139" i="1"/>
  <c r="CA133" i="1"/>
  <c r="F164" i="1"/>
  <c r="BD133" i="1"/>
  <c r="AK26" i="1"/>
  <c r="X34" i="1"/>
  <c r="AP22" i="1"/>
  <c r="F178" i="1"/>
  <c r="G16" i="2" s="1"/>
  <c r="G18" i="2" s="1"/>
  <c r="AP199" i="1"/>
  <c r="BB22" i="1"/>
  <c r="BB199" i="1"/>
  <c r="F182" i="1"/>
  <c r="AZ66" i="1"/>
  <c r="F112" i="1"/>
  <c r="T26" i="1"/>
  <c r="F55" i="1"/>
  <c r="T169" i="1"/>
  <c r="F154" i="1"/>
  <c r="S133" i="1"/>
  <c r="AZ26" i="1"/>
  <c r="F45" i="1"/>
  <c r="AZ169" i="1"/>
  <c r="Y133" i="1"/>
  <c r="F166" i="1"/>
  <c r="J65" i="7" l="1"/>
  <c r="AY133" i="1"/>
  <c r="F147" i="1"/>
  <c r="G248" i="7"/>
  <c r="AH66" i="1"/>
  <c r="U101" i="1"/>
  <c r="F56" i="1"/>
  <c r="U26" i="1"/>
  <c r="I205" i="6"/>
  <c r="P205" i="6" s="1"/>
  <c r="F161" i="1"/>
  <c r="U133" i="1"/>
  <c r="I104" i="6"/>
  <c r="P104" i="6" s="1"/>
  <c r="I230" i="6" s="1"/>
  <c r="T66" i="1"/>
  <c r="F122" i="1"/>
  <c r="V66" i="1"/>
  <c r="F124" i="1"/>
  <c r="I155" i="6"/>
  <c r="P155" i="6" s="1"/>
  <c r="GM97" i="1"/>
  <c r="GN97" i="1"/>
  <c r="I246" i="6"/>
  <c r="I250" i="6"/>
  <c r="J114" i="7"/>
  <c r="P114" i="7" s="1"/>
  <c r="AW133" i="1"/>
  <c r="F145" i="1"/>
  <c r="J211" i="6"/>
  <c r="K212" i="7"/>
  <c r="GN96" i="1"/>
  <c r="GM96" i="1"/>
  <c r="V212" i="7"/>
  <c r="K210" i="7" s="1"/>
  <c r="U211" i="6"/>
  <c r="J213" i="6" s="1"/>
  <c r="AL101" i="1"/>
  <c r="T212" i="7"/>
  <c r="K209" i="7" s="1"/>
  <c r="S211" i="6"/>
  <c r="J212" i="6" s="1"/>
  <c r="I215" i="6" s="1"/>
  <c r="P215" i="6" s="1"/>
  <c r="AK66" i="1"/>
  <c r="X101" i="1"/>
  <c r="W18" i="1"/>
  <c r="F223" i="1"/>
  <c r="Y26" i="1"/>
  <c r="F61" i="1"/>
  <c r="BA22" i="1"/>
  <c r="F189" i="1"/>
  <c r="BA199" i="1"/>
  <c r="AU18" i="1"/>
  <c r="F218" i="1"/>
  <c r="CE26" i="1"/>
  <c r="AV34" i="1"/>
  <c r="Q22" i="1"/>
  <c r="F181" i="1"/>
  <c r="Q199" i="1"/>
  <c r="R66" i="1"/>
  <c r="F115" i="1"/>
  <c r="CF26" i="1"/>
  <c r="AW34" i="1"/>
  <c r="P66" i="1"/>
  <c r="F104" i="1"/>
  <c r="S22" i="1"/>
  <c r="S199" i="1"/>
  <c r="F184" i="1"/>
  <c r="F37" i="1"/>
  <c r="P26" i="1"/>
  <c r="P169" i="1"/>
  <c r="H16" i="2"/>
  <c r="H18" i="2" s="1"/>
  <c r="AB66" i="1"/>
  <c r="O101" i="1"/>
  <c r="V22" i="1"/>
  <c r="F192" i="1"/>
  <c r="V199" i="1"/>
  <c r="CE66" i="1"/>
  <c r="AV101" i="1"/>
  <c r="AT18" i="1"/>
  <c r="F217" i="1"/>
  <c r="CH66" i="1"/>
  <c r="AY101" i="1"/>
  <c r="AX22" i="1"/>
  <c r="AX199" i="1"/>
  <c r="F176" i="1"/>
  <c r="AB26" i="1"/>
  <c r="O34" i="1"/>
  <c r="AO18" i="1"/>
  <c r="F203" i="1"/>
  <c r="CA101" i="1"/>
  <c r="BD18" i="1"/>
  <c r="F224" i="1"/>
  <c r="X26" i="1"/>
  <c r="F60" i="1"/>
  <c r="X169" i="1"/>
  <c r="AQ18" i="1"/>
  <c r="F209" i="1"/>
  <c r="CF66" i="1"/>
  <c r="AW101" i="1"/>
  <c r="AP18" i="1"/>
  <c r="F208" i="1"/>
  <c r="F167" i="1"/>
  <c r="AR133" i="1"/>
  <c r="CB26" i="1"/>
  <c r="AS34" i="1"/>
  <c r="CB101" i="1"/>
  <c r="O133" i="1"/>
  <c r="F141" i="1"/>
  <c r="R169" i="1"/>
  <c r="S66" i="1"/>
  <c r="F116" i="1"/>
  <c r="BC18" i="1"/>
  <c r="F215" i="1"/>
  <c r="AZ22" i="1"/>
  <c r="F180" i="1"/>
  <c r="AZ199" i="1"/>
  <c r="CH26" i="1"/>
  <c r="AY34" i="1"/>
  <c r="BB18" i="1"/>
  <c r="F212" i="1"/>
  <c r="AS133" i="1"/>
  <c r="F156" i="1"/>
  <c r="T22" i="1"/>
  <c r="F190" i="1"/>
  <c r="T199" i="1"/>
  <c r="CA34" i="1"/>
  <c r="J213" i="7" l="1"/>
  <c r="P213" i="7" s="1"/>
  <c r="J228" i="7" s="1"/>
  <c r="J248" i="7"/>
  <c r="AL66" i="1"/>
  <c r="Y101" i="1"/>
  <c r="I263" i="6"/>
  <c r="J261" i="7"/>
  <c r="U169" i="1"/>
  <c r="U66" i="1"/>
  <c r="F123" i="1"/>
  <c r="T18" i="1"/>
  <c r="F220" i="1"/>
  <c r="X22" i="1"/>
  <c r="F195" i="1"/>
  <c r="X199" i="1"/>
  <c r="AV66" i="1"/>
  <c r="F106" i="1"/>
  <c r="R22" i="1"/>
  <c r="R199" i="1"/>
  <c r="F183" i="1"/>
  <c r="J16" i="2"/>
  <c r="J18" i="2" s="1"/>
  <c r="AX18" i="1"/>
  <c r="F206" i="1"/>
  <c r="CA66" i="1"/>
  <c r="AR101" i="1"/>
  <c r="S18" i="1"/>
  <c r="F214" i="1"/>
  <c r="O26" i="1"/>
  <c r="F36" i="1"/>
  <c r="O169" i="1"/>
  <c r="AZ18" i="1"/>
  <c r="F210" i="1"/>
  <c r="P22" i="1"/>
  <c r="F172" i="1"/>
  <c r="P199" i="1"/>
  <c r="AV26" i="1"/>
  <c r="F39" i="1"/>
  <c r="AV169" i="1"/>
  <c r="CB66" i="1"/>
  <c r="AS101" i="1"/>
  <c r="AY66" i="1"/>
  <c r="F109" i="1"/>
  <c r="AS26" i="1"/>
  <c r="F51" i="1"/>
  <c r="AS169" i="1"/>
  <c r="O66" i="1"/>
  <c r="F103" i="1"/>
  <c r="BA18" i="1"/>
  <c r="F219" i="1"/>
  <c r="X66" i="1"/>
  <c r="F127" i="1"/>
  <c r="AW26" i="1"/>
  <c r="F40" i="1"/>
  <c r="AW169" i="1"/>
  <c r="V18" i="1"/>
  <c r="F222" i="1"/>
  <c r="AW66" i="1"/>
  <c r="F107" i="1"/>
  <c r="CA26" i="1"/>
  <c r="AR34" i="1"/>
  <c r="AY26" i="1"/>
  <c r="F42" i="1"/>
  <c r="AY169" i="1"/>
  <c r="Q18" i="1"/>
  <c r="F211" i="1"/>
  <c r="F128" i="1" l="1"/>
  <c r="Y66" i="1"/>
  <c r="Y169" i="1"/>
  <c r="I259" i="6"/>
  <c r="J257" i="7"/>
  <c r="U22" i="1"/>
  <c r="F191" i="1"/>
  <c r="U199" i="1"/>
  <c r="I257" i="6"/>
  <c r="J255" i="7"/>
  <c r="I262" i="6"/>
  <c r="J260" i="7"/>
  <c r="J244" i="7"/>
  <c r="O22" i="1"/>
  <c r="F171" i="1"/>
  <c r="O199" i="1"/>
  <c r="P18" i="1"/>
  <c r="F202" i="1"/>
  <c r="AS22" i="1"/>
  <c r="F186" i="1"/>
  <c r="E16" i="2" s="1"/>
  <c r="AS199" i="1"/>
  <c r="AW22" i="1"/>
  <c r="AW199" i="1"/>
  <c r="F175" i="1"/>
  <c r="AR26" i="1"/>
  <c r="F62" i="1"/>
  <c r="AR169" i="1"/>
  <c r="X18" i="1"/>
  <c r="F225" i="1"/>
  <c r="R18" i="1"/>
  <c r="F213" i="1"/>
  <c r="I20" i="6" s="1"/>
  <c r="AR66" i="1"/>
  <c r="F129" i="1"/>
  <c r="AY22" i="1"/>
  <c r="AY199" i="1"/>
  <c r="F177" i="1"/>
  <c r="AV22" i="1"/>
  <c r="F174" i="1"/>
  <c r="AV199" i="1"/>
  <c r="AS66" i="1"/>
  <c r="F118" i="1"/>
  <c r="J262" i="7" l="1"/>
  <c r="I264" i="6"/>
  <c r="I253" i="6"/>
  <c r="J251" i="7"/>
  <c r="F196" i="1"/>
  <c r="Y199" i="1"/>
  <c r="Y22" i="1"/>
  <c r="I258" i="6"/>
  <c r="J256" i="7"/>
  <c r="F221" i="1"/>
  <c r="U18" i="1"/>
  <c r="AY18" i="1"/>
  <c r="F207" i="1"/>
  <c r="O18" i="1"/>
  <c r="F201" i="1"/>
  <c r="AR22" i="1"/>
  <c r="F197" i="1"/>
  <c r="AR199" i="1"/>
  <c r="AV18" i="1"/>
  <c r="F204" i="1"/>
  <c r="AW18" i="1"/>
  <c r="F205" i="1"/>
  <c r="AS18" i="1"/>
  <c r="F216" i="1"/>
  <c r="I16" i="2"/>
  <c r="I18" i="2" s="1"/>
  <c r="E18" i="2"/>
  <c r="J250" i="7" l="1"/>
  <c r="I252" i="6"/>
  <c r="I255" i="6"/>
  <c r="J253" i="7"/>
  <c r="Y18" i="1"/>
  <c r="F226" i="1"/>
  <c r="J258" i="7"/>
  <c r="I260" i="6"/>
  <c r="I254" i="6"/>
  <c r="J252" i="7"/>
  <c r="J254" i="7"/>
  <c r="I256" i="6"/>
  <c r="I19" i="6"/>
  <c r="H19" i="6" s="1"/>
  <c r="I261" i="6"/>
  <c r="J259" i="7"/>
  <c r="AR18" i="1"/>
  <c r="F227" i="1"/>
  <c r="I265" i="6" l="1"/>
  <c r="J263" i="7"/>
  <c r="I266" i="6"/>
  <c r="I18" i="6"/>
  <c r="J264" i="7"/>
  <c r="F228" i="1"/>
  <c r="I267" i="6" l="1"/>
  <c r="F229" i="1"/>
  <c r="I268" i="6" l="1"/>
</calcChain>
</file>

<file path=xl/sharedStrings.xml><?xml version="1.0" encoding="utf-8"?>
<sst xmlns="http://schemas.openxmlformats.org/spreadsheetml/2006/main" count="5360" uniqueCount="640">
  <si>
    <t>Smeta.RU  (495) 974-1589</t>
  </si>
  <si>
    <t>_PS_</t>
  </si>
  <si>
    <t>Smeta.RU</t>
  </si>
  <si>
    <t/>
  </si>
  <si>
    <t>АО "Кавказцемент"</t>
  </si>
  <si>
    <t>1</t>
  </si>
  <si>
    <t>Центральный вход заводоуправления. Инв. №ОС-19003</t>
  </si>
  <si>
    <t>ВОР № 18</t>
  </si>
  <si>
    <t>Сметные нормы списания</t>
  </si>
  <si>
    <t>Коды ценников</t>
  </si>
  <si>
    <t>ФЕР-2020 И9</t>
  </si>
  <si>
    <t>Версия 1.7.0 ГСН (ГЭСН, ФЕР) и ТЕР (Методики НР (812/пр, 636/пр, 611/пр) и СП (774/пр и 317/пр) применять с 08.01.2023 г.)</t>
  </si>
  <si>
    <t>ФЕР-2020 - изменения И9</t>
  </si>
  <si>
    <t>Поправки для ГСН (ФЕР) 2020 от 11.09.2022 г И9 (в ред. 557/пр) Капитальный ремонт производственных зданий</t>
  </si>
  <si>
    <t>ГСН</t>
  </si>
  <si>
    <t>Новая локальная смета</t>
  </si>
  <si>
    <t>)*1,25)*1,2</t>
  </si>
  <si>
    <t>)*1,15)*1,2</t>
  </si>
  <si>
    <t>Поправка: МР 519/пр п.6.7.1  Поправка: МР 519/пр Прил.2, Табл.3, п. 1.1</t>
  </si>
  <si>
    <t>Новый раздел</t>
  </si>
  <si>
    <t>Демонтажные работы</t>
  </si>
  <si>
    <t>15-01-045-01</t>
  </si>
  <si>
    <t>Демонтаж // Облицовка ступеней керамогранитными плитками толщиной до 15 мм</t>
  </si>
  <si>
    <t>100 м2</t>
  </si>
  <si>
    <t>ФЕР-2001 доп. 1, 15-01-045-01, приказ Минстроя России № 172/пр от 30.03.2020</t>
  </si>
  <si>
    <t>)*0</t>
  </si>
  <si>
    <t>)*0,8)*1,2</t>
  </si>
  <si>
    <t>Общестроительные работы</t>
  </si>
  <si>
    <t>Отделочные работы</t>
  </si>
  <si>
    <t>ФЕР-15</t>
  </si>
  <si>
    <t>Поправка: МР 571/пр Табл.2, п.2  Поправка: МР 519/пр Прил.2, Табл.3, п. 1.1</t>
  </si>
  <si>
    <t>Пр/812-015.0-1</t>
  </si>
  <si>
    <t>Пр/774-015.0</t>
  </si>
  <si>
    <t>2</t>
  </si>
  <si>
    <t>09-03-022-04</t>
  </si>
  <si>
    <t>Демонтаж // Монтаж оконных фонарных покрытий из поликарбонатных и акриловых плит с боковыми планками, профилями и резиновыми прокладками // Прим. к навесу крыльца</t>
  </si>
  <si>
    <t>ФЕР-2001, 09-03-022-04, приказ Минстроя России № 876/пр от 26.12.2019</t>
  </si>
  <si>
    <t>Строительные металлические конструкции</t>
  </si>
  <si>
    <t>ФЕР-09</t>
  </si>
  <si>
    <t>Пр/812-009.0-1</t>
  </si>
  <si>
    <t>Пр/774-009.0</t>
  </si>
  <si>
    <t>3</t>
  </si>
  <si>
    <t>12-01-035-01</t>
  </si>
  <si>
    <t>Демонтаж // Устройство металлической водосточной системы: колен</t>
  </si>
  <si>
    <t>ШТ</t>
  </si>
  <si>
    <t>ФЕР-2001, 12-01-035-01, приказ Минстроя России № 876/пр от 26.12.2019</t>
  </si>
  <si>
    <t>Кровли</t>
  </si>
  <si>
    <t>ФЕР-12</t>
  </si>
  <si>
    <t>Пр/812-012.0-1</t>
  </si>
  <si>
    <t>Пр/774-012.0</t>
  </si>
  <si>
    <t>4</t>
  </si>
  <si>
    <t>27-07-005-05</t>
  </si>
  <si>
    <t>Резка тротуарной плитки толщиной 70 мм: угловой шлифовальной машинкой // Для устройства водостока</t>
  </si>
  <si>
    <t>м реза</t>
  </si>
  <si>
    <t>ФЕР-2001, 27-07-005-05, приказ Минстроя России № 876/пр от 26.12.2019</t>
  </si>
  <si>
    <t>*0.85</t>
  </si>
  <si>
    <t>Автомобильные дороги</t>
  </si>
  <si>
    <t>Автомобильные дороги устройство покрытий дорожек, тротуаров, мостовых и площадок и прочее</t>
  </si>
  <si>
    <t>ФЕР-27</t>
  </si>
  <si>
    <t>Пр/812-021.1-1</t>
  </si>
  <si>
    <t>Пр/774-021.1</t>
  </si>
  <si>
    <t>5</t>
  </si>
  <si>
    <t>46-03-012-01</t>
  </si>
  <si>
    <t>Пробивка в бетонных конструкциях полов и стен борозд площадью сечения: до 20 см2</t>
  </si>
  <si>
    <t>100 м</t>
  </si>
  <si>
    <t>ФЕР-2001, 46-03-012-01, приказ Минстроя России № 876/пр от 26.12.2019</t>
  </si>
  <si>
    <t>Работы по реконструкции зданий и сооружений</t>
  </si>
  <si>
    <t>Работы по реконструкции зданий и сооружений: усиление и замена существующих конструкций, возведение отдельных конструктивных элементов</t>
  </si>
  <si>
    <t>ФЕР-46</t>
  </si>
  <si>
    <t>Пр/812-040.1-1</t>
  </si>
  <si>
    <t>Пр/774-040.1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</si>
  <si>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</si>
  <si>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</si>
  <si>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</si>
  <si>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</si>
  <si>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</si>
  <si>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</si>
  <si>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</si>
  <si>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</si>
  <si>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</si>
  <si>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</si>
  <si>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</si>
  <si>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</si>
  <si>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</si>
  <si>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</si>
  <si>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</si>
  <si>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</si>
  <si>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</si>
  <si>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</si>
  <si>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</si>
  <si>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</si>
  <si>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</si>
  <si>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</si>
  <si>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</si>
  <si>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</si>
  <si>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</si>
  <si>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</si>
  <si>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</si>
  <si>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</si>
  <si>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</si>
  <si>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</si>
  <si>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</si>
  <si>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</si>
  <si>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</si>
  <si>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</si>
  <si>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</si>
  <si>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</si>
  <si>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</si>
  <si>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</si>
  <si>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</si>
  <si>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</si>
  <si>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</si>
  <si>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</si>
  <si>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</si>
  <si>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</si>
  <si>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</si>
  <si>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</si>
  <si>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</si>
  <si>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</si>
  <si>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</si>
  <si>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</si>
  <si>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</si>
  <si>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</si>
  <si>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</si>
  <si>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</si>
  <si>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Строительные работы</t>
  </si>
  <si>
    <t>6</t>
  </si>
  <si>
    <t>16-04-001-03</t>
  </si>
  <si>
    <t>Прокладка трубопроводов канализации из полиэтиленовых труб высокой плотности диаметром: 160 мм</t>
  </si>
  <si>
    <t>ФЕР-2001, 16-04-001-03, приказ Минстроя России № 876/пр от 26.12.2019</t>
  </si>
  <si>
    <t>Сантехнические работы: внутренние трубопроводы, внутренние устройства водопровода, канализации, отопления, газоснабжения, вентиляция  кондиционирование воздуха</t>
  </si>
  <si>
    <t>Трубопроводы внутренние</t>
  </si>
  <si>
    <t>ФЕР-16</t>
  </si>
  <si>
    <t>Пр/812-016.0-1</t>
  </si>
  <si>
    <t>Пр/774-016.0</t>
  </si>
  <si>
    <t>7</t>
  </si>
  <si>
    <t>Цена поставщика</t>
  </si>
  <si>
    <t>Труба канализационная наружная SN4 160х1000 мм</t>
  </si>
  <si>
    <t>м</t>
  </si>
  <si>
    <t>Материалы строительные</t>
  </si>
  <si>
    <t>Материалы, изделия и конструкции</t>
  </si>
  <si>
    <t>материалы (03)</t>
  </si>
  <si>
    <t>[467 / 1.2 /  7.99] +  5% Трансп +  2% Заг.скл</t>
  </si>
  <si>
    <t>8</t>
  </si>
  <si>
    <t>Отвод наружный 45 градусов 160 мм</t>
  </si>
  <si>
    <t>[386 / 1.2 /  7.99] +  5% Трансп +  2% Заг.скл</t>
  </si>
  <si>
    <t>9</t>
  </si>
  <si>
    <t>46-03-017-02</t>
  </si>
  <si>
    <t>Заделка отверстий, гнезд и борозд: в перекрытиях железобетонных площадью до 0,2 м2</t>
  </si>
  <si>
    <t>м3</t>
  </si>
  <si>
    <t>ФЕР-2001, 46-03-017-02, приказ Минстроя России № 876/пр от 26.12.2019</t>
  </si>
  <si>
    <t>10</t>
  </si>
  <si>
    <t>Смеси бетонные тяжелого бетона М150</t>
  </si>
  <si>
    <t>[3 621.43 /  7.99]</t>
  </si>
  <si>
    <t>0</t>
  </si>
  <si>
    <t>11</t>
  </si>
  <si>
    <t>22-03-002-01</t>
  </si>
  <si>
    <t>Установка полиэтиленовых фасонных частей: отводов, колен, патрубков, переходов // Прим. к дождеприемнику</t>
  </si>
  <si>
    <t>10 ШТ</t>
  </si>
  <si>
    <t>ФЕР-2001, 22-03-002-01, приказ Минстроя России № 876/пр от 26.12.2019</t>
  </si>
  <si>
    <t>Наружные сети водопровода, канализации, теплоснабжения, газопроводы</t>
  </si>
  <si>
    <t>ФЕР-22</t>
  </si>
  <si>
    <t>Пр/812-018.0-1</t>
  </si>
  <si>
    <t>Пр/774-018.0</t>
  </si>
  <si>
    <t>12</t>
  </si>
  <si>
    <t>Дождеприемник ДП-30.30 комплект с пластиковой решеткой</t>
  </si>
  <si>
    <t>[762.54 / 1.2 /  7.99] +  5% Трансп +  2% Заг.скл</t>
  </si>
  <si>
    <t>13</t>
  </si>
  <si>
    <t>27-02-005-01</t>
  </si>
  <si>
    <t>Устройство водосбросных сооружений с проезжей части из продольных лотков из сборного бетона // Прим.</t>
  </si>
  <si>
    <t>100 м3</t>
  </si>
  <si>
    <t>ФЕР-2001, 27-02-005-01, приказ Минстроя России № 876/пр от 26.12.2019</t>
  </si>
  <si>
    <t>Пр/812-021.0-1</t>
  </si>
  <si>
    <t>Пр/774-021.0</t>
  </si>
  <si>
    <t>13.1</t>
  </si>
  <si>
    <t>14.5.04.01-0011</t>
  </si>
  <si>
    <t>Мастика бутилкаучуковая строительная для герметизации швов цементобетонных покрытий</t>
  </si>
  <si>
    <t>кг</t>
  </si>
  <si>
    <t>ФССЦ-2001, 14.5.04.01-0011, приказ Минстроя России № 876/пр от 26.12.2019</t>
  </si>
  <si>
    <t>14</t>
  </si>
  <si>
    <t>Водосток 500х160х50 мм цвет серый</t>
  </si>
  <si>
    <t>[204.04 / 1.2 /  7.99] +  5% Трансп +  2% Заг.скл</t>
  </si>
  <si>
    <t>15</t>
  </si>
  <si>
    <t>Облицовка ступеней керамогранитными плитками толщиной до 15 мм</t>
  </si>
  <si>
    <t>16</t>
  </si>
  <si>
    <t>Керамогранит Progress Калакатта NR0330 60x60 см цвет светло-серый</t>
  </si>
  <si>
    <t>м2</t>
  </si>
  <si>
    <t>[1 452 / 1.2 /  7.99] +  5% Трансп +  2% Заг.скл</t>
  </si>
  <si>
    <t>17</t>
  </si>
  <si>
    <t>Ступень из керамогранита Progress Калакатта NR0334 120x30 см цвет светло-серый</t>
  </si>
  <si>
    <t>18</t>
  </si>
  <si>
    <t>Подступенок Progress Калакатта 60x15 см цвет светло-серый</t>
  </si>
  <si>
    <t>[2 355.6 / 1.2 /  7.99] +  5% Трансп +  2% Заг.скл</t>
  </si>
  <si>
    <t>19</t>
  </si>
  <si>
    <t>Клей для плитки Церезит CM 16 25</t>
  </si>
  <si>
    <t>[45.4 / 1.2 /  7.99] +  5% Трансп +  2% Заг.скл</t>
  </si>
  <si>
    <t>20</t>
  </si>
  <si>
    <t>08-02-007-03</t>
  </si>
  <si>
    <t>Установка металлических решеток приямков</t>
  </si>
  <si>
    <t>т</t>
  </si>
  <si>
    <t>ФЕР-2001, 08-02-007-03, приказ Минстроя России № 876/пр от 26.12.2019</t>
  </si>
  <si>
    <t>Конструкции из кирпича и блоков</t>
  </si>
  <si>
    <t>ФЕР-08</t>
  </si>
  <si>
    <t>Пр/812-008.0-1</t>
  </si>
  <si>
    <t>Пр/774-008.0</t>
  </si>
  <si>
    <t>21</t>
  </si>
  <si>
    <t>Решетка придверная Gidrolica 390х590 мм стальная</t>
  </si>
  <si>
    <t>[4 442 / 1.2 /  7.99] +  5% Трансп +  2% Заг.скл</t>
  </si>
  <si>
    <t>22</t>
  </si>
  <si>
    <t>58-19-2</t>
  </si>
  <si>
    <t>Смена мелких покрытий из листовой стали в кровлях из рулонных и штучных материалов: настенных желобов</t>
  </si>
  <si>
    <t>ФЕРр-2001, 58-19-2, приказ Минстроя России № 876/пр от 26.12.2019</t>
  </si>
  <si>
    <t>Ремонтно-строительные работы</t>
  </si>
  <si>
    <t>Крыши, кровли</t>
  </si>
  <si>
    <t>рФЕР-58</t>
  </si>
  <si>
    <t>Пр/812-092.0-1</t>
  </si>
  <si>
    <t>Пр/774-092.0</t>
  </si>
  <si>
    <t>Крыши, кровля</t>
  </si>
  <si>
    <t>23</t>
  </si>
  <si>
    <t>Желоб водосточный 120х86х3000 (ПЭ-01-9003-0,5)</t>
  </si>
  <si>
    <t>[242 / 1.2 /  7.99] +  5% Трансп +  2% Заг.скл</t>
  </si>
  <si>
    <t>24</t>
  </si>
  <si>
    <t>Заглушка стальная желоба</t>
  </si>
  <si>
    <t>[83.1 / 1.2 /  7.99] +  5% Трансп +  2% Заг.скл</t>
  </si>
  <si>
    <t>25</t>
  </si>
  <si>
    <t>58-10-1</t>
  </si>
  <si>
    <t>Смена: прямых звеньев водосточных труб с земли, лестниц или подмостей</t>
  </si>
  <si>
    <t>ФЕРр-2001, 58-10-1, приказ Минстроя России № 876/пр от 26.12.2019</t>
  </si>
  <si>
    <t>26</t>
  </si>
  <si>
    <t>Труба водост 76х102х2000 (ПЭ-01-9003-0,5)</t>
  </si>
  <si>
    <t>[313.4 / 1.2 /  7.99] +  5% Трансп +  2% Заг.скл</t>
  </si>
  <si>
    <t>27</t>
  </si>
  <si>
    <t>58-10-3</t>
  </si>
  <si>
    <t>Смена: колен водосточных труб с земли, лестниц и подмостей</t>
  </si>
  <si>
    <t>100 ШТ</t>
  </si>
  <si>
    <t>ФЕРр-2001, 58-10-3, приказ Минстроя России № 876/пр от 26.12.2019</t>
  </si>
  <si>
    <t>28</t>
  </si>
  <si>
    <t>Колено прямоугольное 60° 76х102 мм цвет белый</t>
  </si>
  <si>
    <t>[83.19 / 1.2 /  7.99] +  5% Трансп +  2% Заг.скл</t>
  </si>
  <si>
    <t>29</t>
  </si>
  <si>
    <t>13-06-003-01</t>
  </si>
  <si>
    <t>Очистка поверхности щетками</t>
  </si>
  <si>
    <t>ФЕР-2001, 13-06-003-01, приказ Минстроя России № 876/пр от 26.12.2019</t>
  </si>
  <si>
    <t>Защита строительных конструкций и оборудования от коррозии</t>
  </si>
  <si>
    <t>Защита строительных конструкций</t>
  </si>
  <si>
    <t>ФЕР-13</t>
  </si>
  <si>
    <t>Пр/812-013.0-1</t>
  </si>
  <si>
    <t>Пр/774-013.0</t>
  </si>
  <si>
    <t>30</t>
  </si>
  <si>
    <t>13-06-004-01</t>
  </si>
  <si>
    <t>Обеспыливание поверхности</t>
  </si>
  <si>
    <t>ФЕР-2001, 13-06-004-01, приказ Минстроя России № 876/пр от 26.12.2019</t>
  </si>
  <si>
    <t>31</t>
  </si>
  <si>
    <t>13-03-002-04</t>
  </si>
  <si>
    <t>Огрунтовка металлических поверхностей за один раз: грунтовкой ГФ-021</t>
  </si>
  <si>
    <t>ФЕР-2001, 13-03-002-04, приказ Минстроя России № 876/пр от 26.12.2019</t>
  </si>
  <si>
    <t>)*1,15)*1,2)*1,1</t>
  </si>
  <si>
    <t>Поправка: МР 519/пр п.6.7.1  Поправка: МР 519/пр Прил.2, Табл.3, п. 1.1  Поправка: Сб.№13, п.1.13.7.</t>
  </si>
  <si>
    <t>32</t>
  </si>
  <si>
    <t>13-03-004-14</t>
  </si>
  <si>
    <t>Окраска металлических огрунтованных поверхностей: эмалью ЭП-140 // Прим. к молотковой краске</t>
  </si>
  <si>
    <t>ФЕР-2001, 13-03-004-14, приказ Минстроя России № 876/пр от 26.12.2019</t>
  </si>
  <si>
    <t>*2</t>
  </si>
  <si>
    <t>)*1,25)*1,2*2</t>
  </si>
  <si>
    <t>)*1,15)*1,2)*1,1*2</t>
  </si>
  <si>
    <t>32.1</t>
  </si>
  <si>
    <t>14.4.04.12-0008</t>
  </si>
  <si>
    <t>Эмаль эпоксидная ЭП-140, защитная</t>
  </si>
  <si>
    <t>ФССЦ-2001, 14.4.04.12-0008, приказ Минстроя России № 876/пр от 26.12.2019</t>
  </si>
  <si>
    <t>Поправка: МР 519/пр п.6.7.1  Поправка: Сб.№13, п.1.13.7.</t>
  </si>
  <si>
    <t>33</t>
  </si>
  <si>
    <t>Краска молотковая Хаммерайт сереб.-серая (расход 0,1 л/м2/1 слой)</t>
  </si>
  <si>
    <t>л</t>
  </si>
  <si>
    <t>[1 999.4 / 1.2 /  7.99] +  5% Трансп +  2% Заг.скл</t>
  </si>
  <si>
    <t>34</t>
  </si>
  <si>
    <t>Монтаж оконных фонарных покрытий из поликарбонатных и акриловых плит с боковыми планками, профилями и резиновыми прокладками // Прим. к навесу крыльца</t>
  </si>
  <si>
    <t>35</t>
  </si>
  <si>
    <t>Монолитный поликарбонат 5 мм</t>
  </si>
  <si>
    <t>[2 303.23 / 1.2 /  7.99] +  5% Трансп +  2% Заг.скл</t>
  </si>
  <si>
    <t>Прочие работы</t>
  </si>
  <si>
    <t>36</t>
  </si>
  <si>
    <t>т01-01-01-043</t>
  </si>
  <si>
    <t>Погрузка при автомобильных перевозках мусора строительного с погрузкой экскаваторами емкостью ковша до 0,5 м3</t>
  </si>
  <si>
    <t>1 т груза</t>
  </si>
  <si>
    <t>ФССЦпг-2001, т01-01-01-043, приказ Минстроя России №876/пр от 26.12.2019</t>
  </si>
  <si>
    <t>Погрузочно-разгрузочные работы</t>
  </si>
  <si>
    <t>ФССЦпр  пог. а/п (2011,изм. 4-6)</t>
  </si>
  <si>
    <t>37</t>
  </si>
  <si>
    <t>т03-21-01-007</t>
  </si>
  <si>
    <t>Перевозка грузов I класса автомобилями-самосвалами грузоподъемностью 10 т работающих вне карьера на расстояние до 7 км</t>
  </si>
  <si>
    <t>ФССЦпг-2001, т03-21-01-007, приказ Минстроя России №876/пр от 26.12.2019</t>
  </si>
  <si>
    <t>Автомобили-самосвалы</t>
  </si>
  <si>
    <t>Перевозка строительных грузов автомобильным транспортом</t>
  </si>
  <si>
    <t>Перевозка строительных грузов автомобильным транспортом: Автомобили-самосвалы</t>
  </si>
  <si>
    <t>ФССЦпг 03-21, 03-22</t>
  </si>
  <si>
    <t>38</t>
  </si>
  <si>
    <t>Утилизация строительного мусора</t>
  </si>
  <si>
    <t>ТН</t>
  </si>
  <si>
    <t>[600 /  7.99]</t>
  </si>
  <si>
    <t>НДС</t>
  </si>
  <si>
    <t>НДС, 20%</t>
  </si>
  <si>
    <t>всего с ндс</t>
  </si>
  <si>
    <t>Всего по смете</t>
  </si>
  <si>
    <t>Новая переменная</t>
  </si>
  <si>
    <t>Переменная</t>
  </si>
  <si>
    <t>Переменная1</t>
  </si>
  <si>
    <t>СТР_РЕК</t>
  </si>
  <si>
    <t>СТРОИТЕЛЬСТВО и РЕКОНСТРУКЦИЯ  зданий и сооружений всех назначений</t>
  </si>
  <si>
    <t>Строительство и реконструкция</t>
  </si>
  <si>
    <t>РЕМ_ЖИЛ</t>
  </si>
  <si>
    <t>КАП. РЕМ. ЖИЛЫХ И ОБЩЕСТВЕННЫХ ЗДАНИЙ</t>
  </si>
  <si>
    <t>Капитальный ремонт жилых и общественных зданий</t>
  </si>
  <si>
    <t>РЕМ_ПР</t>
  </si>
  <si>
    <t>КАП. РЕМ. ПРОИЗВОДСТВЕННЫХ ЗД. и СООРУЖЕНИЙ,  НАРУЖНЫХ ИНЖЕНЕРНЫХ СЕТЕЙ, УЛИЦ И ДОРОГ МЕСТНОГО ЗНАЧЕНИЯ, ИНЖ,СООРУЖЕНИЙ ( ГИДРОТЕХ,СООРУЖ, МОСТОВ И ПУТЕПРОВОДОВ И Т.П.)</t>
  </si>
  <si>
    <t>Капитальный ремонт прозводственных зданий</t>
  </si>
  <si>
    <t>Территория</t>
  </si>
  <si>
    <t>для территории Российской Федерации, не относящейся к районам Крайнего Севера и приравненным к ним местностям</t>
  </si>
  <si>
    <t>МПРКС</t>
  </si>
  <si>
    <t>для территории Российской Федерации, относящейся к местностям, приравненным к районам Крайнего Севера</t>
  </si>
  <si>
    <t>РКС</t>
  </si>
  <si>
    <t>для территории Российской Федерации, относящейся к районам Крайнего Севера</t>
  </si>
  <si>
    <t>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</si>
  <si>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АЭС.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</si>
  <si>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</si>
  <si>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Сложные объекты</t>
  </si>
  <si>
    <t>СТНДРТ</t>
  </si>
  <si>
    <t>При определении сметной стоимости строительства объектов капитального строительства (за исключением АЭС).</t>
  </si>
  <si>
    <t>АЭС_ПНР</t>
  </si>
  <si>
    <t>При определении сметной стоимости строительства объектов капитального строительства АЭС. Пусконаладочные работы (за исключением технологического оборудования АЭС).</t>
  </si>
  <si>
    <t>АЭС_ПНР_ТЕХ</t>
  </si>
  <si>
    <t>При определении сметной стоимости строительства объектов капитального строительства АЭС. Пусконаладочные работы технологического оборудования АЭС.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</si>
  <si>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</si>
  <si>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АЭС</t>
  </si>
  <si>
    <t>ОПТ/В</t>
  </si>
  <si>
    <t>{вкл}    - Прокладка  МЕЖДУГОРОДНЫХ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</si>
  <si>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</si>
  <si>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Прокладка междугородных в/опт. кабелей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</si>
  <si>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</si>
  <si>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</si>
  <si>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</si>
  <si>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Диспетчеризация авитранспорта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</si>
  <si>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</si>
  <si>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</si>
  <si>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</si>
  <si>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Производство работ закрытым способом (обслуживающие процессы)</t>
  </si>
  <si>
    <t>ГОР</t>
  </si>
  <si>
    <t>(вкл) - ФЕРм-08, выполнение работ на горнорудных объектах  (выкл) - ФЕРм-08, выполнение работ на других объектах</t>
  </si>
  <si>
    <t>Выполнение работ на горнорудных объектах</t>
  </si>
  <si>
    <t>ОБ_ПР</t>
  </si>
  <si>
    <t>Объект производственного назначения</t>
  </si>
  <si>
    <t>ОБ_НПР</t>
  </si>
  <si>
    <t>Объект непроизводственного назначения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</si>
  <si>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</si>
  <si>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</si>
  <si>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</si>
  <si>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п.25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</si>
  <si>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</si>
  <si>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</si>
  <si>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</si>
  <si>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п.16</t>
  </si>
  <si>
    <t>К_НР_СЛЖ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</si>
  <si>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объектов атомных электрических станций.  ( если {СЛЖ} = [вкл] )</t>
  </si>
  <si>
    <t>п.27 СЛОЖН</t>
  </si>
  <si>
    <t>К_НР_АЭС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</si>
  <si>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Для объектов атомных электрических станций.  ( если {АЭС} = [вкл] )</t>
  </si>
  <si>
    <t>п.27 АЭС</t>
  </si>
  <si>
    <t>Р_ОКР</t>
  </si>
  <si>
    <t>Разрядность округления результата расчета НР и СП  (с 05.04.2020 - до семи знаков после запятой)</t>
  </si>
  <si>
    <t>Лист_НРиСП</t>
  </si>
  <si>
    <t>Уровень цен</t>
  </si>
  <si>
    <t>Индексы за итогом</t>
  </si>
  <si>
    <t>_OBSM_</t>
  </si>
  <si>
    <t>1-100-36</t>
  </si>
  <si>
    <t>Затраты труда рабочих (Средний разряд - 3,6)</t>
  </si>
  <si>
    <t>чел.-ч.</t>
  </si>
  <si>
    <t>4-100-00</t>
  </si>
  <si>
    <t>Затраты труда машинистов</t>
  </si>
  <si>
    <t>91.05.01-016</t>
  </si>
  <si>
    <t>ФСЭМ-2001, 91.05.01-016 , приказ Минстроя России № 876/пр от 26.12.2019</t>
  </si>
  <si>
    <t>Краны башенные, грузоподъемность 5 т</t>
  </si>
  <si>
    <t>маш.-ч.</t>
  </si>
  <si>
    <t>91.05.05-015</t>
  </si>
  <si>
    <t>ФСЭМ-2001, 91.05.05-015 , приказ Минстроя России № 876/пр от 26.12.2019</t>
  </si>
  <si>
    <t>Краны на автомобильном ходу, грузоподъемность 16 т</t>
  </si>
  <si>
    <t>91.07.08-024</t>
  </si>
  <si>
    <t>ФСЭМ-2001, 91.07.08-024 , приказ Минстроя России № 876/пр от 26.12.2019</t>
  </si>
  <si>
    <t>Растворосмесители передвижные, объем барабана 65 л</t>
  </si>
  <si>
    <t>91.14.02-001</t>
  </si>
  <si>
    <t>ФСЭМ-2001, 91.14.02-001 , приказ Минстроя России № 876/пр от 26.12.2019</t>
  </si>
  <si>
    <t>Автомобили бортовые, грузоподъемность до 5 т</t>
  </si>
  <si>
    <t>01.7.03.01-0001</t>
  </si>
  <si>
    <t>ФССЦ-2001, 01.7.03.01-0001, приказ Минстроя России № 876/пр от 26.12.2019</t>
  </si>
  <si>
    <t>Вода</t>
  </si>
  <si>
    <t>04.3.02.09-0102</t>
  </si>
  <si>
    <t>ФССЦ-2001, 04.3.02.09-0102, приказ Минстроя России № 876/пр от 26.12.2019</t>
  </si>
  <si>
    <t>Смеси сухие водостойкие для затирки межплиточных швов шириной 1-6 мм (различная цветовая гамма)</t>
  </si>
  <si>
    <t>1-100-38</t>
  </si>
  <si>
    <t>Затраты труда рабочих (Средний разряд - 3,8)</t>
  </si>
  <si>
    <t>91.05.06-007</t>
  </si>
  <si>
    <t>ФСЭМ-2001, 91.05.06-007 , приказ Минстроя России № 876/пр от 26.12.2019</t>
  </si>
  <si>
    <t>Краны на гусеничном ходу, грузоподъемность 25 т</t>
  </si>
  <si>
    <t>01.7.15.03-0042</t>
  </si>
  <si>
    <t>ФССЦ-2001, 01.7.15.03-0042, приказ Минстроя России № 876/пр от 26.12.2019</t>
  </si>
  <si>
    <t>Болты с гайками и шайбами строительные</t>
  </si>
  <si>
    <t>01.7.15.06-0111</t>
  </si>
  <si>
    <t>ФССЦ-2001, 01.7.15.06-0111, приказ Минстроя России № 876/пр от 26.12.2019</t>
  </si>
  <si>
    <t>Гвозди строительные</t>
  </si>
  <si>
    <t>01.7.20.08-0071</t>
  </si>
  <si>
    <t>ФССЦ-2001, 01.7.20.08-0071, приказ Минстроя России № 876/пр от 26.12.2019</t>
  </si>
  <si>
    <t>Канат пеньковый пропитанный</t>
  </si>
  <si>
    <t>08.2.02.11-0007</t>
  </si>
  <si>
    <t>ФССЦ-2001, 08.2.02.11-0007, приказ Минстроя России № 876/пр от 26.12.2019</t>
  </si>
  <si>
    <t>Канат двойной свивки ТК, конструкции 6х19(1+6+12)+1 о.с., оцинкованный, из проволок марки В, маркировочная группа 1770 н/мм2, диаметр 5,5 мм</t>
  </si>
  <si>
    <t>10 м</t>
  </si>
  <si>
    <t>08.3.03.06-0002</t>
  </si>
  <si>
    <t>ФССЦ-2001, 08.3.03.06-0002, приказ Минстроя России № 876/пр от 26.12.2019</t>
  </si>
  <si>
    <t>Проволока горячекатаная в мотках, диаметр 6,3-6,5 мм</t>
  </si>
  <si>
    <t>08.3.11.01-0091</t>
  </si>
  <si>
    <t>ФССЦ-2001, 08.3.11.01-0091, приказ Минстроя России № 876/пр от 26.12.2019</t>
  </si>
  <si>
    <t>Швеллеры № 40, марка стали Ст0</t>
  </si>
  <si>
    <t>14.4.01.01-0003</t>
  </si>
  <si>
    <t>ФССЦ-2001, 14.4.01.01-0003, приказ Минстроя России № 876/пр от 26.12.2019</t>
  </si>
  <si>
    <t>Грунтовка ГФ-021</t>
  </si>
  <si>
    <t>14.5.09.07-0030</t>
  </si>
  <si>
    <t>ФССЦ-2001, 14.5.09.07-0030, приказ Минстроя России № 876/пр от 26.12.2019</t>
  </si>
  <si>
    <t>Растворитель Р-4</t>
  </si>
  <si>
    <t>1-100-40</t>
  </si>
  <si>
    <t>Затраты труда рабочих (Средний разряд - 4)</t>
  </si>
  <si>
    <t>01.7.17.06-0061</t>
  </si>
  <si>
    <t>ФССЦ-2001, 01.7.17.06-0061, приказ Минстроя России № 876/пр от 26.12.2019</t>
  </si>
  <si>
    <t>Диск алмазный для твердых материалов, диаметр 350 мм</t>
  </si>
  <si>
    <t>91.18.01-508</t>
  </si>
  <si>
    <t>ФСЭМ-2001, 91.18.01-508 , приказ Минстроя России № 876/пр от 26.12.2019</t>
  </si>
  <si>
    <t>Компрессоры передвижные с электродвигателем, производительность до 5,0 м3/мин</t>
  </si>
  <si>
    <t>91.21.10-003</t>
  </si>
  <si>
    <t>ФСЭМ-2001, 91.21.10-003 , приказ Минстроя России № 876/пр от 26.12.2019</t>
  </si>
  <si>
    <t>Молотки при работе от передвижных компрессорных станций отбойные пневматические</t>
  </si>
  <si>
    <t>1-100-37</t>
  </si>
  <si>
    <t>Затраты труда рабочих (Средний разряд - 3,7)</t>
  </si>
  <si>
    <t>91.05.01-017</t>
  </si>
  <si>
    <t>ФСЭМ-2001, 91.05.01-017 , приказ Минстроя России № 876/пр от 26.12.2019</t>
  </si>
  <si>
    <t>Краны башенные, грузоподъемность 8 т</t>
  </si>
  <si>
    <t>01.7.15.03-0014</t>
  </si>
  <si>
    <t>ФССЦ-2001, 01.7.15.03-0014, приказ Минстроя России № 876/пр от 26.12.2019</t>
  </si>
  <si>
    <t>Болты с гайками и шайбами для санитарно-технических работ, диаметр 16 мм</t>
  </si>
  <si>
    <t>01.7.19.02-0041</t>
  </si>
  <si>
    <t>ФССЦ-2001, 01.7.19.02-0041, приказ Минстроя России № 876/пр от 26.12.2019</t>
  </si>
  <si>
    <t>Кольца резиновые для чугунных напорных труб диаметром 65-300 мм</t>
  </si>
  <si>
    <t>1-100-24</t>
  </si>
  <si>
    <t>Затраты труда рабочих (Средний разряд - 2,4)</t>
  </si>
  <si>
    <t>91.06.03-060</t>
  </si>
  <si>
    <t>ФСЭМ-2001, 91.06.03-060 , приказ Минстроя России № 876/пр от 26.12.2019</t>
  </si>
  <si>
    <t>Лебедки электрические тяговым усилием до 5,79 кН (0,59 т)</t>
  </si>
  <si>
    <t>03.1.02.03-0011</t>
  </si>
  <si>
    <t>ФССЦ-2001, 03.1.02.03-0011, приказ Минстроя России № 876/пр от 26.12.2019</t>
  </si>
  <si>
    <t>Известь строительная негашеная комовая, сорт I</t>
  </si>
  <si>
    <t>08.3.03.04-0012</t>
  </si>
  <si>
    <t>ФССЦ-2001, 08.3.03.04-0012, приказ Минстроя России № 876/пр от 26.12.2019</t>
  </si>
  <si>
    <t>Проволока светлая, диаметр 1,1 мм</t>
  </si>
  <si>
    <t>08.4.03.04-0001</t>
  </si>
  <si>
    <t>ФССЦ-2001, 08.4.03.04-0001, приказ Минстроя России № 876/пр от 26.12.2019</t>
  </si>
  <si>
    <t>Сталь арматурная, горячекатаная, класс А-I, А-II, А-III</t>
  </si>
  <si>
    <t>11.1.03.06-0091</t>
  </si>
  <si>
    <t>ФССЦ-2001, 11.1.03.06-0091, приказ Минстроя России № 876/пр от 26.12.2019</t>
  </si>
  <si>
    <t>Доска обрезная, хвойных пород, ширина 75-150 мм, толщина 32-40 мм, длина 4-6,5 м, сорт III</t>
  </si>
  <si>
    <t>1-100-35</t>
  </si>
  <si>
    <t>Затраты труда рабочих (Средний разряд - 3,5)</t>
  </si>
  <si>
    <t>91.17.04-031</t>
  </si>
  <si>
    <t>ФСЭМ-2001, 91.17.04-031 , приказ Минстроя России № 876/пр от 26.12.2019</t>
  </si>
  <si>
    <t>Агрегаты для сварки полиэтиленовых труб</t>
  </si>
  <si>
    <t>1-100-31</t>
  </si>
  <si>
    <t>Затраты труда рабочих (Средний разряд - 3,1)</t>
  </si>
  <si>
    <t>04.3.01.09-0014</t>
  </si>
  <si>
    <t>ФССЦ-2001, 04.3.01.09-0014, приказ Минстроя России № 876/пр от 26.12.2019</t>
  </si>
  <si>
    <t>Раствор готовый кладочный, цементный, М100</t>
  </si>
  <si>
    <t>1-100-33</t>
  </si>
  <si>
    <t>Затраты труда рабочих (Средний разряд - 3,3)</t>
  </si>
  <si>
    <t>04.3.01.09-0023</t>
  </si>
  <si>
    <t>ФССЦ-2001, 04.3.01.09-0023, приказ Минстроя России № 876/пр от 26.12.2019</t>
  </si>
  <si>
    <t>Раствор отделочный тяжелый цементный, состав 1:3</t>
  </si>
  <si>
    <t>08.1.02.11-0001</t>
  </si>
  <si>
    <t>ФССЦ-2001, 08.1.02.11-0001, приказ Минстроя России № 876/пр от 26.12.2019</t>
  </si>
  <si>
    <t>Поковки из квадратных заготовок, масса 1,8 кг</t>
  </si>
  <si>
    <t>14.4.03.03-0002</t>
  </si>
  <si>
    <t>ФССЦ-2001, 14.4.03.03-0002, приказ Минстроя России № 876/пр от 26.12.2019</t>
  </si>
  <si>
    <t>Лак битумный БТ-123</t>
  </si>
  <si>
    <t>1-100-25</t>
  </si>
  <si>
    <t>Затраты труда рабочих (Средний разряд - 2,5)</t>
  </si>
  <si>
    <t>91.06.06-048</t>
  </si>
  <si>
    <t>ФСЭМ-2001, 91.06.06-048 , приказ Минстроя России № 876/пр от 26.12.2019</t>
  </si>
  <si>
    <t>Подъемники одномачтовые, грузоподъемность до 500 кг, высота подъема 45 м</t>
  </si>
  <si>
    <t>08.3.03.05-0001</t>
  </si>
  <si>
    <t>ФССЦ-2001, 08.3.03.05-0001, приказ Минстроя России № 876/пр от 26.12.2019</t>
  </si>
  <si>
    <t>Проволока канатная оцинкованная, диаметр 2,6 мм</t>
  </si>
  <si>
    <t>1-100-30</t>
  </si>
  <si>
    <t>Затраты труда рабочих (Средний разряд - 3)</t>
  </si>
  <si>
    <t>01.7.15.03-0044</t>
  </si>
  <si>
    <t>ФССЦ-2001, 01.7.15.03-0044, приказ Минстроя России № 876/пр от 26.12.2019</t>
  </si>
  <si>
    <t>Болты строительные с гайками и шайбами черные, размер 10x100 мм</t>
  </si>
  <si>
    <t>91.21.22-638</t>
  </si>
  <si>
    <t>ФСЭМ-2001, 91.21.22-638 , приказ Минстроя России № 876/пр от 26.12.2019</t>
  </si>
  <si>
    <t>Пылесосы промышленные, мощность до 2000 Вт</t>
  </si>
  <si>
    <t>1-100-47</t>
  </si>
  <si>
    <t>Затраты труда рабочих (Средний разряд - 4,7)</t>
  </si>
  <si>
    <t>91.06.05-011</t>
  </si>
  <si>
    <t>ФСЭМ-2001, 91.06.05-011 , приказ Минстроя России № 876/пр от 26.12.2019</t>
  </si>
  <si>
    <t>Погрузчики, грузоподъемность 5 т</t>
  </si>
  <si>
    <t>91.21.01-012</t>
  </si>
  <si>
    <t>ФСЭМ-2001, 91.21.01-012 , приказ Минстроя России № 876/пр от 26.12.2019</t>
  </si>
  <si>
    <t>Агрегаты окрасочные высокого давления для окраски поверхностей конструкций, мощность 1 кВт</t>
  </si>
  <si>
    <t>14.5.09.02-0002</t>
  </si>
  <si>
    <t>ФССЦ-2001, 14.5.09.02-0002, приказ Минстроя России № 876/пр от 26.12.2019</t>
  </si>
  <si>
    <t>Ксилол нефтяной, марка А</t>
  </si>
  <si>
    <t>14.5.09.04-0111</t>
  </si>
  <si>
    <t>ФССЦ-2001, 14.5.09.04-0111, приказ Минстроя России № 876/пр от 26.12.2019</t>
  </si>
  <si>
    <t>Отвердитель № 1</t>
  </si>
  <si>
    <t>14.5.09.07-0032</t>
  </si>
  <si>
    <t>ФССЦ-2001, 14.5.09.07-0032, приказ Минстроя России № 876/пр от 26.12.2019</t>
  </si>
  <si>
    <t>Растворитель Р-5</t>
  </si>
  <si>
    <t>06.2.05.03</t>
  </si>
  <si>
    <t>Плитки керамогранитные</t>
  </si>
  <si>
    <t>11.2.04.05</t>
  </si>
  <si>
    <t>Рейки деревянные</t>
  </si>
  <si>
    <t>14.1.06.02</t>
  </si>
  <si>
    <t>Клей для облицовочных работ (сухая смесь)</t>
  </si>
  <si>
    <t>01.7.15.04-0045</t>
  </si>
  <si>
    <t>ФССЦ-2001, 01.7.15.04-0045, приказ Минстроя России № 876/пр от 26.12.2019</t>
  </si>
  <si>
    <t>Винты самонарезающие для крепления профилированного настила и панелей к несущим конструкциям</t>
  </si>
  <si>
    <t>01.7.19.04-0031</t>
  </si>
  <si>
    <t>ФССЦ-2001, 01.7.19.04-0031, приказ Минстроя России № 876/пр от 26.12.2019</t>
  </si>
  <si>
    <t>Прокладки резиновые (пластина техническая прессованная)</t>
  </si>
  <si>
    <t>07.2.07.13</t>
  </si>
  <si>
    <t>Конструкции стальные</t>
  </si>
  <si>
    <t>08.1.02.22</t>
  </si>
  <si>
    <t>Изделия для водосточных труб</t>
  </si>
  <si>
    <t>18.1.02.01</t>
  </si>
  <si>
    <t>Задвижки</t>
  </si>
  <si>
    <t>23.1.02.07</t>
  </si>
  <si>
    <t>Крепления</t>
  </si>
  <si>
    <t>24.3.03.13</t>
  </si>
  <si>
    <t>Трубы полиэтиленовые низкого давления (ПНД)</t>
  </si>
  <si>
    <t>24.3.05.19</t>
  </si>
  <si>
    <t>Фасонные и соединительные части к полиэтиленовым трубам</t>
  </si>
  <si>
    <t>04.1.02.05</t>
  </si>
  <si>
    <t>Смеси бетонные тяжелого бетона</t>
  </si>
  <si>
    <t>Фасонные части</t>
  </si>
  <si>
    <t>05.1.01.10</t>
  </si>
  <si>
    <t>Конструкции сборные бетонные</t>
  </si>
  <si>
    <t>Изделия металлические (стяжки, прижимы, планки)</t>
  </si>
  <si>
    <t>08.3.05.05</t>
  </si>
  <si>
    <t>Сталь листовая оцинкованная</t>
  </si>
  <si>
    <t>999-9900</t>
  </si>
  <si>
    <t>Строительный мусор</t>
  </si>
  <si>
    <t>08.1.02.07</t>
  </si>
  <si>
    <t>Трубы</t>
  </si>
  <si>
    <t>ГОСУДАРСТВЕННЫЕ СМЕТНЫЕ НОРМАТИВЫ (ФЕР-2020), утвержденные приказами Минстроя России от 26 декабря 2019 г.   № 876/пр (в редакции приказов Минстроя РФ от 30 марта 2020 г. № 172/пр, от 1 июня 2020 г. № 294/пр, от 30 июня 2020 г. № 352/пр,   от 20 октября 2020 г. № 636/пр, от 9 февраля 2021 г. № 51/пр, от 24 мая 2021 г. № 321/пр, от 24 июня 2021 г. № 408/пр,  от 14 октября 2021 № 746/пр, от 20 декабря 2021 № 962/пр)</t>
  </si>
  <si>
    <t>Поправка: МР 519/пр п.6.7.1  Наименование: При выполнении работ в существующих зданиях и сооружениях, аналогичных процессам при новом строительстве (кроме работ по нормам сборника № 46 «Работы при реконструкции зданий и сооружений»)  Поправка: МР 519/пр Прил.2, Табл.3, п. 1.1  Наименование: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 предприятия,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</t>
  </si>
  <si>
    <t>Поправка: МР 571/пр Табл.2, п.2  Наименование: При демонтаже (разборке) сборных деревянных конструкций  Поправка: МР 519/пр Прил.2, Табл.3, п. 1.1  Наименование: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 предприятия,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</t>
  </si>
  <si>
    <t>Поправка: МР 519/пр п.6.7.1  Наименование: При выполнении работ в существующих зданиях и сооружениях, аналогичных процессам при новом строительстве (кроме работ по нормам сборника № 46 «Работы при реконструкции зданий и сооружений»)  Поправка: МР 519/пр Прил.2, Табл.3, п. 1.1  Наименование: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 предприятия,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  Поправка: Сб.№13, п.1.13.7.  Наименование: При нанесении лакокрасочных материалов ручным способом.</t>
  </si>
  <si>
    <t>Поправка: МР 519/пр п.6.7.1  Наименование: При выполнении работ в существующих зданиях и сооружениях, аналогичных процессам при новом строительстве (кроме работ по нормам сборника № 46 «Работы при реконструкции зданий и сооружений»)  Поправка: Сб.№13, п.1.13.7.  Наименование: При нанесении лакокрасочных материалов ручным способом.</t>
  </si>
  <si>
    <t>(наименование стройки)</t>
  </si>
  <si>
    <t>(локальный сметный расчет)</t>
  </si>
  <si>
    <t>(наименование работ и затрат, наименование объекта)</t>
  </si>
  <si>
    <t>базовая</t>
  </si>
  <si>
    <t>текущая</t>
  </si>
  <si>
    <t>цена</t>
  </si>
  <si>
    <t>Сметная стоимость</t>
  </si>
  <si>
    <t>тыс.руб</t>
  </si>
  <si>
    <t>Нормативная трудоемкость</t>
  </si>
  <si>
    <t>чел.час.</t>
  </si>
  <si>
    <t>Средства на оплату труда</t>
  </si>
  <si>
    <t>№ п/п</t>
  </si>
  <si>
    <t>Шифр расценки и коды ресурсов</t>
  </si>
  <si>
    <t>Наименование работ и затрат</t>
  </si>
  <si>
    <t>Единица измерения</t>
  </si>
  <si>
    <t>Кол-во единиц</t>
  </si>
  <si>
    <t>Цена на единицу измерения, руб.</t>
  </si>
  <si>
    <t>Попра-вочные коэфф., нормы НР и СП</t>
  </si>
  <si>
    <t>Всего затрат в базисном уровне цен, руб.</t>
  </si>
  <si>
    <t>Индексы пересчета, нормы НР и СП</t>
  </si>
  <si>
    <t>ВСЕГО затрат, руб.</t>
  </si>
  <si>
    <t>Форма № 1а</t>
  </si>
  <si>
    <t>Составлен(а) в уровне текущих (прогнозных) цен II квартал 2023 года</t>
  </si>
  <si>
    <t>ЗП</t>
  </si>
  <si>
    <t>ЭМ</t>
  </si>
  <si>
    <t>в т.ч. ЗПМ</t>
  </si>
  <si>
    <t>НР от ФОТ</t>
  </si>
  <si>
    <t>%</t>
  </si>
  <si>
    <t>СП от ФОТ</t>
  </si>
  <si>
    <t>ЗТР</t>
  </si>
  <si>
    <t>чел-ч</t>
  </si>
  <si>
    <t>Всего по позиции</t>
  </si>
  <si>
    <t>МР</t>
  </si>
  <si>
    <r>
      <t>Труба канализационная наружная SN4 160х1000 мм</t>
    </r>
    <r>
      <rPr>
        <i/>
        <sz val="10"/>
        <rFont val="Arial"/>
        <family val="2"/>
        <charset val="204"/>
      </rPr>
      <t xml:space="preserve">
52.17 = [467 / 1.2 /  7.99] +  5% Трансп +  2% Заг.скл</t>
    </r>
  </si>
  <si>
    <r>
      <t>Отвод наружный 45 градусов 160 мм</t>
    </r>
    <r>
      <rPr>
        <i/>
        <sz val="10"/>
        <rFont val="Arial"/>
        <family val="2"/>
        <charset val="204"/>
      </rPr>
      <t xml:space="preserve">
43.12 = [386 / 1.2 /  7.99] +  5% Трансп +  2% Заг.скл</t>
    </r>
  </si>
  <si>
    <r>
      <t>Смеси бетонные тяжелого бетона М150</t>
    </r>
    <r>
      <rPr>
        <i/>
        <sz val="10"/>
        <rFont val="Arial"/>
        <family val="2"/>
        <charset val="204"/>
      </rPr>
      <t xml:space="preserve">
453.25 = [3 621.43 /  7.99]</t>
    </r>
  </si>
  <si>
    <r>
      <t>Дождеприемник ДП-30.30 комплект с пластиковой решеткой</t>
    </r>
    <r>
      <rPr>
        <i/>
        <sz val="10"/>
        <rFont val="Arial"/>
        <family val="2"/>
        <charset val="204"/>
      </rPr>
      <t xml:space="preserve">
85.18 = [762.54 / 1.2 /  7.99] +  5% Трансп +  2% Заг.скл</t>
    </r>
  </si>
  <si>
    <r>
      <t>Водосток 500х160х50 мм цвет серый</t>
    </r>
    <r>
      <rPr>
        <i/>
        <sz val="10"/>
        <rFont val="Arial"/>
        <family val="2"/>
        <charset val="204"/>
      </rPr>
      <t xml:space="preserve">
22.79 = [204.04 / 1.2 /  7.99] +  5% Трансп +  2% Заг.скл</t>
    </r>
  </si>
  <si>
    <r>
      <t>Керамогранит Progress Калакатта NR0330 60x60 см цвет светло-серый</t>
    </r>
    <r>
      <rPr>
        <i/>
        <sz val="10"/>
        <rFont val="Arial"/>
        <family val="2"/>
        <charset val="204"/>
      </rPr>
      <t xml:space="preserve">
162.19 = [1 452 / 1.2 /  7.99] +  5% Трансп +  2% Заг.скл</t>
    </r>
  </si>
  <si>
    <r>
      <t>Ступень из керамогранита Progress Калакатта NR0334 120x30 см цвет светло-серый</t>
    </r>
    <r>
      <rPr>
        <i/>
        <sz val="10"/>
        <rFont val="Arial"/>
        <family val="2"/>
        <charset val="204"/>
      </rPr>
      <t xml:space="preserve">
162.19 = [1 452 / 1.2 /  7.99] +  5% Трансп +  2% Заг.скл</t>
    </r>
  </si>
  <si>
    <r>
      <t>Подступенок Progress Калакатта 60x15 см цвет светло-серый</t>
    </r>
    <r>
      <rPr>
        <i/>
        <sz val="10"/>
        <rFont val="Arial"/>
        <family val="2"/>
        <charset val="204"/>
      </rPr>
      <t xml:space="preserve">
263.12 = [2 355.6 / 1.2 /  7.99] +  5% Трансп +  2% Заг.скл</t>
    </r>
  </si>
  <si>
    <r>
      <t>Клей для плитки Церезит CM 16 25</t>
    </r>
    <r>
      <rPr>
        <i/>
        <sz val="10"/>
        <rFont val="Arial"/>
        <family val="2"/>
        <charset val="204"/>
      </rPr>
      <t xml:space="preserve">
5.08 = [45.4 / 1.2 /  7.99] +  5% Трансп +  2% Заг.скл</t>
    </r>
  </si>
  <si>
    <r>
      <t>Решетка придверная Gidrolica 390х590 мм стальная</t>
    </r>
    <r>
      <rPr>
        <i/>
        <sz val="10"/>
        <rFont val="Arial"/>
        <family val="2"/>
        <charset val="204"/>
      </rPr>
      <t xml:space="preserve">
496.18 = [4 442 / 1.2 /  7.99] +  5% Трансп +  2% Заг.скл</t>
    </r>
  </si>
  <si>
    <r>
      <t>Желоб водосточный 120х86х3000 (ПЭ-01-9003-0,5)</t>
    </r>
    <r>
      <rPr>
        <i/>
        <sz val="10"/>
        <rFont val="Arial"/>
        <family val="2"/>
        <charset val="204"/>
      </rPr>
      <t xml:space="preserve">
27.03 = [242 / 1.2 /  7.99] +  5% Трансп +  2% Заг.скл</t>
    </r>
  </si>
  <si>
    <r>
      <t>Заглушка стальная желоба</t>
    </r>
    <r>
      <rPr>
        <i/>
        <sz val="10"/>
        <rFont val="Arial"/>
        <family val="2"/>
        <charset val="204"/>
      </rPr>
      <t xml:space="preserve">
9.28 = [83.1 / 1.2 /  7.99] +  5% Трансп +  2% Заг.скл</t>
    </r>
  </si>
  <si>
    <r>
      <t>Труба водост 76х102х2000 (ПЭ-01-9003-0,5)</t>
    </r>
    <r>
      <rPr>
        <i/>
        <sz val="10"/>
        <rFont val="Arial"/>
        <family val="2"/>
        <charset val="204"/>
      </rPr>
      <t xml:space="preserve">
35.01 = [313.4 / 1.2 /  7.99] +  5% Трансп +  2% Заг.скл</t>
    </r>
  </si>
  <si>
    <r>
      <t>Колено прямоугольное 60° 76х102 мм цвет белый</t>
    </r>
    <r>
      <rPr>
        <i/>
        <sz val="10"/>
        <rFont val="Arial"/>
        <family val="2"/>
        <charset val="204"/>
      </rPr>
      <t xml:space="preserve">
9.29 = [83.19 / 1.2 /  7.99] +  5% Трансп +  2% Заг.скл</t>
    </r>
  </si>
  <si>
    <t>к нр *2</t>
  </si>
  <si>
    <r>
      <t>Краска молотковая Хаммерайт сереб.-серая (расход 0,1 л/м2/1 слой)</t>
    </r>
    <r>
      <rPr>
        <i/>
        <sz val="10"/>
        <rFont val="Arial"/>
        <family val="2"/>
        <charset val="204"/>
      </rPr>
      <t xml:space="preserve">
223.34 = [1 999.4 / 1.2 /  7.99] +  5% Трансп +  2% Заг.скл</t>
    </r>
  </si>
  <si>
    <r>
      <t>Монолитный поликарбонат 5 мм</t>
    </r>
    <r>
      <rPr>
        <i/>
        <sz val="10"/>
        <rFont val="Arial"/>
        <family val="2"/>
        <charset val="204"/>
      </rPr>
      <t xml:space="preserve">
257.27 = [2 303.23 / 1.2 /  7.99] +  5% Трансп +  2% Заг.скл</t>
    </r>
  </si>
  <si>
    <r>
      <t>Утилизация строительного мусора</t>
    </r>
    <r>
      <rPr>
        <i/>
        <sz val="10"/>
        <rFont val="Arial"/>
        <family val="2"/>
        <charset val="204"/>
      </rPr>
      <t xml:space="preserve">
75.09 = [600 /  7.99]</t>
    </r>
  </si>
  <si>
    <t xml:space="preserve">Составил   </t>
  </si>
  <si>
    <t>[должность,подпись(инициалы,фамилия)]</t>
  </si>
  <si>
    <t xml:space="preserve">Проверил   </t>
  </si>
  <si>
    <t>текущая цена</t>
  </si>
  <si>
    <t>тыс. руб.</t>
  </si>
  <si>
    <t>Строительный объем:</t>
  </si>
  <si>
    <t>Стоимость ед.стр.объема:</t>
  </si>
  <si>
    <t>Ед. изм.</t>
  </si>
  <si>
    <t>Цена на ед. изм.</t>
  </si>
  <si>
    <t>Попра-вочные коэфф.</t>
  </si>
  <si>
    <t>Стоимость в ценах 2001г.</t>
  </si>
  <si>
    <t>Пункт коэфф. пересчета</t>
  </si>
  <si>
    <t>Коэфф. пересчета</t>
  </si>
  <si>
    <t>Стоимость в текущих ценах</t>
  </si>
  <si>
    <t>ЗТР всего чел.-час</t>
  </si>
  <si>
    <t>Составлена в ценах II квартал 2023 года</t>
  </si>
  <si>
    <t>Зарплата</t>
  </si>
  <si>
    <t>в т.ч. зарплата машинистов</t>
  </si>
  <si>
    <t>Затраты труда</t>
  </si>
  <si>
    <t>Материальные ресурсы</t>
  </si>
  <si>
    <t xml:space="preserve">   </t>
  </si>
  <si>
    <t xml:space="preserve">Объемы согласовал  </t>
  </si>
  <si>
    <t>Ремонт центрального входа заводоуправления. Инв №ОС-19003.</t>
  </si>
  <si>
    <t>ЛОКАЛЬНАЯ СМЕТА № 20</t>
  </si>
  <si>
    <t>НДС 20%</t>
  </si>
  <si>
    <t>Всего с НДС</t>
  </si>
  <si>
    <t>Основание: ВОР № 20</t>
  </si>
  <si>
    <t>Приложение №11 к Техническому заданию</t>
  </si>
  <si>
    <t>Всего с НР и СП с коэфф для приведения к Рр, К=0,831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</si>
</sst>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[Red]\-\ #,##0.00"/>
    <numFmt numFmtId="165" formatCode="mmmm"/>
    <numFmt numFmtId="166" formatCode="#,##0.00############;[Red]\-\ #,##0.00############"/>
    <numFmt numFmtId="167" formatCode="#,##0.00\ _р_."/>
  </numFmts>
  <fonts count="22" x14ac:knownFonts="1">
    <font>
      <sz val="10"/>
      <name val="Arial"/>
      <charset val="204"/>
    </font>
    <font>
      <b/>
      <sz val="10"/>
      <color indexed="12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b/>
      <sz val="10"/>
      <color indexed="14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4"/>
      <name val="Arial Cyr"/>
      <charset val="204"/>
    </font>
    <font>
      <b/>
      <sz val="13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0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  <xf numFmtId="165" fontId="11" fillId="0" borderId="0" xfId="0" applyNumberFormat="1" applyFont="1"/>
    <xf numFmtId="1" fontId="11" fillId="0" borderId="0" xfId="0" applyNumberFormat="1" applyFont="1"/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16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164" fontId="16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164" fontId="17" fillId="0" borderId="0" xfId="0" applyNumberFormat="1" applyFont="1" applyAlignment="1">
      <alignment horizontal="right"/>
    </xf>
    <xf numFmtId="164" fontId="0" fillId="0" borderId="0" xfId="0" applyNumberFormat="1"/>
    <xf numFmtId="0" fontId="11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right" wrapText="1"/>
    </xf>
    <xf numFmtId="0" fontId="11" fillId="0" borderId="1" xfId="0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 wrapText="1"/>
    </xf>
    <xf numFmtId="0" fontId="9" fillId="0" borderId="0" xfId="0" applyFont="1" applyAlignment="1">
      <alignment vertical="top" wrapText="1"/>
    </xf>
    <xf numFmtId="0" fontId="17" fillId="0" borderId="0" xfId="0" applyFont="1"/>
    <xf numFmtId="0" fontId="11" fillId="0" borderId="0" xfId="0" quotePrefix="1" applyFont="1" applyAlignment="1">
      <alignment horizontal="right" wrapText="1"/>
    </xf>
    <xf numFmtId="0" fontId="17" fillId="0" borderId="0" xfId="0" applyFont="1" applyAlignment="1">
      <alignment horizontal="left" wrapText="1"/>
    </xf>
    <xf numFmtId="0" fontId="11" fillId="0" borderId="1" xfId="0" applyFont="1" applyBorder="1"/>
    <xf numFmtId="0" fontId="11" fillId="0" borderId="0" xfId="0" applyFont="1" applyBorder="1" applyAlignment="1">
      <alignment wrapText="1"/>
    </xf>
    <xf numFmtId="0" fontId="11" fillId="0" borderId="0" xfId="0" applyFont="1" applyBorder="1"/>
    <xf numFmtId="0" fontId="17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1" fillId="0" borderId="0" xfId="0" applyFont="1" applyAlignment="1">
      <alignment horizontal="right" vertical="top"/>
    </xf>
    <xf numFmtId="0" fontId="11" fillId="0" borderId="0" xfId="0" applyFont="1" applyAlignment="1"/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164" fontId="10" fillId="0" borderId="1" xfId="0" applyNumberFormat="1" applyFont="1" applyBorder="1" applyAlignment="1">
      <alignment horizontal="right"/>
    </xf>
    <xf numFmtId="164" fontId="20" fillId="0" borderId="0" xfId="0" applyNumberFormat="1" applyFont="1" applyAlignment="1">
      <alignment horizontal="right"/>
    </xf>
    <xf numFmtId="0" fontId="10" fillId="0" borderId="1" xfId="0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0" fontId="11" fillId="0" borderId="1" xfId="0" quotePrefix="1" applyFont="1" applyBorder="1" applyAlignment="1">
      <alignment horizontal="right" wrapText="1"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167" fontId="21" fillId="0" borderId="0" xfId="0" applyNumberFormat="1" applyFont="1" applyAlignment="1">
      <alignment horizontal="right"/>
    </xf>
    <xf numFmtId="167" fontId="9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 vertical="top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17" fillId="0" borderId="0" xfId="0" applyFont="1" applyAlignment="1">
      <alignment horizontal="left" wrapText="1"/>
    </xf>
    <xf numFmtId="164" fontId="17" fillId="0" borderId="0" xfId="0" applyNumberFormat="1" applyFont="1" applyAlignment="1">
      <alignment horizontal="right"/>
    </xf>
    <xf numFmtId="0" fontId="15" fillId="0" borderId="0" xfId="0" applyFont="1" applyAlignment="1">
      <alignment horizontal="center" wrapText="1"/>
    </xf>
    <xf numFmtId="0" fontId="11" fillId="0" borderId="0" xfId="0" applyFont="1" applyAlignment="1">
      <alignment horizontal="right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/>
    <xf numFmtId="0" fontId="11" fillId="0" borderId="0" xfId="0" applyFont="1" applyAlignment="1">
      <alignment horizontal="left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164" fontId="17" fillId="0" borderId="2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7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75"/>
  <sheetViews>
    <sheetView zoomScaleNormal="100" workbookViewId="0">
      <selection activeCell="A159" sqref="A159"/>
    </sheetView>
  </sheetViews>
  <sheetFormatPr defaultRowHeight="12.75" x14ac:dyDescent="0.2"/>
  <cols>
    <col min="1" max="1" width="5.7109375" customWidth="1"/>
    <col min="2" max="2" width="11.7109375" customWidth="1"/>
    <col min="3" max="3" width="40.7109375" customWidth="1"/>
    <col min="4" max="5" width="11.7109375" customWidth="1"/>
    <col min="6" max="10" width="12.7109375" customWidth="1"/>
    <col min="15" max="31" width="0" hidden="1" customWidth="1"/>
    <col min="32" max="32" width="93.7109375" hidden="1" customWidth="1"/>
    <col min="33" max="36" width="0" hidden="1" customWidth="1"/>
  </cols>
  <sheetData>
    <row r="1" spans="1:10" s="9" customFormat="1" ht="12" x14ac:dyDescent="0.2">
      <c r="A1" s="9" t="str">
        <f>Source!B1</f>
        <v>Smeta.RU  (495) 974-1589</v>
      </c>
    </row>
    <row r="2" spans="1:10" ht="14.25" x14ac:dyDescent="0.2">
      <c r="A2" s="10"/>
      <c r="B2" s="10"/>
      <c r="C2" s="10"/>
      <c r="D2" s="10"/>
      <c r="E2" s="10"/>
      <c r="F2" s="10"/>
      <c r="G2" s="10"/>
      <c r="H2" s="10"/>
      <c r="I2" s="10"/>
      <c r="J2" s="11" t="s">
        <v>581</v>
      </c>
    </row>
    <row r="3" spans="1:10" ht="15.75" x14ac:dyDescent="0.25">
      <c r="A3" s="77" t="s">
        <v>4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x14ac:dyDescent="0.2">
      <c r="A4" s="66" t="s">
        <v>560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14.25" x14ac:dyDescent="0.2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15.75" x14ac:dyDescent="0.25">
      <c r="A6" s="77" t="str">
        <f>CONCATENATE( "ЛОКАЛЬНАЯ СМЕТА № ",IF(Source!F12&lt;&gt;"Новый объект", Source!F12, ""))</f>
        <v>ЛОКАЛЬНАЯ СМЕТА № 1</v>
      </c>
      <c r="B6" s="77"/>
      <c r="C6" s="77"/>
      <c r="D6" s="77"/>
      <c r="E6" s="77"/>
      <c r="F6" s="77"/>
      <c r="G6" s="77"/>
      <c r="H6" s="77"/>
      <c r="I6" s="77"/>
      <c r="J6" s="77"/>
    </row>
    <row r="7" spans="1:10" x14ac:dyDescent="0.2">
      <c r="A7" s="74" t="s">
        <v>561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ht="14.25" x14ac:dyDescent="0.2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18" hidden="1" x14ac:dyDescent="0.25">
      <c r="A9" s="78"/>
      <c r="B9" s="78"/>
      <c r="C9" s="78"/>
      <c r="D9" s="78"/>
      <c r="E9" s="78"/>
      <c r="F9" s="78"/>
      <c r="G9" s="78"/>
      <c r="H9" s="78"/>
      <c r="I9" s="78"/>
      <c r="J9" s="78"/>
    </row>
    <row r="10" spans="1:10" ht="14.25" hidden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8" x14ac:dyDescent="0.25">
      <c r="A11" s="79" t="str">
        <f>IF(Source!G12&lt;&gt;"Новый объект", Source!G12, "")</f>
        <v>Центральный вход заводоуправления. Инв. №ОС-19003</v>
      </c>
      <c r="B11" s="80"/>
      <c r="C11" s="80"/>
      <c r="D11" s="80"/>
      <c r="E11" s="80"/>
      <c r="F11" s="80"/>
      <c r="G11" s="80"/>
      <c r="H11" s="80"/>
      <c r="I11" s="80"/>
      <c r="J11" s="80"/>
    </row>
    <row r="12" spans="1:10" x14ac:dyDescent="0.2">
      <c r="A12" s="74" t="s">
        <v>562</v>
      </c>
      <c r="B12" s="75"/>
      <c r="C12" s="75"/>
      <c r="D12" s="75"/>
      <c r="E12" s="75"/>
      <c r="F12" s="75"/>
      <c r="G12" s="75"/>
      <c r="H12" s="75"/>
      <c r="I12" s="75"/>
      <c r="J12" s="75"/>
    </row>
    <row r="13" spans="1:10" ht="14.25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4.25" x14ac:dyDescent="0.2">
      <c r="A14" s="67" t="str">
        <f>CONCATENATE( "Основание: ", Source!J12)</f>
        <v>Основание: ВОР № 18</v>
      </c>
      <c r="B14" s="67"/>
      <c r="C14" s="67"/>
      <c r="D14" s="67"/>
      <c r="E14" s="67"/>
      <c r="F14" s="67"/>
      <c r="G14" s="67"/>
      <c r="H14" s="67"/>
      <c r="I14" s="67"/>
      <c r="J14" s="67"/>
    </row>
    <row r="15" spans="1:10" ht="14.25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4.25" x14ac:dyDescent="0.2">
      <c r="A16" s="10"/>
      <c r="B16" s="10"/>
      <c r="C16" s="10"/>
      <c r="D16" s="10"/>
      <c r="E16" s="10"/>
      <c r="F16" s="10"/>
      <c r="G16" s="10"/>
      <c r="H16" s="12" t="s">
        <v>563</v>
      </c>
      <c r="I16" s="12" t="s">
        <v>564</v>
      </c>
      <c r="J16" s="10"/>
    </row>
    <row r="17" spans="1:21" ht="14.25" x14ac:dyDescent="0.2">
      <c r="A17" s="10"/>
      <c r="B17" s="10"/>
      <c r="C17" s="10"/>
      <c r="D17" s="10"/>
      <c r="E17" s="10"/>
      <c r="F17" s="10"/>
      <c r="G17" s="10"/>
      <c r="H17" s="12" t="s">
        <v>565</v>
      </c>
      <c r="I17" s="12" t="s">
        <v>565</v>
      </c>
      <c r="J17" s="10"/>
    </row>
    <row r="18" spans="1:21" ht="14.25" x14ac:dyDescent="0.2">
      <c r="A18" s="10"/>
      <c r="B18" s="10"/>
      <c r="C18" s="10"/>
      <c r="D18" s="10"/>
      <c r="E18" s="76" t="s">
        <v>566</v>
      </c>
      <c r="F18" s="76"/>
      <c r="G18" s="76"/>
      <c r="H18" s="14">
        <f>SUM(O1:O251)/1000</f>
        <v>36.021439999999991</v>
      </c>
      <c r="I18" s="14">
        <f>ROUND((Source!F227/1000), 2)</f>
        <v>547.86</v>
      </c>
      <c r="J18" s="10" t="s">
        <v>567</v>
      </c>
    </row>
    <row r="19" spans="1:21" ht="14.25" x14ac:dyDescent="0.2">
      <c r="A19" s="10"/>
      <c r="B19" s="10"/>
      <c r="C19" s="10"/>
      <c r="D19" s="10"/>
      <c r="E19" s="76" t="s">
        <v>568</v>
      </c>
      <c r="F19" s="76"/>
      <c r="G19" s="76"/>
      <c r="H19" s="14">
        <f>I19</f>
        <v>557.69632882000008</v>
      </c>
      <c r="I19" s="14">
        <f>(Source!F221+Source!F222)</f>
        <v>557.69632882000008</v>
      </c>
      <c r="J19" s="10" t="s">
        <v>569</v>
      </c>
    </row>
    <row r="20" spans="1:21" ht="14.25" x14ac:dyDescent="0.2">
      <c r="A20" s="10"/>
      <c r="B20" s="10"/>
      <c r="C20" s="10"/>
      <c r="D20" s="10"/>
      <c r="E20" s="76" t="s">
        <v>570</v>
      </c>
      <c r="F20" s="76"/>
      <c r="G20" s="76"/>
      <c r="H20" s="14">
        <f>SUM(Q1:Q251)/1000</f>
        <v>5.1750499999999997</v>
      </c>
      <c r="I20" s="14">
        <f>(Source!F214+ Source!F213)/1000</f>
        <v>144.59072999999998</v>
      </c>
      <c r="J20" s="10" t="s">
        <v>567</v>
      </c>
    </row>
    <row r="21" spans="1:21" ht="14.25" x14ac:dyDescent="0.2">
      <c r="A21" s="10"/>
      <c r="B21" s="10"/>
      <c r="C21" s="10"/>
      <c r="D21" s="10"/>
      <c r="E21" s="10"/>
      <c r="F21" s="10"/>
      <c r="G21" s="10"/>
      <c r="H21" s="13"/>
      <c r="I21" s="14"/>
      <c r="J21" s="10"/>
    </row>
    <row r="22" spans="1:21" ht="14.25" x14ac:dyDescent="0.2">
      <c r="A22" s="10" t="s">
        <v>582</v>
      </c>
      <c r="B22" s="10"/>
      <c r="C22" s="10"/>
      <c r="D22" s="15"/>
      <c r="E22" s="16"/>
      <c r="F22" s="10"/>
      <c r="G22" s="10"/>
      <c r="H22" s="10"/>
      <c r="I22" s="10"/>
      <c r="J22" s="10"/>
    </row>
    <row r="23" spans="1:21" ht="71.25" x14ac:dyDescent="0.2">
      <c r="A23" s="17" t="s">
        <v>571</v>
      </c>
      <c r="B23" s="17" t="s">
        <v>572</v>
      </c>
      <c r="C23" s="17" t="s">
        <v>573</v>
      </c>
      <c r="D23" s="17" t="s">
        <v>574</v>
      </c>
      <c r="E23" s="17" t="s">
        <v>575</v>
      </c>
      <c r="F23" s="17" t="s">
        <v>576</v>
      </c>
      <c r="G23" s="18" t="s">
        <v>577</v>
      </c>
      <c r="H23" s="17" t="s">
        <v>578</v>
      </c>
      <c r="I23" s="17" t="s">
        <v>579</v>
      </c>
      <c r="J23" s="17" t="s">
        <v>580</v>
      </c>
    </row>
    <row r="24" spans="1:21" ht="14.25" x14ac:dyDescent="0.2">
      <c r="A24" s="17">
        <v>1</v>
      </c>
      <c r="B24" s="17">
        <v>2</v>
      </c>
      <c r="C24" s="17">
        <v>3</v>
      </c>
      <c r="D24" s="17">
        <v>4</v>
      </c>
      <c r="E24" s="17">
        <v>5</v>
      </c>
      <c r="F24" s="17">
        <v>6</v>
      </c>
      <c r="G24" s="17">
        <v>7</v>
      </c>
      <c r="H24" s="17">
        <v>8</v>
      </c>
      <c r="I24" s="17">
        <v>9</v>
      </c>
      <c r="J24" s="17">
        <v>10</v>
      </c>
    </row>
    <row r="26" spans="1:21" ht="16.5" x14ac:dyDescent="0.25">
      <c r="A26" s="72" t="str">
        <f>CONCATENATE("Локальная смета: ",IF(Source!G20&lt;&gt;"Новая локальная смета", Source!G20, ""))</f>
        <v xml:space="preserve">Локальная смета: </v>
      </c>
      <c r="B26" s="72"/>
      <c r="C26" s="72"/>
      <c r="D26" s="72"/>
      <c r="E26" s="72"/>
      <c r="F26" s="72"/>
      <c r="G26" s="72"/>
      <c r="H26" s="72"/>
      <c r="I26" s="72"/>
      <c r="J26" s="72"/>
    </row>
    <row r="28" spans="1:21" ht="16.5" x14ac:dyDescent="0.25">
      <c r="A28" s="72" t="str">
        <f>CONCATENATE("Раздел: ",IF(Source!G24&lt;&gt;"Новый раздел", Source!G24, ""))</f>
        <v>Раздел: Демонтажные работы</v>
      </c>
      <c r="B28" s="72"/>
      <c r="C28" s="72"/>
      <c r="D28" s="72"/>
      <c r="E28" s="72"/>
      <c r="F28" s="72"/>
      <c r="G28" s="72"/>
      <c r="H28" s="72"/>
      <c r="I28" s="72"/>
      <c r="J28" s="72"/>
    </row>
    <row r="29" spans="1:21" ht="42.75" x14ac:dyDescent="0.2">
      <c r="A29" s="21">
        <v>1</v>
      </c>
      <c r="B29" s="21" t="str">
        <f>Source!F28</f>
        <v>15-01-045-01</v>
      </c>
      <c r="C29" s="21" t="str">
        <f>Source!G28</f>
        <v>Демонтаж // Облицовка ступеней керамогранитными плитками толщиной до 15 мм</v>
      </c>
      <c r="D29" s="23" t="str">
        <f>Source!H28</f>
        <v>100 м2</v>
      </c>
      <c r="E29" s="13">
        <f>Source!I28</f>
        <v>0.40699999999999997</v>
      </c>
      <c r="F29" s="14">
        <f>Source!AL28+Source!AM28+Source!AO28</f>
        <v>3682.3199999999997</v>
      </c>
      <c r="G29" s="24"/>
      <c r="H29" s="14"/>
      <c r="I29" s="24" t="str">
        <f>Source!BO28</f>
        <v/>
      </c>
      <c r="J29" s="14"/>
      <c r="R29">
        <f>ROUND((Source!FX28/100)*((ROUND(Source!AF28*Source!I28, 2)+ROUND(Source!AE28*Source!I28, 2))), 2)</f>
        <v>1366.15</v>
      </c>
      <c r="S29">
        <f>Source!X28</f>
        <v>38169.96</v>
      </c>
      <c r="T29">
        <f>ROUND((Source!FY28/100)*((ROUND(Source!AF28*Source!I28, 2)+ROUND(Source!AE28*Source!I28, 2))), 2)</f>
        <v>669.41</v>
      </c>
      <c r="U29">
        <f>Source!Y28</f>
        <v>18703.28</v>
      </c>
    </row>
    <row r="30" spans="1:21" ht="14.25" x14ac:dyDescent="0.2">
      <c r="A30" s="21"/>
      <c r="B30" s="21"/>
      <c r="C30" s="21" t="s">
        <v>583</v>
      </c>
      <c r="D30" s="23"/>
      <c r="E30" s="13"/>
      <c r="F30" s="14">
        <f>Source!AO28</f>
        <v>3471.6</v>
      </c>
      <c r="G30" s="24" t="str">
        <f>Source!DG28</f>
        <v>)*0,8)*1,2</v>
      </c>
      <c r="H30" s="14">
        <f>ROUND(Source!AF28*Source!I28, 2)</f>
        <v>1356.43</v>
      </c>
      <c r="I30" s="24">
        <f>IF(Source!BA28&lt;&gt; 0, Source!BA28, 1)</f>
        <v>27.94</v>
      </c>
      <c r="J30" s="14">
        <f>Source!S28</f>
        <v>37898.519999999997</v>
      </c>
      <c r="Q30">
        <f>ROUND(Source!AF28*Source!I28, 2)</f>
        <v>1356.43</v>
      </c>
    </row>
    <row r="31" spans="1:21" ht="14.25" x14ac:dyDescent="0.2">
      <c r="A31" s="21"/>
      <c r="B31" s="21"/>
      <c r="C31" s="21" t="s">
        <v>584</v>
      </c>
      <c r="D31" s="23"/>
      <c r="E31" s="13"/>
      <c r="F31" s="14">
        <f>Source!AM28</f>
        <v>72.849999999999994</v>
      </c>
      <c r="G31" s="24" t="str">
        <f>Source!DE28</f>
        <v>)*0,8)*1,2</v>
      </c>
      <c r="H31" s="14">
        <f>ROUND((((((Source!ET28*0.8)*1.2))-(((Source!EU28*0.8)*1.2)))+Source!AE28)*Source!I28, 2)</f>
        <v>28.47</v>
      </c>
      <c r="I31" s="24">
        <f>IF(Source!BB28&lt;&gt; 0, Source!BB28, 1)</f>
        <v>11.05</v>
      </c>
      <c r="J31" s="14">
        <f>Source!Q28</f>
        <v>314.58</v>
      </c>
    </row>
    <row r="32" spans="1:21" ht="14.25" x14ac:dyDescent="0.2">
      <c r="A32" s="21"/>
      <c r="B32" s="21"/>
      <c r="C32" s="21" t="s">
        <v>585</v>
      </c>
      <c r="D32" s="23"/>
      <c r="E32" s="13"/>
      <c r="F32" s="14">
        <f>Source!AN28</f>
        <v>24.86</v>
      </c>
      <c r="G32" s="24" t="str">
        <f>Source!DF28</f>
        <v>)*0,8)*1,2</v>
      </c>
      <c r="H32" s="25">
        <f>ROUND(Source!AE28*Source!I28, 2)</f>
        <v>9.7200000000000006</v>
      </c>
      <c r="I32" s="24">
        <f>IF(Source!BS28&lt;&gt; 0, Source!BS28, 1)</f>
        <v>27.94</v>
      </c>
      <c r="J32" s="25">
        <f>Source!R28</f>
        <v>271.44</v>
      </c>
      <c r="Q32">
        <f>ROUND(Source!AE28*Source!I28, 2)</f>
        <v>9.7200000000000006</v>
      </c>
    </row>
    <row r="33" spans="1:21" ht="14.25" x14ac:dyDescent="0.2">
      <c r="A33" s="21"/>
      <c r="B33" s="21"/>
      <c r="C33" s="21" t="s">
        <v>586</v>
      </c>
      <c r="D33" s="23" t="s">
        <v>587</v>
      </c>
      <c r="E33" s="13">
        <f>Source!BZ28</f>
        <v>100</v>
      </c>
      <c r="F33" s="14"/>
      <c r="G33" s="24"/>
      <c r="H33" s="14">
        <f>SUM(R29:R32)</f>
        <v>1366.15</v>
      </c>
      <c r="I33" s="24">
        <f>Source!AT28</f>
        <v>100</v>
      </c>
      <c r="J33" s="14">
        <f>SUM(S29:S32)</f>
        <v>38169.96</v>
      </c>
    </row>
    <row r="34" spans="1:21" ht="14.25" x14ac:dyDescent="0.2">
      <c r="A34" s="21"/>
      <c r="B34" s="21"/>
      <c r="C34" s="21" t="s">
        <v>588</v>
      </c>
      <c r="D34" s="23" t="s">
        <v>587</v>
      </c>
      <c r="E34" s="13">
        <f>Source!CA28</f>
        <v>49</v>
      </c>
      <c r="F34" s="14"/>
      <c r="G34" s="24"/>
      <c r="H34" s="14">
        <f>SUM(T29:T33)</f>
        <v>669.41</v>
      </c>
      <c r="I34" s="24">
        <f>Source!AU28</f>
        <v>49</v>
      </c>
      <c r="J34" s="14">
        <f>SUM(U29:U33)</f>
        <v>18703.28</v>
      </c>
    </row>
    <row r="35" spans="1:21" ht="14.25" x14ac:dyDescent="0.2">
      <c r="A35" s="29"/>
      <c r="B35" s="29"/>
      <c r="C35" s="29" t="s">
        <v>589</v>
      </c>
      <c r="D35" s="30" t="s">
        <v>590</v>
      </c>
      <c r="E35" s="31">
        <f>Source!AQ28</f>
        <v>378.17</v>
      </c>
      <c r="F35" s="32"/>
      <c r="G35" s="33" t="str">
        <f>Source!DI28</f>
        <v>)*0,8)*1,2</v>
      </c>
      <c r="H35" s="32">
        <f>Source!U28</f>
        <v>147.75858239999999</v>
      </c>
      <c r="I35" s="33"/>
      <c r="J35" s="32"/>
    </row>
    <row r="36" spans="1:21" ht="15" x14ac:dyDescent="0.25">
      <c r="C36" s="27" t="s">
        <v>591</v>
      </c>
      <c r="G36" s="71">
        <f>ROUND(Source!AC28*Source!I28, 2)+ROUND(Source!AF28*Source!I28, 2)+ROUND((((((Source!ET28*0.8)*1.2))-(((Source!EU28*0.8)*1.2)))+Source!AE28)*Source!I28, 2)+SUM(H33:H34)</f>
        <v>3420.46</v>
      </c>
      <c r="H36" s="71"/>
      <c r="I36" s="71">
        <f>Source!P28+Source!Q28+Source!S28+SUM(J33:J34)</f>
        <v>95086.34</v>
      </c>
      <c r="J36" s="71"/>
      <c r="O36" s="28">
        <f>G36</f>
        <v>3420.46</v>
      </c>
      <c r="P36" s="28">
        <f>I36</f>
        <v>95086.34</v>
      </c>
    </row>
    <row r="37" spans="1:21" ht="71.25" x14ac:dyDescent="0.2">
      <c r="A37" s="21">
        <v>2</v>
      </c>
      <c r="B37" s="21" t="str">
        <f>Source!F29</f>
        <v>09-03-022-04</v>
      </c>
      <c r="C37" s="21" t="str">
        <f>Source!G29</f>
        <v>Демонтаж // Монтаж оконных фонарных покрытий из поликарбонатных и акриловых плит с боковыми планками, профилями и резиновыми прокладками // Прим. к навесу крыльца</v>
      </c>
      <c r="D37" s="23" t="str">
        <f>Source!H29</f>
        <v>100 м2</v>
      </c>
      <c r="E37" s="13">
        <f>Source!I29</f>
        <v>0.192</v>
      </c>
      <c r="F37" s="14">
        <f>Source!AL29+Source!AM29+Source!AO29</f>
        <v>3283.4900000000002</v>
      </c>
      <c r="G37" s="24"/>
      <c r="H37" s="14"/>
      <c r="I37" s="24" t="str">
        <f>Source!BO29</f>
        <v/>
      </c>
      <c r="J37" s="14"/>
      <c r="R37">
        <f>ROUND((Source!FX29/100)*((ROUND(Source!AF29*Source!I29, 2)+ROUND(Source!AE29*Source!I29, 2))), 2)</f>
        <v>224.72</v>
      </c>
      <c r="S37">
        <f>Source!X29</f>
        <v>6278.51</v>
      </c>
      <c r="T37">
        <f>ROUND((Source!FY29/100)*((ROUND(Source!AF29*Source!I29, 2)+ROUND(Source!AE29*Source!I29, 2))), 2)</f>
        <v>149.81</v>
      </c>
      <c r="U37">
        <f>Source!Y29</f>
        <v>4185.68</v>
      </c>
    </row>
    <row r="38" spans="1:21" ht="14.25" x14ac:dyDescent="0.2">
      <c r="A38" s="21"/>
      <c r="B38" s="21"/>
      <c r="C38" s="21" t="s">
        <v>583</v>
      </c>
      <c r="D38" s="23"/>
      <c r="E38" s="13"/>
      <c r="F38" s="14">
        <f>Source!AO29</f>
        <v>1062.29</v>
      </c>
      <c r="G38" s="24" t="str">
        <f>Source!DG29</f>
        <v>)*0,8)*1,2</v>
      </c>
      <c r="H38" s="14">
        <f>ROUND(Source!AF29*Source!I29, 2)</f>
        <v>195.8</v>
      </c>
      <c r="I38" s="24">
        <f>IF(Source!BA29&lt;&gt; 0, Source!BA29, 1)</f>
        <v>27.94</v>
      </c>
      <c r="J38" s="14">
        <f>Source!S29</f>
        <v>5470.7</v>
      </c>
      <c r="Q38">
        <f>ROUND(Source!AF29*Source!I29, 2)</f>
        <v>195.8</v>
      </c>
    </row>
    <row r="39" spans="1:21" ht="14.25" x14ac:dyDescent="0.2">
      <c r="A39" s="21"/>
      <c r="B39" s="21"/>
      <c r="C39" s="21" t="s">
        <v>584</v>
      </c>
      <c r="D39" s="23"/>
      <c r="E39" s="13"/>
      <c r="F39" s="14">
        <f>Source!AM29</f>
        <v>2187.15</v>
      </c>
      <c r="G39" s="24" t="str">
        <f>Source!DE29</f>
        <v>)*0,8)*1,2</v>
      </c>
      <c r="H39" s="14">
        <f>ROUND((((((Source!ET29*0.8)*1.2))-(((Source!EU29*0.8)*1.2)))+Source!AE29)*Source!I29, 2)</f>
        <v>403.13</v>
      </c>
      <c r="I39" s="24">
        <f>IF(Source!BB29&lt;&gt; 0, Source!BB29, 1)</f>
        <v>11.05</v>
      </c>
      <c r="J39" s="14">
        <f>Source!Q29</f>
        <v>4454.62</v>
      </c>
    </row>
    <row r="40" spans="1:21" ht="14.25" x14ac:dyDescent="0.2">
      <c r="A40" s="21"/>
      <c r="B40" s="21"/>
      <c r="C40" s="21" t="s">
        <v>585</v>
      </c>
      <c r="D40" s="23"/>
      <c r="E40" s="13"/>
      <c r="F40" s="14">
        <f>Source!AN29</f>
        <v>248.63</v>
      </c>
      <c r="G40" s="24" t="str">
        <f>Source!DF29</f>
        <v>)*0,8)*1,2</v>
      </c>
      <c r="H40" s="25">
        <f>ROUND(Source!AE29*Source!I29, 2)</f>
        <v>45.83</v>
      </c>
      <c r="I40" s="24">
        <f>IF(Source!BS29&lt;&gt; 0, Source!BS29, 1)</f>
        <v>27.94</v>
      </c>
      <c r="J40" s="25">
        <f>Source!R29</f>
        <v>1280.3900000000001</v>
      </c>
      <c r="Q40">
        <f>ROUND(Source!AE29*Source!I29, 2)</f>
        <v>45.83</v>
      </c>
    </row>
    <row r="41" spans="1:21" ht="14.25" x14ac:dyDescent="0.2">
      <c r="A41" s="21"/>
      <c r="B41" s="21"/>
      <c r="C41" s="21" t="s">
        <v>586</v>
      </c>
      <c r="D41" s="23" t="s">
        <v>587</v>
      </c>
      <c r="E41" s="13">
        <f>Source!BZ29</f>
        <v>93</v>
      </c>
      <c r="F41" s="14"/>
      <c r="G41" s="24"/>
      <c r="H41" s="14">
        <f>SUM(R37:R40)</f>
        <v>224.72</v>
      </c>
      <c r="I41" s="24">
        <f>Source!AT29</f>
        <v>93</v>
      </c>
      <c r="J41" s="14">
        <f>SUM(S37:S40)</f>
        <v>6278.51</v>
      </c>
    </row>
    <row r="42" spans="1:21" ht="14.25" x14ac:dyDescent="0.2">
      <c r="A42" s="21"/>
      <c r="B42" s="21"/>
      <c r="C42" s="21" t="s">
        <v>588</v>
      </c>
      <c r="D42" s="23" t="s">
        <v>587</v>
      </c>
      <c r="E42" s="13">
        <f>Source!CA29</f>
        <v>62</v>
      </c>
      <c r="F42" s="14"/>
      <c r="G42" s="24"/>
      <c r="H42" s="14">
        <f>SUM(T37:T41)</f>
        <v>149.81</v>
      </c>
      <c r="I42" s="24">
        <f>Source!AU29</f>
        <v>62</v>
      </c>
      <c r="J42" s="14">
        <f>SUM(U37:U41)</f>
        <v>4185.68</v>
      </c>
    </row>
    <row r="43" spans="1:21" ht="14.25" x14ac:dyDescent="0.2">
      <c r="A43" s="29"/>
      <c r="B43" s="29"/>
      <c r="C43" s="29" t="s">
        <v>589</v>
      </c>
      <c r="D43" s="30" t="s">
        <v>590</v>
      </c>
      <c r="E43" s="31">
        <f>Source!AQ29</f>
        <v>113.01</v>
      </c>
      <c r="F43" s="32"/>
      <c r="G43" s="33" t="str">
        <f>Source!DI29</f>
        <v>)*0,8)*1,2</v>
      </c>
      <c r="H43" s="32">
        <f>Source!U29</f>
        <v>20.830003200000004</v>
      </c>
      <c r="I43" s="33"/>
      <c r="J43" s="32"/>
    </row>
    <row r="44" spans="1:21" ht="15" x14ac:dyDescent="0.25">
      <c r="C44" s="27" t="s">
        <v>591</v>
      </c>
      <c r="G44" s="71">
        <f>ROUND(Source!AC29*Source!I29, 2)+ROUND(Source!AF29*Source!I29, 2)+ROUND((((((Source!ET29*0.8)*1.2))-(((Source!EU29*0.8)*1.2)))+Source!AE29)*Source!I29, 2)+SUM(H41:H42)</f>
        <v>973.46</v>
      </c>
      <c r="H44" s="71"/>
      <c r="I44" s="71">
        <f>Source!P29+Source!Q29+Source!S29+SUM(J41:J42)</f>
        <v>20389.510000000002</v>
      </c>
      <c r="J44" s="71"/>
      <c r="O44" s="28">
        <f>G44</f>
        <v>973.46</v>
      </c>
      <c r="P44" s="28">
        <f>I44</f>
        <v>20389.510000000002</v>
      </c>
    </row>
    <row r="45" spans="1:21" ht="42.75" x14ac:dyDescent="0.2">
      <c r="A45" s="21">
        <v>3</v>
      </c>
      <c r="B45" s="21" t="str">
        <f>Source!F30</f>
        <v>12-01-035-01</v>
      </c>
      <c r="C45" s="21" t="str">
        <f>Source!G30</f>
        <v>Демонтаж // Устройство металлической водосточной системы: колен</v>
      </c>
      <c r="D45" s="23" t="str">
        <f>Source!H30</f>
        <v>ШТ</v>
      </c>
      <c r="E45" s="13">
        <f>Source!I30</f>
        <v>2</v>
      </c>
      <c r="F45" s="14">
        <f>Source!AL30+Source!AM30+Source!AO30</f>
        <v>1.1499999999999999</v>
      </c>
      <c r="G45" s="24"/>
      <c r="H45" s="14"/>
      <c r="I45" s="24" t="str">
        <f>Source!BO30</f>
        <v/>
      </c>
      <c r="J45" s="14"/>
      <c r="R45">
        <f>ROUND((Source!FX30/100)*((ROUND(Source!AF30*Source!I30, 2)+ROUND(Source!AE30*Source!I30, 2))), 2)</f>
        <v>2.4</v>
      </c>
      <c r="S45">
        <f>Source!X30</f>
        <v>67</v>
      </c>
      <c r="T45">
        <f>ROUND((Source!FY30/100)*((ROUND(Source!AF30*Source!I30, 2)+ROUND(Source!AE30*Source!I30, 2))), 2)</f>
        <v>1.25</v>
      </c>
      <c r="U45">
        <f>Source!Y30</f>
        <v>35.04</v>
      </c>
    </row>
    <row r="46" spans="1:21" ht="14.25" x14ac:dyDescent="0.2">
      <c r="A46" s="21"/>
      <c r="B46" s="21"/>
      <c r="C46" s="21" t="s">
        <v>583</v>
      </c>
      <c r="D46" s="23"/>
      <c r="E46" s="13"/>
      <c r="F46" s="14">
        <f>Source!AO30</f>
        <v>1.1499999999999999</v>
      </c>
      <c r="G46" s="24" t="str">
        <f>Source!DG30</f>
        <v>)*0,8)*1,2</v>
      </c>
      <c r="H46" s="14">
        <f>ROUND(Source!AF30*Source!I30, 2)</f>
        <v>2.2000000000000002</v>
      </c>
      <c r="I46" s="24">
        <f>IF(Source!BA30&lt;&gt; 0, Source!BA30, 1)</f>
        <v>27.94</v>
      </c>
      <c r="J46" s="14">
        <f>Source!S30</f>
        <v>61.47</v>
      </c>
      <c r="Q46">
        <f>ROUND(Source!AF30*Source!I30, 2)</f>
        <v>2.2000000000000002</v>
      </c>
    </row>
    <row r="47" spans="1:21" ht="14.25" x14ac:dyDescent="0.2">
      <c r="A47" s="21"/>
      <c r="B47" s="21"/>
      <c r="C47" s="21" t="s">
        <v>586</v>
      </c>
      <c r="D47" s="23" t="s">
        <v>587</v>
      </c>
      <c r="E47" s="13">
        <f>Source!BZ30</f>
        <v>109</v>
      </c>
      <c r="F47" s="14"/>
      <c r="G47" s="24"/>
      <c r="H47" s="14">
        <f>SUM(R45:R46)</f>
        <v>2.4</v>
      </c>
      <c r="I47" s="24">
        <f>Source!AT30</f>
        <v>109</v>
      </c>
      <c r="J47" s="14">
        <f>SUM(S45:S46)</f>
        <v>67</v>
      </c>
    </row>
    <row r="48" spans="1:21" ht="14.25" x14ac:dyDescent="0.2">
      <c r="A48" s="21"/>
      <c r="B48" s="21"/>
      <c r="C48" s="21" t="s">
        <v>588</v>
      </c>
      <c r="D48" s="23" t="s">
        <v>587</v>
      </c>
      <c r="E48" s="13">
        <f>Source!CA30</f>
        <v>57</v>
      </c>
      <c r="F48" s="14"/>
      <c r="G48" s="24"/>
      <c r="H48" s="14">
        <f>SUM(T45:T47)</f>
        <v>1.25</v>
      </c>
      <c r="I48" s="24">
        <f>Source!AU30</f>
        <v>57</v>
      </c>
      <c r="J48" s="14">
        <f>SUM(U45:U47)</f>
        <v>35.04</v>
      </c>
    </row>
    <row r="49" spans="1:21" ht="14.25" x14ac:dyDescent="0.2">
      <c r="A49" s="29"/>
      <c r="B49" s="29"/>
      <c r="C49" s="29" t="s">
        <v>589</v>
      </c>
      <c r="D49" s="30" t="s">
        <v>590</v>
      </c>
      <c r="E49" s="31">
        <f>Source!AQ30</f>
        <v>0.12</v>
      </c>
      <c r="F49" s="32"/>
      <c r="G49" s="33" t="str">
        <f>Source!DI30</f>
        <v>)*0,8)*1,2</v>
      </c>
      <c r="H49" s="32">
        <f>Source!U30</f>
        <v>0.23039999999999999</v>
      </c>
      <c r="I49" s="33"/>
      <c r="J49" s="32"/>
    </row>
    <row r="50" spans="1:21" ht="15" x14ac:dyDescent="0.25">
      <c r="C50" s="27" t="s">
        <v>591</v>
      </c>
      <c r="G50" s="71">
        <f>ROUND(Source!AC30*Source!I30, 2)+ROUND(Source!AF30*Source!I30, 2)+ROUND((((((Source!ET30*0.8)*1.2))-(((Source!EU30*0.8)*1.2)))+Source!AE30)*Source!I30, 2)+SUM(H47:H48)</f>
        <v>5.85</v>
      </c>
      <c r="H50" s="71"/>
      <c r="I50" s="71">
        <f>Source!P30+Source!Q30+Source!S30+SUM(J47:J48)</f>
        <v>163.51</v>
      </c>
      <c r="J50" s="71"/>
      <c r="O50" s="28">
        <f>G50</f>
        <v>5.85</v>
      </c>
      <c r="P50" s="28">
        <f>I50</f>
        <v>163.51</v>
      </c>
    </row>
    <row r="51" spans="1:21" ht="42.75" x14ac:dyDescent="0.2">
      <c r="A51" s="21">
        <v>4</v>
      </c>
      <c r="B51" s="21" t="str">
        <f>Source!F31</f>
        <v>27-07-005-05</v>
      </c>
      <c r="C51" s="21" t="str">
        <f>Source!G31</f>
        <v>Резка тротуарной плитки толщиной 70 мм: угловой шлифовальной машинкой // Для устройства водостока</v>
      </c>
      <c r="D51" s="23" t="str">
        <f>Source!H31</f>
        <v>м реза</v>
      </c>
      <c r="E51" s="13">
        <f>Source!I31</f>
        <v>50</v>
      </c>
      <c r="F51" s="14">
        <f>Source!AL31+Source!AM31+Source!AO31</f>
        <v>16</v>
      </c>
      <c r="G51" s="24"/>
      <c r="H51" s="14"/>
      <c r="I51" s="24" t="str">
        <f>Source!BO31</f>
        <v/>
      </c>
      <c r="J51" s="14"/>
      <c r="R51">
        <f>ROUND((Source!FX31/100)*((ROUND(Source!AF31*Source!I31, 2)+ROUND(Source!AE31*Source!I31, 2))), 2)</f>
        <v>442.96</v>
      </c>
      <c r="S51">
        <f>Source!X31</f>
        <v>12376.3</v>
      </c>
      <c r="T51">
        <f>ROUND((Source!FY31/100)*((ROUND(Source!AF31*Source!I31, 2)+ROUND(Source!AE31*Source!I31, 2))), 2)</f>
        <v>256.56</v>
      </c>
      <c r="U51">
        <f>Source!Y31</f>
        <v>7168.4</v>
      </c>
    </row>
    <row r="52" spans="1:21" ht="14.25" x14ac:dyDescent="0.2">
      <c r="A52" s="21"/>
      <c r="B52" s="21"/>
      <c r="C52" s="21" t="s">
        <v>583</v>
      </c>
      <c r="D52" s="23"/>
      <c r="E52" s="13"/>
      <c r="F52" s="14">
        <f>Source!AO31</f>
        <v>5.68</v>
      </c>
      <c r="G52" s="24" t="str">
        <f>Source!DG31</f>
        <v>)*1,15)*1,2</v>
      </c>
      <c r="H52" s="14">
        <f>ROUND(Source!AF31*Source!I31, 2)</f>
        <v>392</v>
      </c>
      <c r="I52" s="24">
        <f>IF(Source!BA31&lt;&gt; 0, Source!BA31, 1)</f>
        <v>27.94</v>
      </c>
      <c r="J52" s="14">
        <f>Source!S31</f>
        <v>10952.48</v>
      </c>
      <c r="Q52">
        <f>ROUND(Source!AF31*Source!I31, 2)</f>
        <v>392</v>
      </c>
    </row>
    <row r="53" spans="1:21" ht="14.25" x14ac:dyDescent="0.2">
      <c r="A53" s="21"/>
      <c r="B53" s="21"/>
      <c r="C53" s="21" t="s">
        <v>592</v>
      </c>
      <c r="D53" s="23"/>
      <c r="E53" s="13"/>
      <c r="F53" s="14">
        <f>Source!AL31</f>
        <v>10.32</v>
      </c>
      <c r="G53" s="24" t="str">
        <f>Source!DD31</f>
        <v/>
      </c>
      <c r="H53" s="14">
        <f>ROUND(Source!AC31*Source!I31, 2)</f>
        <v>516</v>
      </c>
      <c r="I53" s="24">
        <f>IF(Source!BC31&lt;&gt; 0, Source!BC31, 1)</f>
        <v>7.99</v>
      </c>
      <c r="J53" s="14">
        <f>Source!P31</f>
        <v>4122.84</v>
      </c>
    </row>
    <row r="54" spans="1:21" ht="14.25" x14ac:dyDescent="0.2">
      <c r="A54" s="21"/>
      <c r="B54" s="21"/>
      <c r="C54" s="21" t="s">
        <v>586</v>
      </c>
      <c r="D54" s="23" t="s">
        <v>587</v>
      </c>
      <c r="E54" s="13">
        <f>Source!BZ31</f>
        <v>113</v>
      </c>
      <c r="F54" s="14"/>
      <c r="G54" s="24"/>
      <c r="H54" s="14">
        <f>SUM(R51:R53)</f>
        <v>442.96</v>
      </c>
      <c r="I54" s="24">
        <f>Source!AT31</f>
        <v>113</v>
      </c>
      <c r="J54" s="14">
        <f>SUM(S51:S53)</f>
        <v>12376.3</v>
      </c>
    </row>
    <row r="55" spans="1:21" ht="14.25" x14ac:dyDescent="0.2">
      <c r="A55" s="21"/>
      <c r="B55" s="21"/>
      <c r="C55" s="21" t="s">
        <v>588</v>
      </c>
      <c r="D55" s="23" t="s">
        <v>587</v>
      </c>
      <c r="E55" s="13">
        <f>Source!CA31</f>
        <v>77</v>
      </c>
      <c r="F55" s="73" t="str">
        <f>CONCATENATE(" )", Source!DM31, Source!FU31, "=", Source!FY31, "%")</f>
        <v xml:space="preserve"> )*0.85=65,45%</v>
      </c>
      <c r="G55" s="73"/>
      <c r="H55" s="14">
        <f>SUM(T51:T54)</f>
        <v>256.56</v>
      </c>
      <c r="I55" s="24">
        <f>Source!AU31</f>
        <v>65.45</v>
      </c>
      <c r="J55" s="14">
        <f>SUM(U51:U54)</f>
        <v>7168.4</v>
      </c>
    </row>
    <row r="56" spans="1:21" ht="14.25" x14ac:dyDescent="0.2">
      <c r="A56" s="29"/>
      <c r="B56" s="29"/>
      <c r="C56" s="29" t="s">
        <v>589</v>
      </c>
      <c r="D56" s="30" t="s">
        <v>590</v>
      </c>
      <c r="E56" s="31">
        <f>Source!AQ31</f>
        <v>0.59</v>
      </c>
      <c r="F56" s="32"/>
      <c r="G56" s="33" t="str">
        <f>Source!DI31</f>
        <v>)*1,15)*1,2</v>
      </c>
      <c r="H56" s="32">
        <f>Source!U31</f>
        <v>40.709999999999994</v>
      </c>
      <c r="I56" s="33"/>
      <c r="J56" s="32"/>
    </row>
    <row r="57" spans="1:21" ht="15" x14ac:dyDescent="0.25">
      <c r="C57" s="27" t="s">
        <v>591</v>
      </c>
      <c r="G57" s="71">
        <f>ROUND(Source!AC31*Source!I31, 2)+ROUND(Source!AF31*Source!I31, 2)+ROUND((((((Source!ET31*1.25)*1.2))-(((Source!EU31*1.25)*1.2)))+Source!AE31)*Source!I31, 2)+SUM(H54:H55)</f>
        <v>1607.52</v>
      </c>
      <c r="H57" s="71"/>
      <c r="I57" s="71">
        <f>Source!P31+Source!Q31+Source!S31+SUM(J54:J55)</f>
        <v>34620.019999999997</v>
      </c>
      <c r="J57" s="71"/>
      <c r="O57" s="28">
        <f>G57</f>
        <v>1607.52</v>
      </c>
      <c r="P57" s="28">
        <f>I57</f>
        <v>34620.019999999997</v>
      </c>
    </row>
    <row r="58" spans="1:21" ht="42.75" x14ac:dyDescent="0.2">
      <c r="A58" s="21">
        <v>5</v>
      </c>
      <c r="B58" s="21" t="str">
        <f>Source!F32</f>
        <v>46-03-012-01</v>
      </c>
      <c r="C58" s="21" t="str">
        <f>Source!G32</f>
        <v>Пробивка в бетонных конструкциях полов и стен борозд площадью сечения: до 20 см2</v>
      </c>
      <c r="D58" s="23" t="str">
        <f>Source!H32</f>
        <v>100 м</v>
      </c>
      <c r="E58" s="13">
        <f>Source!I32</f>
        <v>0.02</v>
      </c>
      <c r="F58" s="14">
        <f>Source!AL32+Source!AM32+Source!AO32</f>
        <v>606.55999999999995</v>
      </c>
      <c r="G58" s="24"/>
      <c r="H58" s="14"/>
      <c r="I58" s="24" t="str">
        <f>Source!BO32</f>
        <v/>
      </c>
      <c r="J58" s="14"/>
      <c r="R58">
        <f>ROUND((Source!FX32/100)*((ROUND(Source!AF32*Source!I32, 2)+ROUND(Source!AE32*Source!I32, 2))), 2)</f>
        <v>4.6900000000000004</v>
      </c>
      <c r="S58">
        <f>Source!X32</f>
        <v>130.88</v>
      </c>
      <c r="T58">
        <f>ROUND((Source!FY32/100)*((ROUND(Source!AF32*Source!I32, 2)+ROUND(Source!AE32*Source!I32, 2))), 2)</f>
        <v>2.68</v>
      </c>
      <c r="U58">
        <f>Source!Y32</f>
        <v>74.97</v>
      </c>
    </row>
    <row r="59" spans="1:21" x14ac:dyDescent="0.2">
      <c r="C59" s="34" t="str">
        <f>"Объем: "&amp;Source!I32&amp;"=2/"&amp;"100"</f>
        <v>Объем: 0,02=2/100</v>
      </c>
    </row>
    <row r="60" spans="1:21" ht="14.25" x14ac:dyDescent="0.2">
      <c r="A60" s="21"/>
      <c r="B60" s="21"/>
      <c r="C60" s="21" t="s">
        <v>583</v>
      </c>
      <c r="D60" s="23"/>
      <c r="E60" s="13"/>
      <c r="F60" s="14">
        <f>Source!AO32</f>
        <v>227.39</v>
      </c>
      <c r="G60" s="24" t="str">
        <f>Source!DG32</f>
        <v/>
      </c>
      <c r="H60" s="14">
        <f>ROUND(Source!AF32*Source!I32, 2)</f>
        <v>4.55</v>
      </c>
      <c r="I60" s="24">
        <f>IF(Source!BA32&lt;&gt; 0, Source!BA32, 1)</f>
        <v>27.94</v>
      </c>
      <c r="J60" s="14">
        <f>Source!S32</f>
        <v>127.07</v>
      </c>
      <c r="Q60">
        <f>ROUND(Source!AF32*Source!I32, 2)</f>
        <v>4.55</v>
      </c>
    </row>
    <row r="61" spans="1:21" ht="14.25" x14ac:dyDescent="0.2">
      <c r="A61" s="21"/>
      <c r="B61" s="21"/>
      <c r="C61" s="21" t="s">
        <v>584</v>
      </c>
      <c r="D61" s="23"/>
      <c r="E61" s="13"/>
      <c r="F61" s="14">
        <f>Source!AM32</f>
        <v>379.17</v>
      </c>
      <c r="G61" s="24" t="str">
        <f>Source!DE32</f>
        <v/>
      </c>
      <c r="H61" s="14">
        <f>ROUND((((Source!ET32)-(Source!EU32))+Source!AE32)*Source!I32, 2)</f>
        <v>7.58</v>
      </c>
      <c r="I61" s="24">
        <f>IF(Source!BB32&lt;&gt; 0, Source!BB32, 1)</f>
        <v>11.05</v>
      </c>
      <c r="J61" s="14">
        <f>Source!Q32</f>
        <v>83.8</v>
      </c>
    </row>
    <row r="62" spans="1:21" ht="14.25" x14ac:dyDescent="0.2">
      <c r="A62" s="21"/>
      <c r="B62" s="21"/>
      <c r="C62" s="21" t="s">
        <v>586</v>
      </c>
      <c r="D62" s="23" t="s">
        <v>587</v>
      </c>
      <c r="E62" s="13">
        <f>Source!BZ32</f>
        <v>103</v>
      </c>
      <c r="F62" s="14"/>
      <c r="G62" s="24"/>
      <c r="H62" s="14">
        <f>SUM(R58:R61)</f>
        <v>4.6900000000000004</v>
      </c>
      <c r="I62" s="24">
        <f>Source!AT32</f>
        <v>103</v>
      </c>
      <c r="J62" s="14">
        <f>SUM(S58:S61)</f>
        <v>130.88</v>
      </c>
    </row>
    <row r="63" spans="1:21" ht="14.25" x14ac:dyDescent="0.2">
      <c r="A63" s="21"/>
      <c r="B63" s="21"/>
      <c r="C63" s="21" t="s">
        <v>588</v>
      </c>
      <c r="D63" s="23" t="s">
        <v>587</v>
      </c>
      <c r="E63" s="13">
        <f>Source!CA32</f>
        <v>59</v>
      </c>
      <c r="F63" s="14"/>
      <c r="G63" s="24"/>
      <c r="H63" s="14">
        <f>SUM(T58:T62)</f>
        <v>2.68</v>
      </c>
      <c r="I63" s="24">
        <f>Source!AU32</f>
        <v>59</v>
      </c>
      <c r="J63" s="14">
        <f>SUM(U58:U62)</f>
        <v>74.97</v>
      </c>
    </row>
    <row r="64" spans="1:21" ht="14.25" x14ac:dyDescent="0.2">
      <c r="A64" s="29"/>
      <c r="B64" s="29"/>
      <c r="C64" s="29" t="s">
        <v>589</v>
      </c>
      <c r="D64" s="30" t="s">
        <v>590</v>
      </c>
      <c r="E64" s="31">
        <f>Source!AQ32</f>
        <v>24.19</v>
      </c>
      <c r="F64" s="32"/>
      <c r="G64" s="33" t="str">
        <f>Source!DI32</f>
        <v/>
      </c>
      <c r="H64" s="32">
        <f>Source!U32</f>
        <v>0.48380000000000006</v>
      </c>
      <c r="I64" s="33"/>
      <c r="J64" s="32"/>
    </row>
    <row r="65" spans="1:21" ht="15" x14ac:dyDescent="0.25">
      <c r="C65" s="27" t="s">
        <v>591</v>
      </c>
      <c r="G65" s="71">
        <f>ROUND(Source!AC32*Source!I32, 2)+ROUND(Source!AF32*Source!I32, 2)+ROUND((((Source!ET32)-(Source!EU32))+Source!AE32)*Source!I32, 2)+SUM(H62:H63)</f>
        <v>19.5</v>
      </c>
      <c r="H65" s="71"/>
      <c r="I65" s="71">
        <f>Source!P32+Source!Q32+Source!S32+SUM(J62:J63)</f>
        <v>416.72</v>
      </c>
      <c r="J65" s="71"/>
      <c r="O65" s="28">
        <f>G65</f>
        <v>19.5</v>
      </c>
      <c r="P65" s="28">
        <f>I65</f>
        <v>416.72</v>
      </c>
    </row>
    <row r="67" spans="1:21" ht="15" x14ac:dyDescent="0.25">
      <c r="A67" s="70" t="str">
        <f>CONCATENATE("Итого по разделу: ",IF(Source!G34&lt;&gt;"Новый раздел", Source!G34, ""))</f>
        <v>Итого по разделу: Демонтажные работы</v>
      </c>
      <c r="B67" s="70"/>
      <c r="C67" s="70"/>
      <c r="D67" s="70"/>
      <c r="E67" s="70"/>
      <c r="F67" s="70"/>
      <c r="G67" s="71">
        <f>SUM(O28:O66)</f>
        <v>6026.7900000000009</v>
      </c>
      <c r="H67" s="71"/>
      <c r="I67" s="71">
        <f>SUM(P28:P66)</f>
        <v>150676.1</v>
      </c>
      <c r="J67" s="71"/>
    </row>
    <row r="71" spans="1:21" ht="16.5" x14ac:dyDescent="0.25">
      <c r="A71" s="72" t="str">
        <f>CONCATENATE("Раздел: ",IF(Source!G64&lt;&gt;"Новый раздел", Source!G64, ""))</f>
        <v>Раздел: Строительные работы</v>
      </c>
      <c r="B71" s="72"/>
      <c r="C71" s="72"/>
      <c r="D71" s="72"/>
      <c r="E71" s="72"/>
      <c r="F71" s="72"/>
      <c r="G71" s="72"/>
      <c r="H71" s="72"/>
      <c r="I71" s="72"/>
      <c r="J71" s="72"/>
    </row>
    <row r="72" spans="1:21" ht="42.75" x14ac:dyDescent="0.2">
      <c r="A72" s="21">
        <v>6</v>
      </c>
      <c r="B72" s="21" t="str">
        <f>Source!F68</f>
        <v>16-04-001-03</v>
      </c>
      <c r="C72" s="21" t="str">
        <f>Source!G68</f>
        <v>Прокладка трубопроводов канализации из полиэтиленовых труб высокой плотности диаметром: 160 мм</v>
      </c>
      <c r="D72" s="23" t="str">
        <f>Source!H68</f>
        <v>100 м</v>
      </c>
      <c r="E72" s="13">
        <f>Source!I68</f>
        <v>3.2000000000000001E-2</v>
      </c>
      <c r="F72" s="14">
        <f>Source!AL68+Source!AM68+Source!AO68</f>
        <v>740.98</v>
      </c>
      <c r="G72" s="24"/>
      <c r="H72" s="14"/>
      <c r="I72" s="24" t="str">
        <f>Source!BO68</f>
        <v/>
      </c>
      <c r="J72" s="14"/>
      <c r="R72">
        <f>ROUND((Source!FX68/100)*((ROUND(Source!AF68*Source!I68, 2)+ROUND(Source!AE68*Source!I68, 2))), 2)</f>
        <v>26.92</v>
      </c>
      <c r="S72">
        <f>Source!X68</f>
        <v>752.44</v>
      </c>
      <c r="T72">
        <f>ROUND((Source!FY68/100)*((ROUND(Source!AF68*Source!I68, 2)+ROUND(Source!AE68*Source!I68, 2))), 2)</f>
        <v>13.62</v>
      </c>
      <c r="U72">
        <f>Source!Y68</f>
        <v>380.57</v>
      </c>
    </row>
    <row r="73" spans="1:21" ht="14.25" x14ac:dyDescent="0.2">
      <c r="A73" s="21"/>
      <c r="B73" s="21"/>
      <c r="C73" s="21" t="s">
        <v>583</v>
      </c>
      <c r="D73" s="23"/>
      <c r="E73" s="13"/>
      <c r="F73" s="14">
        <f>Source!AO68</f>
        <v>502.59</v>
      </c>
      <c r="G73" s="24" t="str">
        <f>Source!DG68</f>
        <v>)*1,15)*1,2</v>
      </c>
      <c r="H73" s="14">
        <f>ROUND(Source!AF68*Source!I68, 2)</f>
        <v>22.19</v>
      </c>
      <c r="I73" s="24">
        <f>IF(Source!BA68&lt;&gt; 0, Source!BA68, 1)</f>
        <v>27.94</v>
      </c>
      <c r="J73" s="14">
        <f>Source!S68</f>
        <v>620.11</v>
      </c>
      <c r="Q73">
        <f>ROUND(Source!AF68*Source!I68, 2)</f>
        <v>22.19</v>
      </c>
    </row>
    <row r="74" spans="1:21" ht="14.25" x14ac:dyDescent="0.2">
      <c r="A74" s="21"/>
      <c r="B74" s="21"/>
      <c r="C74" s="21" t="s">
        <v>584</v>
      </c>
      <c r="D74" s="23"/>
      <c r="E74" s="13"/>
      <c r="F74" s="14">
        <f>Source!AM68</f>
        <v>8.89</v>
      </c>
      <c r="G74" s="24" t="str">
        <f>Source!DE68</f>
        <v>)*1,25)*1,2</v>
      </c>
      <c r="H74" s="14">
        <f>ROUND((((((Source!ET68*1.25)*1.2))-(((Source!EU68*1.25)*1.2)))+Source!AE68)*Source!I68, 2)</f>
        <v>0.43</v>
      </c>
      <c r="I74" s="24">
        <f>IF(Source!BB68&lt;&gt; 0, Source!BB68, 1)</f>
        <v>11.05</v>
      </c>
      <c r="J74" s="14">
        <f>Source!Q68</f>
        <v>4.72</v>
      </c>
    </row>
    <row r="75" spans="1:21" ht="14.25" x14ac:dyDescent="0.2">
      <c r="A75" s="21"/>
      <c r="B75" s="21"/>
      <c r="C75" s="21" t="s">
        <v>585</v>
      </c>
      <c r="D75" s="23"/>
      <c r="E75" s="13"/>
      <c r="F75" s="14">
        <f>Source!AN68</f>
        <v>1.3</v>
      </c>
      <c r="G75" s="24" t="str">
        <f>Source!DF68</f>
        <v>)*1,25)*1,2</v>
      </c>
      <c r="H75" s="25">
        <f>ROUND(Source!AE68*Source!I68, 2)</f>
        <v>0.06</v>
      </c>
      <c r="I75" s="24">
        <f>IF(Source!BS68&lt;&gt; 0, Source!BS68, 1)</f>
        <v>27.94</v>
      </c>
      <c r="J75" s="25">
        <f>Source!R68</f>
        <v>1.74</v>
      </c>
      <c r="Q75">
        <f>ROUND(Source!AE68*Source!I68, 2)</f>
        <v>0.06</v>
      </c>
    </row>
    <row r="76" spans="1:21" ht="14.25" x14ac:dyDescent="0.2">
      <c r="A76" s="21"/>
      <c r="B76" s="21"/>
      <c r="C76" s="21" t="s">
        <v>592</v>
      </c>
      <c r="D76" s="23"/>
      <c r="E76" s="13"/>
      <c r="F76" s="14">
        <f>Source!AL68</f>
        <v>229.5</v>
      </c>
      <c r="G76" s="24" t="str">
        <f>Source!DD68</f>
        <v/>
      </c>
      <c r="H76" s="14">
        <f>ROUND(Source!AC68*Source!I68, 2)</f>
        <v>7.34</v>
      </c>
      <c r="I76" s="24">
        <f>IF(Source!BC68&lt;&gt; 0, Source!BC68, 1)</f>
        <v>7.99</v>
      </c>
      <c r="J76" s="14">
        <f>Source!P68</f>
        <v>58.68</v>
      </c>
    </row>
    <row r="77" spans="1:21" ht="14.25" x14ac:dyDescent="0.2">
      <c r="A77" s="21"/>
      <c r="B77" s="21"/>
      <c r="C77" s="21" t="s">
        <v>586</v>
      </c>
      <c r="D77" s="23" t="s">
        <v>587</v>
      </c>
      <c r="E77" s="13">
        <f>Source!BZ68</f>
        <v>121</v>
      </c>
      <c r="F77" s="14"/>
      <c r="G77" s="24"/>
      <c r="H77" s="14">
        <f>SUM(R72:R76)</f>
        <v>26.92</v>
      </c>
      <c r="I77" s="24">
        <f>Source!AT68</f>
        <v>121</v>
      </c>
      <c r="J77" s="14">
        <f>SUM(S72:S76)</f>
        <v>752.44</v>
      </c>
    </row>
    <row r="78" spans="1:21" ht="14.25" x14ac:dyDescent="0.2">
      <c r="A78" s="21"/>
      <c r="B78" s="21"/>
      <c r="C78" s="21" t="s">
        <v>588</v>
      </c>
      <c r="D78" s="23" t="s">
        <v>587</v>
      </c>
      <c r="E78" s="13">
        <f>Source!CA68</f>
        <v>72</v>
      </c>
      <c r="F78" s="73" t="str">
        <f>CONCATENATE(" )", Source!DM68, Source!FU68, "=", Source!FY68, "%")</f>
        <v xml:space="preserve"> )*0.85=61,2%</v>
      </c>
      <c r="G78" s="73"/>
      <c r="H78" s="14">
        <f>SUM(T72:T77)</f>
        <v>13.62</v>
      </c>
      <c r="I78" s="24">
        <f>Source!AU68</f>
        <v>61.2</v>
      </c>
      <c r="J78" s="14">
        <f>SUM(U72:U77)</f>
        <v>380.57</v>
      </c>
    </row>
    <row r="79" spans="1:21" ht="14.25" x14ac:dyDescent="0.2">
      <c r="A79" s="29"/>
      <c r="B79" s="29"/>
      <c r="C79" s="29" t="s">
        <v>589</v>
      </c>
      <c r="D79" s="30" t="s">
        <v>590</v>
      </c>
      <c r="E79" s="31">
        <f>Source!AQ68</f>
        <v>54.1</v>
      </c>
      <c r="F79" s="32"/>
      <c r="G79" s="33" t="str">
        <f>Source!DI68</f>
        <v>)*1,15)*1,2</v>
      </c>
      <c r="H79" s="32">
        <f>Source!U68</f>
        <v>2.3890559999999996</v>
      </c>
      <c r="I79" s="33"/>
      <c r="J79" s="32"/>
    </row>
    <row r="80" spans="1:21" ht="15" x14ac:dyDescent="0.25">
      <c r="C80" s="27" t="s">
        <v>591</v>
      </c>
      <c r="G80" s="71">
        <f>ROUND(Source!AC68*Source!I68, 2)+ROUND(Source!AF68*Source!I68, 2)+ROUND((((((Source!ET68*1.25)*1.2))-(((Source!EU68*1.25)*1.2)))+Source!AE68)*Source!I68, 2)+SUM(H77:H78)</f>
        <v>70.5</v>
      </c>
      <c r="H80" s="71"/>
      <c r="I80" s="71">
        <f>Source!P68+Source!Q68+Source!S68+SUM(J77:J78)</f>
        <v>1816.52</v>
      </c>
      <c r="J80" s="71"/>
      <c r="O80" s="28">
        <f>G80</f>
        <v>70.5</v>
      </c>
      <c r="P80" s="28">
        <f>I80</f>
        <v>1816.52</v>
      </c>
    </row>
    <row r="81" spans="1:21" ht="54" x14ac:dyDescent="0.2">
      <c r="A81" s="29">
        <v>7</v>
      </c>
      <c r="B81" s="29" t="str">
        <f>Source!F69</f>
        <v>Цена поставщика</v>
      </c>
      <c r="C81" s="29" t="s">
        <v>593</v>
      </c>
      <c r="D81" s="30" t="str">
        <f>Source!H69</f>
        <v>м</v>
      </c>
      <c r="E81" s="31">
        <f>Source!I69</f>
        <v>2</v>
      </c>
      <c r="F81" s="32">
        <f>Source!AL69</f>
        <v>52.17</v>
      </c>
      <c r="G81" s="33" t="str">
        <f>Source!DD69</f>
        <v/>
      </c>
      <c r="H81" s="32">
        <f>ROUND(Source!AC69*Source!I69, 2)</f>
        <v>104.34</v>
      </c>
      <c r="I81" s="33">
        <f>IF(Source!BC69&lt;&gt; 0, Source!BC69, 1)</f>
        <v>7.99</v>
      </c>
      <c r="J81" s="32">
        <f>Source!P69</f>
        <v>833.68</v>
      </c>
      <c r="R81">
        <f>ROUND((Source!FX69/100)*((ROUND(Source!AF69*Source!I69, 2)+ROUND(Source!AE69*Source!I69, 2))), 2)</f>
        <v>0</v>
      </c>
      <c r="S81">
        <f>Source!X69</f>
        <v>0</v>
      </c>
      <c r="T81">
        <f>ROUND((Source!FY69/100)*((ROUND(Source!AF69*Source!I69, 2)+ROUND(Source!AE69*Source!I69, 2))), 2)</f>
        <v>0</v>
      </c>
      <c r="U81">
        <f>Source!Y69</f>
        <v>0</v>
      </c>
    </row>
    <row r="82" spans="1:21" ht="15" x14ac:dyDescent="0.25">
      <c r="C82" s="27" t="s">
        <v>591</v>
      </c>
      <c r="G82" s="71">
        <f>ROUND(Source!AC69*Source!I69, 2)+ROUND(Source!AF69*Source!I69, 2)+ROUND((((Source!ET69)-(Source!EU69))+Source!AE69)*Source!I69, 2)</f>
        <v>104.34</v>
      </c>
      <c r="H82" s="71"/>
      <c r="I82" s="71">
        <f>Source!P69+Source!Q69+Source!S69</f>
        <v>833.68</v>
      </c>
      <c r="J82" s="71"/>
      <c r="O82">
        <f>G82</f>
        <v>104.34</v>
      </c>
      <c r="P82">
        <f>I82</f>
        <v>833.68</v>
      </c>
    </row>
    <row r="83" spans="1:21" ht="42.75" x14ac:dyDescent="0.2">
      <c r="A83" s="29">
        <v>8</v>
      </c>
      <c r="B83" s="29" t="str">
        <f>Source!F70</f>
        <v>Цена поставщика</v>
      </c>
      <c r="C83" s="29" t="s">
        <v>594</v>
      </c>
      <c r="D83" s="30" t="str">
        <f>Source!H70</f>
        <v>ШТ</v>
      </c>
      <c r="E83" s="31">
        <f>Source!I70</f>
        <v>6</v>
      </c>
      <c r="F83" s="32">
        <f>Source!AL70</f>
        <v>43.12</v>
      </c>
      <c r="G83" s="33" t="str">
        <f>Source!DD70</f>
        <v/>
      </c>
      <c r="H83" s="32">
        <f>ROUND(Source!AC70*Source!I70, 2)</f>
        <v>258.72000000000003</v>
      </c>
      <c r="I83" s="33">
        <f>IF(Source!BC70&lt;&gt; 0, Source!BC70, 1)</f>
        <v>7.99</v>
      </c>
      <c r="J83" s="32">
        <f>Source!P70</f>
        <v>2067.17</v>
      </c>
      <c r="R83">
        <f>ROUND((Source!FX70/100)*((ROUND(Source!AF70*Source!I70, 2)+ROUND(Source!AE70*Source!I70, 2))), 2)</f>
        <v>0</v>
      </c>
      <c r="S83">
        <f>Source!X70</f>
        <v>0</v>
      </c>
      <c r="T83">
        <f>ROUND((Source!FY70/100)*((ROUND(Source!AF70*Source!I70, 2)+ROUND(Source!AE70*Source!I70, 2))), 2)</f>
        <v>0</v>
      </c>
      <c r="U83">
        <f>Source!Y70</f>
        <v>0</v>
      </c>
    </row>
    <row r="84" spans="1:21" ht="15" x14ac:dyDescent="0.25">
      <c r="C84" s="27" t="s">
        <v>591</v>
      </c>
      <c r="G84" s="71">
        <f>ROUND(Source!AC70*Source!I70, 2)+ROUND(Source!AF70*Source!I70, 2)+ROUND((((Source!ET70)-(Source!EU70))+Source!AE70)*Source!I70, 2)</f>
        <v>258.72000000000003</v>
      </c>
      <c r="H84" s="71"/>
      <c r="I84" s="71">
        <f>Source!P70+Source!Q70+Source!S70</f>
        <v>2067.17</v>
      </c>
      <c r="J84" s="71"/>
      <c r="O84">
        <f>G84</f>
        <v>258.72000000000003</v>
      </c>
      <c r="P84">
        <f>I84</f>
        <v>2067.17</v>
      </c>
    </row>
    <row r="85" spans="1:21" ht="42.75" x14ac:dyDescent="0.2">
      <c r="A85" s="21">
        <v>9</v>
      </c>
      <c r="B85" s="21" t="str">
        <f>Source!F71</f>
        <v>46-03-017-02</v>
      </c>
      <c r="C85" s="21" t="str">
        <f>Source!G71</f>
        <v>Заделка отверстий, гнезд и борозд: в перекрытиях железобетонных площадью до 0,2 м2</v>
      </c>
      <c r="D85" s="23" t="str">
        <f>Source!H71</f>
        <v>м3</v>
      </c>
      <c r="E85" s="13">
        <f>Source!I71</f>
        <v>0.04</v>
      </c>
      <c r="F85" s="14">
        <f>Source!AL71+Source!AM71+Source!AO71</f>
        <v>812.59</v>
      </c>
      <c r="G85" s="24"/>
      <c r="H85" s="14"/>
      <c r="I85" s="24" t="str">
        <f>Source!BO71</f>
        <v/>
      </c>
      <c r="J85" s="14"/>
      <c r="R85">
        <f>ROUND((Source!FX71/100)*((ROUND(Source!AF71*Source!I71, 2)+ROUND(Source!AE71*Source!I71, 2))), 2)</f>
        <v>15</v>
      </c>
      <c r="S85">
        <f>Source!X71</f>
        <v>419.11</v>
      </c>
      <c r="T85">
        <f>ROUND((Source!FY71/100)*((ROUND(Source!AF71*Source!I71, 2)+ROUND(Source!AE71*Source!I71, 2))), 2)</f>
        <v>8.59</v>
      </c>
      <c r="U85">
        <f>Source!Y71</f>
        <v>240.07</v>
      </c>
    </row>
    <row r="86" spans="1:21" ht="14.25" x14ac:dyDescent="0.2">
      <c r="A86" s="21"/>
      <c r="B86" s="21"/>
      <c r="C86" s="21" t="s">
        <v>583</v>
      </c>
      <c r="D86" s="23"/>
      <c r="E86" s="13"/>
      <c r="F86" s="14">
        <f>Source!AO71</f>
        <v>361.3</v>
      </c>
      <c r="G86" s="24" t="str">
        <f>Source!DG71</f>
        <v/>
      </c>
      <c r="H86" s="14">
        <f>ROUND(Source!AF71*Source!I71, 2)</f>
        <v>14.45</v>
      </c>
      <c r="I86" s="24">
        <f>IF(Source!BA71&lt;&gt; 0, Source!BA71, 1)</f>
        <v>27.94</v>
      </c>
      <c r="J86" s="14">
        <f>Source!S71</f>
        <v>403.79</v>
      </c>
      <c r="Q86">
        <f>ROUND(Source!AF71*Source!I71, 2)</f>
        <v>14.45</v>
      </c>
    </row>
    <row r="87" spans="1:21" ht="14.25" x14ac:dyDescent="0.2">
      <c r="A87" s="21"/>
      <c r="B87" s="21"/>
      <c r="C87" s="21" t="s">
        <v>584</v>
      </c>
      <c r="D87" s="23"/>
      <c r="E87" s="13"/>
      <c r="F87" s="14">
        <f>Source!AM71</f>
        <v>16.600000000000001</v>
      </c>
      <c r="G87" s="24" t="str">
        <f>Source!DE71</f>
        <v/>
      </c>
      <c r="H87" s="14">
        <f>ROUND((((Source!ET71)-(Source!EU71))+Source!AE71)*Source!I71, 2)</f>
        <v>0.66</v>
      </c>
      <c r="I87" s="24">
        <f>IF(Source!BB71&lt;&gt; 0, Source!BB71, 1)</f>
        <v>11.05</v>
      </c>
      <c r="J87" s="14">
        <f>Source!Q71</f>
        <v>7.34</v>
      </c>
    </row>
    <row r="88" spans="1:21" ht="14.25" x14ac:dyDescent="0.2">
      <c r="A88" s="21"/>
      <c r="B88" s="21"/>
      <c r="C88" s="21" t="s">
        <v>585</v>
      </c>
      <c r="D88" s="23"/>
      <c r="E88" s="13"/>
      <c r="F88" s="14">
        <f>Source!AN71</f>
        <v>2.78</v>
      </c>
      <c r="G88" s="24" t="str">
        <f>Source!DF71</f>
        <v/>
      </c>
      <c r="H88" s="25">
        <f>ROUND(Source!AE71*Source!I71, 2)</f>
        <v>0.11</v>
      </c>
      <c r="I88" s="24">
        <f>IF(Source!BS71&lt;&gt; 0, Source!BS71, 1)</f>
        <v>27.94</v>
      </c>
      <c r="J88" s="25">
        <f>Source!R71</f>
        <v>3.11</v>
      </c>
      <c r="Q88">
        <f>ROUND(Source!AE71*Source!I71, 2)</f>
        <v>0.11</v>
      </c>
    </row>
    <row r="89" spans="1:21" ht="14.25" x14ac:dyDescent="0.2">
      <c r="A89" s="21"/>
      <c r="B89" s="21"/>
      <c r="C89" s="21" t="s">
        <v>592</v>
      </c>
      <c r="D89" s="23"/>
      <c r="E89" s="13"/>
      <c r="F89" s="14">
        <f>Source!AL71</f>
        <v>434.69</v>
      </c>
      <c r="G89" s="24" t="str">
        <f>Source!DD71</f>
        <v/>
      </c>
      <c r="H89" s="14">
        <f>ROUND(Source!AC71*Source!I71, 2)</f>
        <v>17.39</v>
      </c>
      <c r="I89" s="24">
        <f>IF(Source!BC71&lt;&gt; 0, Source!BC71, 1)</f>
        <v>7.99</v>
      </c>
      <c r="J89" s="14">
        <f>Source!P71</f>
        <v>138.93</v>
      </c>
    </row>
    <row r="90" spans="1:21" ht="14.25" x14ac:dyDescent="0.2">
      <c r="A90" s="21"/>
      <c r="B90" s="21"/>
      <c r="C90" s="21" t="s">
        <v>586</v>
      </c>
      <c r="D90" s="23" t="s">
        <v>587</v>
      </c>
      <c r="E90" s="13">
        <f>Source!BZ71</f>
        <v>103</v>
      </c>
      <c r="F90" s="14"/>
      <c r="G90" s="24"/>
      <c r="H90" s="14">
        <f>SUM(R85:R89)</f>
        <v>15</v>
      </c>
      <c r="I90" s="24">
        <f>Source!AT71</f>
        <v>103</v>
      </c>
      <c r="J90" s="14">
        <f>SUM(S85:S89)</f>
        <v>419.11</v>
      </c>
    </row>
    <row r="91" spans="1:21" ht="14.25" x14ac:dyDescent="0.2">
      <c r="A91" s="21"/>
      <c r="B91" s="21"/>
      <c r="C91" s="21" t="s">
        <v>588</v>
      </c>
      <c r="D91" s="23" t="s">
        <v>587</v>
      </c>
      <c r="E91" s="13">
        <f>Source!CA71</f>
        <v>59</v>
      </c>
      <c r="F91" s="14"/>
      <c r="G91" s="24"/>
      <c r="H91" s="14">
        <f>SUM(T85:T90)</f>
        <v>8.59</v>
      </c>
      <c r="I91" s="24">
        <f>Source!AU71</f>
        <v>59</v>
      </c>
      <c r="J91" s="14">
        <f>SUM(U85:U90)</f>
        <v>240.07</v>
      </c>
    </row>
    <row r="92" spans="1:21" ht="14.25" x14ac:dyDescent="0.2">
      <c r="A92" s="29"/>
      <c r="B92" s="29"/>
      <c r="C92" s="29" t="s">
        <v>589</v>
      </c>
      <c r="D92" s="30" t="s">
        <v>590</v>
      </c>
      <c r="E92" s="31">
        <f>Source!AQ71</f>
        <v>44.66</v>
      </c>
      <c r="F92" s="32"/>
      <c r="G92" s="33" t="str">
        <f>Source!DI71</f>
        <v/>
      </c>
      <c r="H92" s="32">
        <f>Source!U71</f>
        <v>1.7864</v>
      </c>
      <c r="I92" s="33"/>
      <c r="J92" s="32"/>
    </row>
    <row r="93" spans="1:21" ht="15" x14ac:dyDescent="0.25">
      <c r="C93" s="27" t="s">
        <v>591</v>
      </c>
      <c r="G93" s="71">
        <f>ROUND(Source!AC71*Source!I71, 2)+ROUND(Source!AF71*Source!I71, 2)+ROUND((((Source!ET71)-(Source!EU71))+Source!AE71)*Source!I71, 2)+SUM(H90:H91)</f>
        <v>56.09</v>
      </c>
      <c r="H93" s="71"/>
      <c r="I93" s="71">
        <f>Source!P71+Source!Q71+Source!S71+SUM(J90:J91)</f>
        <v>1209.2400000000002</v>
      </c>
      <c r="J93" s="71"/>
      <c r="O93" s="28">
        <f>G93</f>
        <v>56.09</v>
      </c>
      <c r="P93" s="28">
        <f>I93</f>
        <v>1209.2400000000002</v>
      </c>
    </row>
    <row r="94" spans="1:21" ht="42.75" x14ac:dyDescent="0.2">
      <c r="A94" s="29">
        <v>10</v>
      </c>
      <c r="B94" s="29" t="str">
        <f>Source!F72</f>
        <v>Цена поставщика</v>
      </c>
      <c r="C94" s="29" t="s">
        <v>595</v>
      </c>
      <c r="D94" s="30" t="str">
        <f>Source!H72</f>
        <v>м3</v>
      </c>
      <c r="E94" s="31">
        <f>Source!I72</f>
        <v>4.1599999999999998E-2</v>
      </c>
      <c r="F94" s="32">
        <f>Source!AL72</f>
        <v>453.25</v>
      </c>
      <c r="G94" s="33" t="str">
        <f>Source!DD72</f>
        <v/>
      </c>
      <c r="H94" s="32">
        <f>ROUND(Source!AC72*Source!I72, 2)</f>
        <v>18.86</v>
      </c>
      <c r="I94" s="33">
        <f>IF(Source!BC72&lt;&gt; 0, Source!BC72, 1)</f>
        <v>7.99</v>
      </c>
      <c r="J94" s="32">
        <f>Source!P72</f>
        <v>150.65</v>
      </c>
      <c r="R94">
        <f>ROUND((Source!FX72/100)*((ROUND(Source!AF72*Source!I72, 2)+ROUND(Source!AE72*Source!I72, 2))), 2)</f>
        <v>0</v>
      </c>
      <c r="S94">
        <f>Source!X72</f>
        <v>0</v>
      </c>
      <c r="T94">
        <f>ROUND((Source!FY72/100)*((ROUND(Source!AF72*Source!I72, 2)+ROUND(Source!AE72*Source!I72, 2))), 2)</f>
        <v>0</v>
      </c>
      <c r="U94">
        <f>Source!Y72</f>
        <v>0</v>
      </c>
    </row>
    <row r="95" spans="1:21" ht="15" x14ac:dyDescent="0.25">
      <c r="C95" s="27" t="s">
        <v>591</v>
      </c>
      <c r="G95" s="71">
        <f>ROUND(Source!AC72*Source!I72, 2)+ROUND(Source!AF72*Source!I72, 2)+ROUND((((Source!ET72)-(Source!EU72))+Source!AE72)*Source!I72, 2)</f>
        <v>18.86</v>
      </c>
      <c r="H95" s="71"/>
      <c r="I95" s="71">
        <f>Source!P72+Source!Q72+Source!S72</f>
        <v>150.65</v>
      </c>
      <c r="J95" s="71"/>
      <c r="O95">
        <f>G95</f>
        <v>18.86</v>
      </c>
      <c r="P95">
        <f>I95</f>
        <v>150.65</v>
      </c>
    </row>
    <row r="96" spans="1:21" ht="42.75" x14ac:dyDescent="0.2">
      <c r="A96" s="21">
        <v>11</v>
      </c>
      <c r="B96" s="21" t="str">
        <f>Source!F73</f>
        <v>22-03-002-01</v>
      </c>
      <c r="C96" s="21" t="str">
        <f>Source!G73</f>
        <v>Установка полиэтиленовых фасонных частей: отводов, колен, патрубков, переходов // Прим. к дождеприемнику</v>
      </c>
      <c r="D96" s="23" t="str">
        <f>Source!H73</f>
        <v>10 ШТ</v>
      </c>
      <c r="E96" s="13">
        <f>Source!I73</f>
        <v>1.2</v>
      </c>
      <c r="F96" s="14">
        <f>Source!AL73+Source!AM73+Source!AO73</f>
        <v>263.58</v>
      </c>
      <c r="G96" s="24"/>
      <c r="H96" s="14"/>
      <c r="I96" s="24" t="str">
        <f>Source!BO73</f>
        <v/>
      </c>
      <c r="J96" s="14"/>
      <c r="R96">
        <f>ROUND((Source!FX73/100)*((ROUND(Source!AF73*Source!I73, 2)+ROUND(Source!AE73*Source!I73, 2))), 2)</f>
        <v>136.97999999999999</v>
      </c>
      <c r="S96">
        <f>Source!X73</f>
        <v>3827.46</v>
      </c>
      <c r="T96">
        <f>ROUND((Source!FY73/100)*((ROUND(Source!AF73*Source!I73, 2)+ROUND(Source!AE73*Source!I73, 2))), 2)</f>
        <v>73.64</v>
      </c>
      <c r="U96">
        <f>Source!Y73</f>
        <v>2057.67</v>
      </c>
    </row>
    <row r="97" spans="1:21" x14ac:dyDescent="0.2">
      <c r="C97" s="34" t="str">
        <f>"Объем: "&amp;Source!I73&amp;"=12/"&amp;"10"</f>
        <v>Объем: 1,2=12/10</v>
      </c>
    </row>
    <row r="98" spans="1:21" ht="14.25" x14ac:dyDescent="0.2">
      <c r="A98" s="21"/>
      <c r="B98" s="21"/>
      <c r="C98" s="21" t="s">
        <v>583</v>
      </c>
      <c r="D98" s="23"/>
      <c r="E98" s="13"/>
      <c r="F98" s="14">
        <f>Source!AO73</f>
        <v>37.549999999999997</v>
      </c>
      <c r="G98" s="24" t="str">
        <f>Source!DG73</f>
        <v>)*1,15)*1,2</v>
      </c>
      <c r="H98" s="14">
        <f>ROUND(Source!AF73*Source!I73, 2)</f>
        <v>62.18</v>
      </c>
      <c r="I98" s="24">
        <f>IF(Source!BA73&lt;&gt; 0, Source!BA73, 1)</f>
        <v>27.94</v>
      </c>
      <c r="J98" s="14">
        <f>Source!S73</f>
        <v>1737.42</v>
      </c>
      <c r="Q98">
        <f>ROUND(Source!AF73*Source!I73, 2)</f>
        <v>62.18</v>
      </c>
    </row>
    <row r="99" spans="1:21" ht="14.25" x14ac:dyDescent="0.2">
      <c r="A99" s="21"/>
      <c r="B99" s="21"/>
      <c r="C99" s="21" t="s">
        <v>584</v>
      </c>
      <c r="D99" s="23"/>
      <c r="E99" s="13"/>
      <c r="F99" s="14">
        <f>Source!AM73</f>
        <v>226.03</v>
      </c>
      <c r="G99" s="24" t="str">
        <f>Source!DE73</f>
        <v>)*1,25)*1,2</v>
      </c>
      <c r="H99" s="14">
        <f>ROUND((((((Source!ET73*1.25)*1.2))-(((Source!EU73*1.25)*1.2)))+Source!AE73)*Source!I73, 2)</f>
        <v>406.85</v>
      </c>
      <c r="I99" s="24">
        <f>IF(Source!BB73&lt;&gt; 0, Source!BB73, 1)</f>
        <v>11.05</v>
      </c>
      <c r="J99" s="14">
        <f>Source!Q73</f>
        <v>4495.74</v>
      </c>
    </row>
    <row r="100" spans="1:21" ht="14.25" x14ac:dyDescent="0.2">
      <c r="A100" s="21"/>
      <c r="B100" s="21"/>
      <c r="C100" s="21" t="s">
        <v>585</v>
      </c>
      <c r="D100" s="23"/>
      <c r="E100" s="13"/>
      <c r="F100" s="14">
        <f>Source!AN73</f>
        <v>30.5</v>
      </c>
      <c r="G100" s="24" t="str">
        <f>Source!DF73</f>
        <v>)*1,25)*1,2</v>
      </c>
      <c r="H100" s="25">
        <f>ROUND(Source!AE73*Source!I73, 2)</f>
        <v>54.9</v>
      </c>
      <c r="I100" s="24">
        <f>IF(Source!BS73&lt;&gt; 0, Source!BS73, 1)</f>
        <v>27.94</v>
      </c>
      <c r="J100" s="25">
        <f>Source!R73</f>
        <v>1533.91</v>
      </c>
      <c r="Q100">
        <f>ROUND(Source!AE73*Source!I73, 2)</f>
        <v>54.9</v>
      </c>
    </row>
    <row r="101" spans="1:21" ht="14.25" x14ac:dyDescent="0.2">
      <c r="A101" s="21"/>
      <c r="B101" s="21"/>
      <c r="C101" s="21" t="s">
        <v>586</v>
      </c>
      <c r="D101" s="23" t="s">
        <v>587</v>
      </c>
      <c r="E101" s="13">
        <f>Source!BZ73</f>
        <v>117</v>
      </c>
      <c r="F101" s="14"/>
      <c r="G101" s="24"/>
      <c r="H101" s="14">
        <f>SUM(R96:R100)</f>
        <v>136.97999999999999</v>
      </c>
      <c r="I101" s="24">
        <f>Source!AT73</f>
        <v>117</v>
      </c>
      <c r="J101" s="14">
        <f>SUM(S96:S100)</f>
        <v>3827.46</v>
      </c>
    </row>
    <row r="102" spans="1:21" ht="14.25" x14ac:dyDescent="0.2">
      <c r="A102" s="21"/>
      <c r="B102" s="21"/>
      <c r="C102" s="21" t="s">
        <v>588</v>
      </c>
      <c r="D102" s="23" t="s">
        <v>587</v>
      </c>
      <c r="E102" s="13">
        <f>Source!CA73</f>
        <v>74</v>
      </c>
      <c r="F102" s="73" t="str">
        <f>CONCATENATE(" )", Source!DM73, Source!FU73, "=", Source!FY73, "%")</f>
        <v xml:space="preserve"> )*0.85=62,9%</v>
      </c>
      <c r="G102" s="73"/>
      <c r="H102" s="14">
        <f>SUM(T96:T101)</f>
        <v>73.64</v>
      </c>
      <c r="I102" s="24">
        <f>Source!AU73</f>
        <v>62.9</v>
      </c>
      <c r="J102" s="14">
        <f>SUM(U96:U101)</f>
        <v>2057.67</v>
      </c>
    </row>
    <row r="103" spans="1:21" ht="14.25" x14ac:dyDescent="0.2">
      <c r="A103" s="29"/>
      <c r="B103" s="29"/>
      <c r="C103" s="29" t="s">
        <v>589</v>
      </c>
      <c r="D103" s="30" t="s">
        <v>590</v>
      </c>
      <c r="E103" s="31">
        <f>Source!AQ73</f>
        <v>4.1399999999999997</v>
      </c>
      <c r="F103" s="32"/>
      <c r="G103" s="33" t="str">
        <f>Source!DI73</f>
        <v>)*1,15)*1,2</v>
      </c>
      <c r="H103" s="32">
        <f>Source!U73</f>
        <v>6.8558399999999979</v>
      </c>
      <c r="I103" s="33"/>
      <c r="J103" s="32"/>
    </row>
    <row r="104" spans="1:21" ht="15" x14ac:dyDescent="0.25">
      <c r="C104" s="27" t="s">
        <v>591</v>
      </c>
      <c r="G104" s="71">
        <f>ROUND(Source!AC73*Source!I73, 2)+ROUND(Source!AF73*Source!I73, 2)+ROUND((((((Source!ET73*1.25)*1.2))-(((Source!EU73*1.25)*1.2)))+Source!AE73)*Source!I73, 2)+SUM(H101:H102)</f>
        <v>679.65000000000009</v>
      </c>
      <c r="H104" s="71"/>
      <c r="I104" s="71">
        <f>Source!P73+Source!Q73+Source!S73+SUM(J101:J102)</f>
        <v>12118.29</v>
      </c>
      <c r="J104" s="71"/>
      <c r="O104" s="28">
        <f>G104</f>
        <v>679.65000000000009</v>
      </c>
      <c r="P104" s="28">
        <f>I104</f>
        <v>12118.29</v>
      </c>
    </row>
    <row r="105" spans="1:21" ht="54" x14ac:dyDescent="0.2">
      <c r="A105" s="29">
        <v>12</v>
      </c>
      <c r="B105" s="29" t="str">
        <f>Source!F74</f>
        <v>Цена поставщика</v>
      </c>
      <c r="C105" s="29" t="s">
        <v>596</v>
      </c>
      <c r="D105" s="30" t="str">
        <f>Source!H74</f>
        <v>ШТ</v>
      </c>
      <c r="E105" s="31">
        <f>Source!I74</f>
        <v>2</v>
      </c>
      <c r="F105" s="32">
        <f>Source!AL74</f>
        <v>85.18</v>
      </c>
      <c r="G105" s="33" t="str">
        <f>Source!DD74</f>
        <v/>
      </c>
      <c r="H105" s="32">
        <f>ROUND(Source!AC74*Source!I74, 2)</f>
        <v>170.36</v>
      </c>
      <c r="I105" s="33">
        <f>IF(Source!BC74&lt;&gt; 0, Source!BC74, 1)</f>
        <v>7.99</v>
      </c>
      <c r="J105" s="32">
        <f>Source!P74</f>
        <v>1361.18</v>
      </c>
      <c r="R105">
        <f>ROUND((Source!FX74/100)*((ROUND(Source!AF74*Source!I74, 2)+ROUND(Source!AE74*Source!I74, 2))), 2)</f>
        <v>0</v>
      </c>
      <c r="S105">
        <f>Source!X74</f>
        <v>0</v>
      </c>
      <c r="T105">
        <f>ROUND((Source!FY74/100)*((ROUND(Source!AF74*Source!I74, 2)+ROUND(Source!AE74*Source!I74, 2))), 2)</f>
        <v>0</v>
      </c>
      <c r="U105">
        <f>Source!Y74</f>
        <v>0</v>
      </c>
    </row>
    <row r="106" spans="1:21" ht="15" x14ac:dyDescent="0.25">
      <c r="C106" s="27" t="s">
        <v>591</v>
      </c>
      <c r="G106" s="71">
        <f>ROUND(Source!AC74*Source!I74, 2)+ROUND(Source!AF74*Source!I74, 2)+ROUND((((Source!ET74)-(Source!EU74))+Source!AE74)*Source!I74, 2)</f>
        <v>170.36</v>
      </c>
      <c r="H106" s="71"/>
      <c r="I106" s="71">
        <f>Source!P74+Source!Q74+Source!S74</f>
        <v>1361.18</v>
      </c>
      <c r="J106" s="71"/>
      <c r="O106">
        <f>G106</f>
        <v>170.36</v>
      </c>
      <c r="P106">
        <f>I106</f>
        <v>1361.18</v>
      </c>
    </row>
    <row r="107" spans="1:21" ht="42.75" x14ac:dyDescent="0.2">
      <c r="A107" s="21">
        <v>13</v>
      </c>
      <c r="B107" s="21" t="str">
        <f>Source!F75</f>
        <v>27-02-005-01</v>
      </c>
      <c r="C107" s="21" t="str">
        <f>Source!G75</f>
        <v>Устройство водосбросных сооружений с проезжей части из продольных лотков из сборного бетона // Прим.</v>
      </c>
      <c r="D107" s="23" t="str">
        <f>Source!H75</f>
        <v>100 м3</v>
      </c>
      <c r="E107" s="13">
        <f>Source!I75</f>
        <v>0.02</v>
      </c>
      <c r="F107" s="14">
        <f>Source!AL75+Source!AM75+Source!AO75</f>
        <v>35617.200000000004</v>
      </c>
      <c r="G107" s="24"/>
      <c r="H107" s="14"/>
      <c r="I107" s="24" t="str">
        <f>Source!BO75</f>
        <v/>
      </c>
      <c r="J107" s="14"/>
      <c r="R107">
        <f>ROUND((Source!FX75/100)*((ROUND(Source!AF75*Source!I75, 2)+ROUND(Source!AE75*Source!I75, 2))), 2)</f>
        <v>184.78</v>
      </c>
      <c r="S107">
        <f>Source!X75</f>
        <v>5162.79</v>
      </c>
      <c r="T107">
        <f>ROUND((Source!FY75/100)*((ROUND(Source!AF75*Source!I75, 2)+ROUND(Source!AE75*Source!I75, 2))), 2)</f>
        <v>143.16999999999999</v>
      </c>
      <c r="U107">
        <f>Source!Y75</f>
        <v>4000.28</v>
      </c>
    </row>
    <row r="108" spans="1:21" ht="14.25" x14ac:dyDescent="0.2">
      <c r="A108" s="21"/>
      <c r="B108" s="21"/>
      <c r="C108" s="21" t="s">
        <v>583</v>
      </c>
      <c r="D108" s="23"/>
      <c r="E108" s="13"/>
      <c r="F108" s="14">
        <f>Source!AO75</f>
        <v>2790.72</v>
      </c>
      <c r="G108" s="24" t="str">
        <f>Source!DG75</f>
        <v>)*1,15)*1,2</v>
      </c>
      <c r="H108" s="14">
        <f>ROUND(Source!AF75*Source!I75, 2)</f>
        <v>77.02</v>
      </c>
      <c r="I108" s="24">
        <f>IF(Source!BA75&lt;&gt; 0, Source!BA75, 1)</f>
        <v>27.94</v>
      </c>
      <c r="J108" s="14">
        <f>Source!S75</f>
        <v>2152.04</v>
      </c>
      <c r="Q108">
        <f>ROUND(Source!AF75*Source!I75, 2)</f>
        <v>77.02</v>
      </c>
    </row>
    <row r="109" spans="1:21" ht="14.25" x14ac:dyDescent="0.2">
      <c r="A109" s="21"/>
      <c r="B109" s="21"/>
      <c r="C109" s="21" t="s">
        <v>584</v>
      </c>
      <c r="D109" s="23"/>
      <c r="E109" s="13"/>
      <c r="F109" s="14">
        <f>Source!AM75</f>
        <v>13395.62</v>
      </c>
      <c r="G109" s="24" t="str">
        <f>Source!DE75</f>
        <v>)*1,25)*1,2</v>
      </c>
      <c r="H109" s="14">
        <f>ROUND((((((Source!ET75*1.25)*1.2))-(((Source!EU75*1.25)*1.2)))+Source!AE75)*Source!I75, 2)</f>
        <v>401.87</v>
      </c>
      <c r="I109" s="24">
        <f>IF(Source!BB75&lt;&gt; 0, Source!BB75, 1)</f>
        <v>11.05</v>
      </c>
      <c r="J109" s="14">
        <f>Source!Q75</f>
        <v>4440.6499999999996</v>
      </c>
    </row>
    <row r="110" spans="1:21" ht="14.25" x14ac:dyDescent="0.2">
      <c r="A110" s="21"/>
      <c r="B110" s="21"/>
      <c r="C110" s="21" t="s">
        <v>585</v>
      </c>
      <c r="D110" s="23"/>
      <c r="E110" s="13"/>
      <c r="F110" s="14">
        <f>Source!AN75</f>
        <v>1622.6</v>
      </c>
      <c r="G110" s="24" t="str">
        <f>Source!DF75</f>
        <v>)*1,25)*1,2</v>
      </c>
      <c r="H110" s="25">
        <f>ROUND(Source!AE75*Source!I75, 2)</f>
        <v>48.68</v>
      </c>
      <c r="I110" s="24">
        <f>IF(Source!BS75&lt;&gt; 0, Source!BS75, 1)</f>
        <v>27.94</v>
      </c>
      <c r="J110" s="25">
        <f>Source!R75</f>
        <v>1360.06</v>
      </c>
      <c r="Q110">
        <f>ROUND(Source!AE75*Source!I75, 2)</f>
        <v>48.68</v>
      </c>
    </row>
    <row r="111" spans="1:21" ht="14.25" x14ac:dyDescent="0.2">
      <c r="A111" s="21"/>
      <c r="B111" s="21"/>
      <c r="C111" s="21" t="s">
        <v>592</v>
      </c>
      <c r="D111" s="23"/>
      <c r="E111" s="13"/>
      <c r="F111" s="14">
        <f>Source!AL75</f>
        <v>19430.86</v>
      </c>
      <c r="G111" s="24" t="str">
        <f>Source!DD75</f>
        <v/>
      </c>
      <c r="H111" s="14">
        <f>ROUND(Source!AC75*Source!I75, 2)</f>
        <v>388.62</v>
      </c>
      <c r="I111" s="24">
        <f>IF(Source!BC75&lt;&gt; 0, Source!BC75, 1)</f>
        <v>7.99</v>
      </c>
      <c r="J111" s="14">
        <f>Source!P75</f>
        <v>3105.05</v>
      </c>
    </row>
    <row r="112" spans="1:21" ht="42.75" x14ac:dyDescent="0.2">
      <c r="A112" s="21">
        <v>13.1</v>
      </c>
      <c r="B112" s="21" t="str">
        <f>Source!F76</f>
        <v>14.5.04.01-0011</v>
      </c>
      <c r="C112" s="21" t="str">
        <f>Source!G76</f>
        <v>Мастика бутилкаучуковая строительная для герметизации швов цементобетонных покрытий</v>
      </c>
      <c r="D112" s="23" t="str">
        <f>Source!H76</f>
        <v>кг</v>
      </c>
      <c r="E112" s="13">
        <f>Source!I76</f>
        <v>-38.6</v>
      </c>
      <c r="F112" s="14">
        <f>Source!AL76+Source!AM76+Source!AO76</f>
        <v>7.59</v>
      </c>
      <c r="G112" s="36" t="s">
        <v>3</v>
      </c>
      <c r="H112" s="14">
        <f>ROUND(Source!AC76*Source!I76, 2)+ROUND((((Source!ET76)-(Source!EU76))+Source!AE76)*Source!I76, 2)+ROUND(Source!AF76*Source!I76, 2)</f>
        <v>-292.97000000000003</v>
      </c>
      <c r="I112" s="24">
        <f>IF(Source!BC76&lt;&gt; 0, Source!BC76, 1)</f>
        <v>7.99</v>
      </c>
      <c r="J112" s="14">
        <f>Source!O76</f>
        <v>-2340.86</v>
      </c>
      <c r="R112">
        <f>ROUND((Source!FX76/100)*((ROUND(Source!AF76*Source!I76, 2)+ROUND(Source!AE76*Source!I76, 2))), 2)</f>
        <v>0</v>
      </c>
      <c r="S112">
        <f>Source!X76</f>
        <v>0</v>
      </c>
      <c r="T112">
        <f>ROUND((Source!FY76/100)*((ROUND(Source!AF76*Source!I76, 2)+ROUND(Source!AE76*Source!I76, 2))), 2)</f>
        <v>0</v>
      </c>
      <c r="U112">
        <f>Source!Y76</f>
        <v>0</v>
      </c>
    </row>
    <row r="113" spans="1:21" ht="14.25" x14ac:dyDescent="0.2">
      <c r="A113" s="21"/>
      <c r="B113" s="21"/>
      <c r="C113" s="21" t="s">
        <v>586</v>
      </c>
      <c r="D113" s="23" t="s">
        <v>587</v>
      </c>
      <c r="E113" s="13">
        <f>Source!BZ75</f>
        <v>147</v>
      </c>
      <c r="F113" s="14"/>
      <c r="G113" s="24"/>
      <c r="H113" s="14">
        <f>SUM(R107:R112)</f>
        <v>184.78</v>
      </c>
      <c r="I113" s="24">
        <f>Source!AT75</f>
        <v>147</v>
      </c>
      <c r="J113" s="14">
        <f>SUM(S107:S112)</f>
        <v>5162.79</v>
      </c>
    </row>
    <row r="114" spans="1:21" ht="14.25" x14ac:dyDescent="0.2">
      <c r="A114" s="21"/>
      <c r="B114" s="21"/>
      <c r="C114" s="21" t="s">
        <v>588</v>
      </c>
      <c r="D114" s="23" t="s">
        <v>587</v>
      </c>
      <c r="E114" s="13">
        <f>Source!CA75</f>
        <v>134</v>
      </c>
      <c r="F114" s="73" t="str">
        <f>CONCATENATE(" )", Source!DM75, Source!FU75, "=", Source!FY75, "%")</f>
        <v xml:space="preserve"> )*0.85=113,9%</v>
      </c>
      <c r="G114" s="73"/>
      <c r="H114" s="14">
        <f>SUM(T107:T113)</f>
        <v>143.16999999999999</v>
      </c>
      <c r="I114" s="24">
        <f>Source!AU75</f>
        <v>113.9</v>
      </c>
      <c r="J114" s="14">
        <f>SUM(U107:U113)</f>
        <v>4000.28</v>
      </c>
    </row>
    <row r="115" spans="1:21" ht="14.25" x14ac:dyDescent="0.2">
      <c r="A115" s="29"/>
      <c r="B115" s="29"/>
      <c r="C115" s="29" t="s">
        <v>589</v>
      </c>
      <c r="D115" s="30" t="s">
        <v>590</v>
      </c>
      <c r="E115" s="31">
        <f>Source!AQ75</f>
        <v>323</v>
      </c>
      <c r="F115" s="32"/>
      <c r="G115" s="33" t="str">
        <f>Source!DI75</f>
        <v>)*1,15)*1,2</v>
      </c>
      <c r="H115" s="32">
        <f>Source!U75</f>
        <v>8.9147999999999996</v>
      </c>
      <c r="I115" s="33"/>
      <c r="J115" s="32"/>
    </row>
    <row r="116" spans="1:21" ht="15" x14ac:dyDescent="0.25">
      <c r="C116" s="27" t="s">
        <v>591</v>
      </c>
      <c r="G116" s="71">
        <f>ROUND(Source!AC75*Source!I75, 2)+ROUND(Source!AF75*Source!I75, 2)+ROUND((((((Source!ET75*1.25)*1.2))-(((Source!EU75*1.25)*1.2)))+Source!AE75)*Source!I75, 2)+SUM(H112:H114)</f>
        <v>902.49</v>
      </c>
      <c r="H116" s="71"/>
      <c r="I116" s="71">
        <f>Source!P75+Source!Q75+Source!S75+SUM(J112:J114)</f>
        <v>16519.95</v>
      </c>
      <c r="J116" s="71"/>
      <c r="O116" s="28">
        <f>G116</f>
        <v>902.49</v>
      </c>
      <c r="P116" s="28">
        <f>I116</f>
        <v>16519.95</v>
      </c>
    </row>
    <row r="117" spans="1:21" ht="42.75" x14ac:dyDescent="0.2">
      <c r="A117" s="29">
        <v>14</v>
      </c>
      <c r="B117" s="29" t="str">
        <f>Source!F77</f>
        <v>Цена поставщика</v>
      </c>
      <c r="C117" s="29" t="s">
        <v>597</v>
      </c>
      <c r="D117" s="30" t="str">
        <f>Source!H77</f>
        <v>ШТ</v>
      </c>
      <c r="E117" s="31">
        <f>Source!I77</f>
        <v>50</v>
      </c>
      <c r="F117" s="32">
        <f>Source!AL77</f>
        <v>22.79</v>
      </c>
      <c r="G117" s="33" t="str">
        <f>Source!DD77</f>
        <v/>
      </c>
      <c r="H117" s="32">
        <f>ROUND(Source!AC77*Source!I77, 2)</f>
        <v>1139.5</v>
      </c>
      <c r="I117" s="33">
        <f>IF(Source!BC77&lt;&gt; 0, Source!BC77, 1)</f>
        <v>7.99</v>
      </c>
      <c r="J117" s="32">
        <f>Source!P77</f>
        <v>9104.61</v>
      </c>
      <c r="R117">
        <f>ROUND((Source!FX77/100)*((ROUND(Source!AF77*Source!I77, 2)+ROUND(Source!AE77*Source!I77, 2))), 2)</f>
        <v>0</v>
      </c>
      <c r="S117">
        <f>Source!X77</f>
        <v>0</v>
      </c>
      <c r="T117">
        <f>ROUND((Source!FY77/100)*((ROUND(Source!AF77*Source!I77, 2)+ROUND(Source!AE77*Source!I77, 2))), 2)</f>
        <v>0</v>
      </c>
      <c r="U117">
        <f>Source!Y77</f>
        <v>0</v>
      </c>
    </row>
    <row r="118" spans="1:21" ht="15" x14ac:dyDescent="0.25">
      <c r="C118" s="27" t="s">
        <v>591</v>
      </c>
      <c r="G118" s="71">
        <f>ROUND(Source!AC77*Source!I77, 2)+ROUND(Source!AF77*Source!I77, 2)+ROUND((((Source!ET77)-(Source!EU77))+Source!AE77)*Source!I77, 2)</f>
        <v>1139.5</v>
      </c>
      <c r="H118" s="71"/>
      <c r="I118" s="71">
        <f>Source!P77+Source!Q77+Source!S77</f>
        <v>9104.61</v>
      </c>
      <c r="J118" s="71"/>
      <c r="O118">
        <f>G118</f>
        <v>1139.5</v>
      </c>
      <c r="P118">
        <f>I118</f>
        <v>9104.61</v>
      </c>
    </row>
    <row r="119" spans="1:21" ht="42.75" x14ac:dyDescent="0.2">
      <c r="A119" s="21">
        <v>15</v>
      </c>
      <c r="B119" s="21" t="str">
        <f>Source!F78</f>
        <v>15-01-045-01</v>
      </c>
      <c r="C119" s="21" t="str">
        <f>Source!G78</f>
        <v>Облицовка ступеней керамогранитными плитками толщиной до 15 мм</v>
      </c>
      <c r="D119" s="23" t="str">
        <f>Source!H78</f>
        <v>100 м2</v>
      </c>
      <c r="E119" s="13">
        <f>Source!I78</f>
        <v>0.41299999999999998</v>
      </c>
      <c r="F119" s="14">
        <f>Source!AL78+Source!AM78+Source!AO78</f>
        <v>3682.3199999999997</v>
      </c>
      <c r="G119" s="24"/>
      <c r="H119" s="14"/>
      <c r="I119" s="24" t="str">
        <f>Source!BO78</f>
        <v/>
      </c>
      <c r="J119" s="14"/>
      <c r="R119">
        <f>ROUND((Source!FX78/100)*((ROUND(Source!AF78*Source!I78, 2)+ROUND(Source!AE78*Source!I78, 2))), 2)</f>
        <v>1994</v>
      </c>
      <c r="S119">
        <f>Source!X78</f>
        <v>55712.51</v>
      </c>
      <c r="T119">
        <f>ROUND((Source!FY78/100)*((ROUND(Source!AF78*Source!I78, 2)+ROUND(Source!AE78*Source!I78, 2))), 2)</f>
        <v>830.5</v>
      </c>
      <c r="U119">
        <f>Source!Y78</f>
        <v>23204.26</v>
      </c>
    </row>
    <row r="120" spans="1:21" ht="14.25" x14ac:dyDescent="0.2">
      <c r="A120" s="21"/>
      <c r="B120" s="21"/>
      <c r="C120" s="21" t="s">
        <v>583</v>
      </c>
      <c r="D120" s="23"/>
      <c r="E120" s="13"/>
      <c r="F120" s="14">
        <f>Source!AO78</f>
        <v>3471.6</v>
      </c>
      <c r="G120" s="24" t="str">
        <f>Source!DG78</f>
        <v>)*1,15)*1,2</v>
      </c>
      <c r="H120" s="14">
        <f>ROUND(Source!AF78*Source!I78, 2)</f>
        <v>1978.6</v>
      </c>
      <c r="I120" s="24">
        <f>IF(Source!BA78&lt;&gt; 0, Source!BA78, 1)</f>
        <v>27.94</v>
      </c>
      <c r="J120" s="14">
        <f>Source!S78</f>
        <v>55282.21</v>
      </c>
      <c r="Q120">
        <f>ROUND(Source!AF78*Source!I78, 2)</f>
        <v>1978.6</v>
      </c>
    </row>
    <row r="121" spans="1:21" ht="14.25" x14ac:dyDescent="0.2">
      <c r="A121" s="21"/>
      <c r="B121" s="21"/>
      <c r="C121" s="21" t="s">
        <v>584</v>
      </c>
      <c r="D121" s="23"/>
      <c r="E121" s="13"/>
      <c r="F121" s="14">
        <f>Source!AM78</f>
        <v>72.849999999999994</v>
      </c>
      <c r="G121" s="24" t="str">
        <f>Source!DE78</f>
        <v>)*1,25)*1,2</v>
      </c>
      <c r="H121" s="14">
        <f>ROUND((((((Source!ET78*1.25)*1.2))-(((Source!EU78*1.25)*1.2)))+Source!AE78)*Source!I78, 2)</f>
        <v>45.13</v>
      </c>
      <c r="I121" s="24">
        <f>IF(Source!BB78&lt;&gt; 0, Source!BB78, 1)</f>
        <v>11.05</v>
      </c>
      <c r="J121" s="14">
        <f>Source!Q78</f>
        <v>498.69</v>
      </c>
    </row>
    <row r="122" spans="1:21" ht="14.25" x14ac:dyDescent="0.2">
      <c r="A122" s="21"/>
      <c r="B122" s="21"/>
      <c r="C122" s="21" t="s">
        <v>585</v>
      </c>
      <c r="D122" s="23"/>
      <c r="E122" s="13"/>
      <c r="F122" s="14">
        <f>Source!AN78</f>
        <v>24.86</v>
      </c>
      <c r="G122" s="24" t="str">
        <f>Source!DF78</f>
        <v>)*1,25)*1,2</v>
      </c>
      <c r="H122" s="25">
        <f>ROUND(Source!AE78*Source!I78, 2)</f>
        <v>15.4</v>
      </c>
      <c r="I122" s="24">
        <f>IF(Source!BS78&lt;&gt; 0, Source!BS78, 1)</f>
        <v>27.94</v>
      </c>
      <c r="J122" s="25">
        <f>Source!R78</f>
        <v>430.3</v>
      </c>
      <c r="Q122">
        <f>ROUND(Source!AE78*Source!I78, 2)</f>
        <v>15.4</v>
      </c>
    </row>
    <row r="123" spans="1:21" ht="14.25" x14ac:dyDescent="0.2">
      <c r="A123" s="21"/>
      <c r="B123" s="21"/>
      <c r="C123" s="21" t="s">
        <v>592</v>
      </c>
      <c r="D123" s="23"/>
      <c r="E123" s="13"/>
      <c r="F123" s="14">
        <f>Source!AL78</f>
        <v>137.87</v>
      </c>
      <c r="G123" s="24" t="str">
        <f>Source!DD78</f>
        <v/>
      </c>
      <c r="H123" s="14">
        <f>ROUND(Source!AC78*Source!I78, 2)</f>
        <v>56.94</v>
      </c>
      <c r="I123" s="24">
        <f>IF(Source!BC78&lt;&gt; 0, Source!BC78, 1)</f>
        <v>7.99</v>
      </c>
      <c r="J123" s="14">
        <f>Source!P78</f>
        <v>454.95</v>
      </c>
    </row>
    <row r="124" spans="1:21" ht="14.25" x14ac:dyDescent="0.2">
      <c r="A124" s="21"/>
      <c r="B124" s="21"/>
      <c r="C124" s="21" t="s">
        <v>586</v>
      </c>
      <c r="D124" s="23" t="s">
        <v>587</v>
      </c>
      <c r="E124" s="13">
        <f>Source!BZ78</f>
        <v>100</v>
      </c>
      <c r="F124" s="14"/>
      <c r="G124" s="24"/>
      <c r="H124" s="14">
        <f>SUM(R119:R123)</f>
        <v>1994</v>
      </c>
      <c r="I124" s="24">
        <f>Source!AT78</f>
        <v>100</v>
      </c>
      <c r="J124" s="14">
        <f>SUM(S119:S123)</f>
        <v>55712.51</v>
      </c>
    </row>
    <row r="125" spans="1:21" ht="14.25" x14ac:dyDescent="0.2">
      <c r="A125" s="21"/>
      <c r="B125" s="21"/>
      <c r="C125" s="21" t="s">
        <v>588</v>
      </c>
      <c r="D125" s="23" t="s">
        <v>587</v>
      </c>
      <c r="E125" s="13">
        <f>Source!CA78</f>
        <v>49</v>
      </c>
      <c r="F125" s="73" t="str">
        <f>CONCATENATE(" )", Source!DM78, Source!FU78, "=", Source!FY78, "%")</f>
        <v xml:space="preserve"> )*0.85=41,65%</v>
      </c>
      <c r="G125" s="73"/>
      <c r="H125" s="14">
        <f>SUM(T119:T124)</f>
        <v>830.5</v>
      </c>
      <c r="I125" s="24">
        <f>Source!AU78</f>
        <v>41.65</v>
      </c>
      <c r="J125" s="14">
        <f>SUM(U119:U124)</f>
        <v>23204.26</v>
      </c>
    </row>
    <row r="126" spans="1:21" ht="14.25" x14ac:dyDescent="0.2">
      <c r="A126" s="29"/>
      <c r="B126" s="29"/>
      <c r="C126" s="29" t="s">
        <v>589</v>
      </c>
      <c r="D126" s="30" t="s">
        <v>590</v>
      </c>
      <c r="E126" s="31">
        <f>Source!AQ78</f>
        <v>378.17</v>
      </c>
      <c r="F126" s="32"/>
      <c r="G126" s="33" t="str">
        <f>Source!DI78</f>
        <v>)*1,15)*1,2</v>
      </c>
      <c r="H126" s="32">
        <f>Source!U78</f>
        <v>215.53420979999999</v>
      </c>
      <c r="I126" s="33"/>
      <c r="J126" s="32"/>
    </row>
    <row r="127" spans="1:21" ht="15" x14ac:dyDescent="0.25">
      <c r="C127" s="27" t="s">
        <v>591</v>
      </c>
      <c r="G127" s="71">
        <f>ROUND(Source!AC78*Source!I78, 2)+ROUND(Source!AF78*Source!I78, 2)+ROUND((((((Source!ET78*1.25)*1.2))-(((Source!EU78*1.25)*1.2)))+Source!AE78)*Source!I78, 2)+SUM(H124:H125)</f>
        <v>4905.17</v>
      </c>
      <c r="H127" s="71"/>
      <c r="I127" s="71">
        <f>Source!P78+Source!Q78+Source!S78+SUM(J124:J125)</f>
        <v>135152.62</v>
      </c>
      <c r="J127" s="71"/>
      <c r="O127" s="28">
        <f>G127</f>
        <v>4905.17</v>
      </c>
      <c r="P127" s="28">
        <f>I127</f>
        <v>135152.62</v>
      </c>
    </row>
    <row r="128" spans="1:21" ht="54" x14ac:dyDescent="0.2">
      <c r="A128" s="29">
        <v>16</v>
      </c>
      <c r="B128" s="29" t="str">
        <f>Source!F79</f>
        <v>Цена поставщика</v>
      </c>
      <c r="C128" s="29" t="s">
        <v>598</v>
      </c>
      <c r="D128" s="30" t="str">
        <f>Source!H79</f>
        <v>м2</v>
      </c>
      <c r="E128" s="31">
        <f>Source!I79</f>
        <v>15.708</v>
      </c>
      <c r="F128" s="32">
        <f>Source!AL79</f>
        <v>162.19</v>
      </c>
      <c r="G128" s="33" t="str">
        <f>Source!DD79</f>
        <v/>
      </c>
      <c r="H128" s="32">
        <f>ROUND(Source!AC79*Source!I79, 2)</f>
        <v>2547.6799999999998</v>
      </c>
      <c r="I128" s="33">
        <f>IF(Source!BC79&lt;&gt; 0, Source!BC79, 1)</f>
        <v>7.99</v>
      </c>
      <c r="J128" s="32">
        <f>Source!P79</f>
        <v>20355.97</v>
      </c>
      <c r="R128">
        <f>ROUND((Source!FX79/100)*((ROUND(Source!AF79*Source!I79, 2)+ROUND(Source!AE79*Source!I79, 2))), 2)</f>
        <v>0</v>
      </c>
      <c r="S128">
        <f>Source!X79</f>
        <v>0</v>
      </c>
      <c r="T128">
        <f>ROUND((Source!FY79/100)*((ROUND(Source!AF79*Source!I79, 2)+ROUND(Source!AE79*Source!I79, 2))), 2)</f>
        <v>0</v>
      </c>
      <c r="U128">
        <f>Source!Y79</f>
        <v>0</v>
      </c>
    </row>
    <row r="129" spans="1:21" ht="15" x14ac:dyDescent="0.25">
      <c r="C129" s="27" t="s">
        <v>591</v>
      </c>
      <c r="G129" s="71">
        <f>ROUND(Source!AC79*Source!I79, 2)+ROUND(Source!AF79*Source!I79, 2)+ROUND((((Source!ET79)-(Source!EU79))+Source!AE79)*Source!I79, 2)</f>
        <v>2547.6799999999998</v>
      </c>
      <c r="H129" s="71"/>
      <c r="I129" s="71">
        <f>Source!P79+Source!Q79+Source!S79</f>
        <v>20355.97</v>
      </c>
      <c r="J129" s="71"/>
      <c r="O129">
        <f>G129</f>
        <v>2547.6799999999998</v>
      </c>
      <c r="P129">
        <f>I129</f>
        <v>20355.97</v>
      </c>
    </row>
    <row r="130" spans="1:21" ht="68.25" x14ac:dyDescent="0.2">
      <c r="A130" s="29">
        <v>17</v>
      </c>
      <c r="B130" s="29" t="str">
        <f>Source!F80</f>
        <v>Цена поставщика</v>
      </c>
      <c r="C130" s="29" t="s">
        <v>599</v>
      </c>
      <c r="D130" s="30" t="str">
        <f>Source!H80</f>
        <v>м2</v>
      </c>
      <c r="E130" s="31">
        <f>Source!I80</f>
        <v>17.646000000000001</v>
      </c>
      <c r="F130" s="32">
        <f>Source!AL80</f>
        <v>162.19</v>
      </c>
      <c r="G130" s="33" t="str">
        <f>Source!DD80</f>
        <v/>
      </c>
      <c r="H130" s="32">
        <f>ROUND(Source!AC80*Source!I80, 2)</f>
        <v>2862</v>
      </c>
      <c r="I130" s="33">
        <f>IF(Source!BC80&lt;&gt; 0, Source!BC80, 1)</f>
        <v>7.99</v>
      </c>
      <c r="J130" s="32">
        <f>Source!P80</f>
        <v>22867.42</v>
      </c>
      <c r="R130">
        <f>ROUND((Source!FX80/100)*((ROUND(Source!AF80*Source!I80, 2)+ROUND(Source!AE80*Source!I80, 2))), 2)</f>
        <v>0</v>
      </c>
      <c r="S130">
        <f>Source!X80</f>
        <v>0</v>
      </c>
      <c r="T130">
        <f>ROUND((Source!FY80/100)*((ROUND(Source!AF80*Source!I80, 2)+ROUND(Source!AE80*Source!I80, 2))), 2)</f>
        <v>0</v>
      </c>
      <c r="U130">
        <f>Source!Y80</f>
        <v>0</v>
      </c>
    </row>
    <row r="131" spans="1:21" ht="15" x14ac:dyDescent="0.25">
      <c r="C131" s="27" t="s">
        <v>591</v>
      </c>
      <c r="G131" s="71">
        <f>ROUND(Source!AC80*Source!I80, 2)+ROUND(Source!AF80*Source!I80, 2)+ROUND((((Source!ET80)-(Source!EU80))+Source!AE80)*Source!I80, 2)</f>
        <v>2862</v>
      </c>
      <c r="H131" s="71"/>
      <c r="I131" s="71">
        <f>Source!P80+Source!Q80+Source!S80</f>
        <v>22867.42</v>
      </c>
      <c r="J131" s="71"/>
      <c r="O131">
        <f>G131</f>
        <v>2862</v>
      </c>
      <c r="P131">
        <f>I131</f>
        <v>22867.42</v>
      </c>
    </row>
    <row r="132" spans="1:21" ht="54" x14ac:dyDescent="0.2">
      <c r="A132" s="29">
        <v>18</v>
      </c>
      <c r="B132" s="29" t="str">
        <f>Source!F81</f>
        <v>Цена поставщика</v>
      </c>
      <c r="C132" s="29" t="s">
        <v>600</v>
      </c>
      <c r="D132" s="30" t="str">
        <f>Source!H81</f>
        <v>м2</v>
      </c>
      <c r="E132" s="31">
        <f>Source!I81</f>
        <v>8.7720000000000002</v>
      </c>
      <c r="F132" s="32">
        <f>Source!AL81</f>
        <v>263.12</v>
      </c>
      <c r="G132" s="33" t="str">
        <f>Source!DD81</f>
        <v/>
      </c>
      <c r="H132" s="32">
        <f>ROUND(Source!AC81*Source!I81, 2)</f>
        <v>2308.09</v>
      </c>
      <c r="I132" s="33">
        <f>IF(Source!BC81&lt;&gt; 0, Source!BC81, 1)</f>
        <v>7.99</v>
      </c>
      <c r="J132" s="32">
        <f>Source!P81</f>
        <v>18441.63</v>
      </c>
      <c r="R132">
        <f>ROUND((Source!FX81/100)*((ROUND(Source!AF81*Source!I81, 2)+ROUND(Source!AE81*Source!I81, 2))), 2)</f>
        <v>0</v>
      </c>
      <c r="S132">
        <f>Source!X81</f>
        <v>0</v>
      </c>
      <c r="T132">
        <f>ROUND((Source!FY81/100)*((ROUND(Source!AF81*Source!I81, 2)+ROUND(Source!AE81*Source!I81, 2))), 2)</f>
        <v>0</v>
      </c>
      <c r="U132">
        <f>Source!Y81</f>
        <v>0</v>
      </c>
    </row>
    <row r="133" spans="1:21" ht="15" x14ac:dyDescent="0.25">
      <c r="C133" s="27" t="s">
        <v>591</v>
      </c>
      <c r="G133" s="71">
        <f>ROUND(Source!AC81*Source!I81, 2)+ROUND(Source!AF81*Source!I81, 2)+ROUND((((Source!ET81)-(Source!EU81))+Source!AE81)*Source!I81, 2)</f>
        <v>2308.09</v>
      </c>
      <c r="H133" s="71"/>
      <c r="I133" s="71">
        <f>Source!P81+Source!Q81+Source!S81</f>
        <v>18441.63</v>
      </c>
      <c r="J133" s="71"/>
      <c r="O133">
        <f>G133</f>
        <v>2308.09</v>
      </c>
      <c r="P133">
        <f>I133</f>
        <v>18441.63</v>
      </c>
    </row>
    <row r="134" spans="1:21" ht="42.75" x14ac:dyDescent="0.2">
      <c r="A134" s="29">
        <v>19</v>
      </c>
      <c r="B134" s="29" t="str">
        <f>Source!F82</f>
        <v>Цена поставщика</v>
      </c>
      <c r="C134" s="29" t="s">
        <v>601</v>
      </c>
      <c r="D134" s="30" t="str">
        <f>Source!H82</f>
        <v>кг</v>
      </c>
      <c r="E134" s="31">
        <f>Source!I82</f>
        <v>495.6</v>
      </c>
      <c r="F134" s="32">
        <f>Source!AL82</f>
        <v>5.08</v>
      </c>
      <c r="G134" s="33" t="str">
        <f>Source!DD82</f>
        <v/>
      </c>
      <c r="H134" s="32">
        <f>ROUND(Source!AC82*Source!I82, 2)</f>
        <v>2517.65</v>
      </c>
      <c r="I134" s="33">
        <f>IF(Source!BC82&lt;&gt; 0, Source!BC82, 1)</f>
        <v>7.99</v>
      </c>
      <c r="J134" s="32">
        <f>Source!P82</f>
        <v>20116.009999999998</v>
      </c>
      <c r="R134">
        <f>ROUND((Source!FX82/100)*((ROUND(Source!AF82*Source!I82, 2)+ROUND(Source!AE82*Source!I82, 2))), 2)</f>
        <v>0</v>
      </c>
      <c r="S134">
        <f>Source!X82</f>
        <v>0</v>
      </c>
      <c r="T134">
        <f>ROUND((Source!FY82/100)*((ROUND(Source!AF82*Source!I82, 2)+ROUND(Source!AE82*Source!I82, 2))), 2)</f>
        <v>0</v>
      </c>
      <c r="U134">
        <f>Source!Y82</f>
        <v>0</v>
      </c>
    </row>
    <row r="135" spans="1:21" ht="15" x14ac:dyDescent="0.25">
      <c r="C135" s="27" t="s">
        <v>591</v>
      </c>
      <c r="G135" s="71">
        <f>ROUND(Source!AC82*Source!I82, 2)+ROUND(Source!AF82*Source!I82, 2)+ROUND((((Source!ET82)-(Source!EU82))+Source!AE82)*Source!I82, 2)</f>
        <v>2517.65</v>
      </c>
      <c r="H135" s="71"/>
      <c r="I135" s="71">
        <f>Source!P82+Source!Q82+Source!S82</f>
        <v>20116.009999999998</v>
      </c>
      <c r="J135" s="71"/>
      <c r="O135">
        <f>G135</f>
        <v>2517.65</v>
      </c>
      <c r="P135">
        <f>I135</f>
        <v>20116.009999999998</v>
      </c>
    </row>
    <row r="136" spans="1:21" ht="28.5" x14ac:dyDescent="0.2">
      <c r="A136" s="21">
        <v>20</v>
      </c>
      <c r="B136" s="21" t="str">
        <f>Source!F83</f>
        <v>08-02-007-03</v>
      </c>
      <c r="C136" s="21" t="str">
        <f>Source!G83</f>
        <v>Установка металлических решеток приямков</v>
      </c>
      <c r="D136" s="23" t="str">
        <f>Source!H83</f>
        <v>т</v>
      </c>
      <c r="E136" s="13">
        <f>Source!I83</f>
        <v>1.4999999999999999E-2</v>
      </c>
      <c r="F136" s="14">
        <f>Source!AL83+Source!AM83+Source!AO83</f>
        <v>1314.04</v>
      </c>
      <c r="G136" s="24"/>
      <c r="H136" s="14"/>
      <c r="I136" s="24" t="str">
        <f>Source!BO83</f>
        <v/>
      </c>
      <c r="J136" s="14"/>
      <c r="R136">
        <f>ROUND((Source!FX83/100)*((ROUND(Source!AF83*Source!I83, 2)+ROUND(Source!AE83*Source!I83, 2))), 2)</f>
        <v>9.24</v>
      </c>
      <c r="S136">
        <f>Source!X83</f>
        <v>258.12</v>
      </c>
      <c r="T136">
        <f>ROUND((Source!FY83/100)*((ROUND(Source!AF83*Source!I83, 2)+ROUND(Source!AE83*Source!I83, 2))), 2)</f>
        <v>4.93</v>
      </c>
      <c r="U136">
        <f>Source!Y83</f>
        <v>137.62</v>
      </c>
    </row>
    <row r="137" spans="1:21" ht="14.25" x14ac:dyDescent="0.2">
      <c r="A137" s="21"/>
      <c r="B137" s="21"/>
      <c r="C137" s="21" t="s">
        <v>583</v>
      </c>
      <c r="D137" s="23"/>
      <c r="E137" s="13"/>
      <c r="F137" s="14">
        <f>Source!AO83</f>
        <v>374.78</v>
      </c>
      <c r="G137" s="24" t="str">
        <f>Source!DG83</f>
        <v>)*1,15)*1,2</v>
      </c>
      <c r="H137" s="14">
        <f>ROUND(Source!AF83*Source!I83, 2)</f>
        <v>7.76</v>
      </c>
      <c r="I137" s="24">
        <f>IF(Source!BA83&lt;&gt; 0, Source!BA83, 1)</f>
        <v>27.94</v>
      </c>
      <c r="J137" s="14">
        <f>Source!S83</f>
        <v>216.76</v>
      </c>
      <c r="Q137">
        <f>ROUND(Source!AF83*Source!I83, 2)</f>
        <v>7.76</v>
      </c>
    </row>
    <row r="138" spans="1:21" ht="14.25" x14ac:dyDescent="0.2">
      <c r="A138" s="21"/>
      <c r="B138" s="21"/>
      <c r="C138" s="21" t="s">
        <v>584</v>
      </c>
      <c r="D138" s="23"/>
      <c r="E138" s="13"/>
      <c r="F138" s="14">
        <f>Source!AM83</f>
        <v>168.04</v>
      </c>
      <c r="G138" s="24" t="str">
        <f>Source!DE83</f>
        <v>)*1,25)*1,2</v>
      </c>
      <c r="H138" s="14">
        <f>ROUND((((((Source!ET83*1.25)*1.2))-(((Source!EU83*1.25)*1.2)))+Source!AE83)*Source!I83, 2)</f>
        <v>3.78</v>
      </c>
      <c r="I138" s="24">
        <f>IF(Source!BB83&lt;&gt; 0, Source!BB83, 1)</f>
        <v>11.05</v>
      </c>
      <c r="J138" s="14">
        <f>Source!Q83</f>
        <v>41.78</v>
      </c>
    </row>
    <row r="139" spans="1:21" ht="14.25" x14ac:dyDescent="0.2">
      <c r="A139" s="21"/>
      <c r="B139" s="21"/>
      <c r="C139" s="21" t="s">
        <v>585</v>
      </c>
      <c r="D139" s="23"/>
      <c r="E139" s="13"/>
      <c r="F139" s="14">
        <f>Source!AN83</f>
        <v>28.46</v>
      </c>
      <c r="G139" s="24" t="str">
        <f>Source!DF83</f>
        <v>)*1,25)*1,2</v>
      </c>
      <c r="H139" s="25">
        <f>ROUND(Source!AE83*Source!I83, 2)</f>
        <v>0.64</v>
      </c>
      <c r="I139" s="24">
        <f>IF(Source!BS83&lt;&gt; 0, Source!BS83, 1)</f>
        <v>27.94</v>
      </c>
      <c r="J139" s="25">
        <f>Source!R83</f>
        <v>17.89</v>
      </c>
      <c r="Q139">
        <f>ROUND(Source!AE83*Source!I83, 2)</f>
        <v>0.64</v>
      </c>
    </row>
    <row r="140" spans="1:21" ht="14.25" x14ac:dyDescent="0.2">
      <c r="A140" s="21"/>
      <c r="B140" s="21"/>
      <c r="C140" s="21" t="s">
        <v>592</v>
      </c>
      <c r="D140" s="23"/>
      <c r="E140" s="13"/>
      <c r="F140" s="14">
        <f>Source!AL83</f>
        <v>771.22</v>
      </c>
      <c r="G140" s="24" t="str">
        <f>Source!DD83</f>
        <v/>
      </c>
      <c r="H140" s="14">
        <f>ROUND(Source!AC83*Source!I83, 2)</f>
        <v>11.57</v>
      </c>
      <c r="I140" s="24">
        <f>IF(Source!BC83&lt;&gt; 0, Source!BC83, 1)</f>
        <v>7.99</v>
      </c>
      <c r="J140" s="14">
        <f>Source!P83</f>
        <v>92.43</v>
      </c>
    </row>
    <row r="141" spans="1:21" ht="14.25" x14ac:dyDescent="0.2">
      <c r="A141" s="21"/>
      <c r="B141" s="21"/>
      <c r="C141" s="21" t="s">
        <v>586</v>
      </c>
      <c r="D141" s="23" t="s">
        <v>587</v>
      </c>
      <c r="E141" s="13">
        <f>Source!BZ83</f>
        <v>110</v>
      </c>
      <c r="F141" s="14"/>
      <c r="G141" s="24"/>
      <c r="H141" s="14">
        <f>SUM(R136:R140)</f>
        <v>9.24</v>
      </c>
      <c r="I141" s="24">
        <f>Source!AT83</f>
        <v>110</v>
      </c>
      <c r="J141" s="14">
        <f>SUM(S136:S140)</f>
        <v>258.12</v>
      </c>
    </row>
    <row r="142" spans="1:21" ht="14.25" x14ac:dyDescent="0.2">
      <c r="A142" s="21"/>
      <c r="B142" s="21"/>
      <c r="C142" s="21" t="s">
        <v>588</v>
      </c>
      <c r="D142" s="23" t="s">
        <v>587</v>
      </c>
      <c r="E142" s="13">
        <f>Source!CA83</f>
        <v>69</v>
      </c>
      <c r="F142" s="73" t="str">
        <f>CONCATENATE(" )", Source!DM83, Source!FU83, "=", Source!FY83, "%")</f>
        <v xml:space="preserve"> )*0.85=58,65%</v>
      </c>
      <c r="G142" s="73"/>
      <c r="H142" s="14">
        <f>SUM(T136:T141)</f>
        <v>4.93</v>
      </c>
      <c r="I142" s="24">
        <f>Source!AU83</f>
        <v>58.65</v>
      </c>
      <c r="J142" s="14">
        <f>SUM(U136:U141)</f>
        <v>137.62</v>
      </c>
    </row>
    <row r="143" spans="1:21" ht="14.25" x14ac:dyDescent="0.2">
      <c r="A143" s="29"/>
      <c r="B143" s="29"/>
      <c r="C143" s="29" t="s">
        <v>589</v>
      </c>
      <c r="D143" s="30" t="s">
        <v>590</v>
      </c>
      <c r="E143" s="31">
        <f>Source!AQ83</f>
        <v>42.3</v>
      </c>
      <c r="F143" s="32"/>
      <c r="G143" s="33" t="str">
        <f>Source!DI83</f>
        <v>)*1,15)*1,2</v>
      </c>
      <c r="H143" s="32">
        <f>Source!U83</f>
        <v>0.87560999999999989</v>
      </c>
      <c r="I143" s="33"/>
      <c r="J143" s="32"/>
    </row>
    <row r="144" spans="1:21" ht="15" x14ac:dyDescent="0.25">
      <c r="C144" s="27" t="s">
        <v>591</v>
      </c>
      <c r="G144" s="71">
        <f>ROUND(Source!AC83*Source!I83, 2)+ROUND(Source!AF83*Source!I83, 2)+ROUND((((((Source!ET83*1.25)*1.2))-(((Source!EU83*1.25)*1.2)))+Source!AE83)*Source!I83, 2)+SUM(H141:H142)</f>
        <v>37.28</v>
      </c>
      <c r="H144" s="71"/>
      <c r="I144" s="71">
        <f>Source!P83+Source!Q83+Source!S83+SUM(J141:J142)</f>
        <v>746.71</v>
      </c>
      <c r="J144" s="71"/>
      <c r="O144" s="28">
        <f>G144</f>
        <v>37.28</v>
      </c>
      <c r="P144" s="28">
        <f>I144</f>
        <v>746.71</v>
      </c>
    </row>
    <row r="145" spans="1:21" ht="54" x14ac:dyDescent="0.2">
      <c r="A145" s="29">
        <v>21</v>
      </c>
      <c r="B145" s="29" t="str">
        <f>Source!F84</f>
        <v>Цена поставщика</v>
      </c>
      <c r="C145" s="29" t="s">
        <v>602</v>
      </c>
      <c r="D145" s="30" t="str">
        <f>Source!H84</f>
        <v>ШТ</v>
      </c>
      <c r="E145" s="31">
        <f>Source!I84</f>
        <v>3</v>
      </c>
      <c r="F145" s="32">
        <f>Source!AL84</f>
        <v>496.18000000000006</v>
      </c>
      <c r="G145" s="33" t="str">
        <f>Source!DD84</f>
        <v/>
      </c>
      <c r="H145" s="32">
        <f>ROUND(Source!AC84*Source!I84, 2)</f>
        <v>1488.54</v>
      </c>
      <c r="I145" s="33">
        <f>IF(Source!BC84&lt;&gt; 0, Source!BC84, 1)</f>
        <v>7.99</v>
      </c>
      <c r="J145" s="32">
        <f>Source!P84</f>
        <v>11893.43</v>
      </c>
      <c r="R145">
        <f>ROUND((Source!FX84/100)*((ROUND(Source!AF84*Source!I84, 2)+ROUND(Source!AE84*Source!I84, 2))), 2)</f>
        <v>0</v>
      </c>
      <c r="S145">
        <f>Source!X84</f>
        <v>0</v>
      </c>
      <c r="T145">
        <f>ROUND((Source!FY84/100)*((ROUND(Source!AF84*Source!I84, 2)+ROUND(Source!AE84*Source!I84, 2))), 2)</f>
        <v>0</v>
      </c>
      <c r="U145">
        <f>Source!Y84</f>
        <v>0</v>
      </c>
    </row>
    <row r="146" spans="1:21" ht="15" x14ac:dyDescent="0.25">
      <c r="C146" s="27" t="s">
        <v>591</v>
      </c>
      <c r="G146" s="71">
        <f>ROUND(Source!AC84*Source!I84, 2)+ROUND(Source!AF84*Source!I84, 2)+ROUND((((Source!ET84)-(Source!EU84))+Source!AE84)*Source!I84, 2)</f>
        <v>1488.54</v>
      </c>
      <c r="H146" s="71"/>
      <c r="I146" s="71">
        <f>Source!P84+Source!Q84+Source!S84</f>
        <v>11893.43</v>
      </c>
      <c r="J146" s="71"/>
      <c r="O146">
        <f>G146</f>
        <v>1488.54</v>
      </c>
      <c r="P146">
        <f>I146</f>
        <v>11893.43</v>
      </c>
    </row>
    <row r="147" spans="1:21" ht="57" x14ac:dyDescent="0.2">
      <c r="A147" s="21">
        <v>22</v>
      </c>
      <c r="B147" s="21" t="str">
        <f>Source!F85</f>
        <v>58-19-2</v>
      </c>
      <c r="C147" s="21" t="str">
        <f>Source!G85</f>
        <v>Смена мелких покрытий из листовой стали в кровлях из рулонных и штучных материалов: настенных желобов</v>
      </c>
      <c r="D147" s="23" t="str">
        <f>Source!H85</f>
        <v>100 м</v>
      </c>
      <c r="E147" s="13">
        <f>Source!I85</f>
        <v>0.193</v>
      </c>
      <c r="F147" s="14">
        <f>Source!AL85+Source!AM85+Source!AO85</f>
        <v>1479.48</v>
      </c>
      <c r="G147" s="24"/>
      <c r="H147" s="14"/>
      <c r="I147" s="24" t="str">
        <f>Source!BO85</f>
        <v/>
      </c>
      <c r="J147" s="14"/>
      <c r="R147">
        <f>ROUND((Source!FX85/100)*((ROUND(Source!AF85*Source!I85, 2)+ROUND(Source!AE85*Source!I85, 2))), 2)</f>
        <v>123.62</v>
      </c>
      <c r="S147">
        <f>Source!X85</f>
        <v>3453.81</v>
      </c>
      <c r="T147">
        <f>ROUND((Source!FY85/100)*((ROUND(Source!AF85*Source!I85, 2)+ROUND(Source!AE85*Source!I85, 2))), 2)</f>
        <v>63.19</v>
      </c>
      <c r="U147">
        <f>Source!Y85</f>
        <v>1765.28</v>
      </c>
    </row>
    <row r="148" spans="1:21" ht="14.25" x14ac:dyDescent="0.2">
      <c r="A148" s="21"/>
      <c r="B148" s="21"/>
      <c r="C148" s="21" t="s">
        <v>583</v>
      </c>
      <c r="D148" s="23"/>
      <c r="E148" s="13"/>
      <c r="F148" s="14">
        <f>Source!AO85</f>
        <v>708.42</v>
      </c>
      <c r="G148" s="24" t="str">
        <f>Source!DG85</f>
        <v/>
      </c>
      <c r="H148" s="14">
        <f>ROUND(Source!AF85*Source!I85, 2)</f>
        <v>136.72999999999999</v>
      </c>
      <c r="I148" s="24">
        <f>IF(Source!BA85&lt;&gt; 0, Source!BA85, 1)</f>
        <v>27.94</v>
      </c>
      <c r="J148" s="14">
        <f>Source!S85</f>
        <v>3820.1</v>
      </c>
      <c r="Q148">
        <f>ROUND(Source!AF85*Source!I85, 2)</f>
        <v>136.72999999999999</v>
      </c>
    </row>
    <row r="149" spans="1:21" ht="14.25" x14ac:dyDescent="0.2">
      <c r="A149" s="21"/>
      <c r="B149" s="21"/>
      <c r="C149" s="21" t="s">
        <v>584</v>
      </c>
      <c r="D149" s="23"/>
      <c r="E149" s="13"/>
      <c r="F149" s="14">
        <f>Source!AM85</f>
        <v>10.23</v>
      </c>
      <c r="G149" s="24" t="str">
        <f>Source!DE85</f>
        <v/>
      </c>
      <c r="H149" s="14">
        <f>ROUND((((Source!ET85)-(Source!EU85))+Source!AE85)*Source!I85, 2)</f>
        <v>1.97</v>
      </c>
      <c r="I149" s="24">
        <f>IF(Source!BB85&lt;&gt; 0, Source!BB85, 1)</f>
        <v>11.05</v>
      </c>
      <c r="J149" s="14">
        <f>Source!Q85</f>
        <v>21.82</v>
      </c>
    </row>
    <row r="150" spans="1:21" ht="14.25" x14ac:dyDescent="0.2">
      <c r="A150" s="21"/>
      <c r="B150" s="21"/>
      <c r="C150" s="21" t="s">
        <v>585</v>
      </c>
      <c r="D150" s="23"/>
      <c r="E150" s="13"/>
      <c r="F150" s="14">
        <f>Source!AN85</f>
        <v>3.24</v>
      </c>
      <c r="G150" s="24" t="str">
        <f>Source!DF85</f>
        <v/>
      </c>
      <c r="H150" s="25">
        <f>ROUND(Source!AE85*Source!I85, 2)</f>
        <v>0.63</v>
      </c>
      <c r="I150" s="24">
        <f>IF(Source!BS85&lt;&gt; 0, Source!BS85, 1)</f>
        <v>27.94</v>
      </c>
      <c r="J150" s="25">
        <f>Source!R85</f>
        <v>17.47</v>
      </c>
      <c r="Q150">
        <f>ROUND(Source!AE85*Source!I85, 2)</f>
        <v>0.63</v>
      </c>
    </row>
    <row r="151" spans="1:21" ht="14.25" x14ac:dyDescent="0.2">
      <c r="A151" s="21"/>
      <c r="B151" s="21"/>
      <c r="C151" s="21" t="s">
        <v>592</v>
      </c>
      <c r="D151" s="23"/>
      <c r="E151" s="13"/>
      <c r="F151" s="14">
        <f>Source!AL85</f>
        <v>760.83</v>
      </c>
      <c r="G151" s="24" t="str">
        <f>Source!DD85</f>
        <v/>
      </c>
      <c r="H151" s="14">
        <f>ROUND(Source!AC85*Source!I85, 2)</f>
        <v>146.84</v>
      </c>
      <c r="I151" s="24">
        <f>IF(Source!BC85&lt;&gt; 0, Source!BC85, 1)</f>
        <v>7.99</v>
      </c>
      <c r="J151" s="14">
        <f>Source!P85</f>
        <v>1173.25</v>
      </c>
    </row>
    <row r="152" spans="1:21" ht="14.25" x14ac:dyDescent="0.2">
      <c r="A152" s="21"/>
      <c r="B152" s="21"/>
      <c r="C152" s="21" t="s">
        <v>586</v>
      </c>
      <c r="D152" s="23" t="s">
        <v>587</v>
      </c>
      <c r="E152" s="13">
        <f>Source!BZ85</f>
        <v>90</v>
      </c>
      <c r="F152" s="14"/>
      <c r="G152" s="24"/>
      <c r="H152" s="14">
        <f>SUM(R147:R151)</f>
        <v>123.62</v>
      </c>
      <c r="I152" s="24">
        <f>Source!AT85</f>
        <v>90</v>
      </c>
      <c r="J152" s="14">
        <f>SUM(S147:S151)</f>
        <v>3453.81</v>
      </c>
    </row>
    <row r="153" spans="1:21" ht="14.25" x14ac:dyDescent="0.2">
      <c r="A153" s="21"/>
      <c r="B153" s="21"/>
      <c r="C153" s="21" t="s">
        <v>588</v>
      </c>
      <c r="D153" s="23" t="s">
        <v>587</v>
      </c>
      <c r="E153" s="13">
        <f>Source!CA85</f>
        <v>46</v>
      </c>
      <c r="F153" s="14"/>
      <c r="G153" s="24"/>
      <c r="H153" s="14">
        <f>SUM(T147:T152)</f>
        <v>63.19</v>
      </c>
      <c r="I153" s="24">
        <f>Source!AU85</f>
        <v>46</v>
      </c>
      <c r="J153" s="14">
        <f>SUM(U147:U152)</f>
        <v>1765.28</v>
      </c>
    </row>
    <row r="154" spans="1:21" ht="14.25" x14ac:dyDescent="0.2">
      <c r="A154" s="29"/>
      <c r="B154" s="29"/>
      <c r="C154" s="29" t="s">
        <v>589</v>
      </c>
      <c r="D154" s="30" t="s">
        <v>590</v>
      </c>
      <c r="E154" s="31">
        <f>Source!AQ85</f>
        <v>86.71</v>
      </c>
      <c r="F154" s="32"/>
      <c r="G154" s="33" t="str">
        <f>Source!DI85</f>
        <v/>
      </c>
      <c r="H154" s="32">
        <f>Source!U85</f>
        <v>16.735029999999998</v>
      </c>
      <c r="I154" s="33"/>
      <c r="J154" s="32"/>
    </row>
    <row r="155" spans="1:21" ht="15" x14ac:dyDescent="0.25">
      <c r="C155" s="27" t="s">
        <v>591</v>
      </c>
      <c r="G155" s="71">
        <f>ROUND(Source!AC85*Source!I85, 2)+ROUND(Source!AF85*Source!I85, 2)+ROUND((((Source!ET85)-(Source!EU85))+Source!AE85)*Source!I85, 2)+SUM(H152:H153)</f>
        <v>472.35</v>
      </c>
      <c r="H155" s="71"/>
      <c r="I155" s="71">
        <f>Source!P85+Source!Q85+Source!S85+SUM(J152:J153)</f>
        <v>10234.26</v>
      </c>
      <c r="J155" s="71"/>
      <c r="O155" s="28">
        <f>G155</f>
        <v>472.35</v>
      </c>
      <c r="P155" s="28">
        <f>I155</f>
        <v>10234.26</v>
      </c>
    </row>
    <row r="156" spans="1:21" ht="54" x14ac:dyDescent="0.2">
      <c r="A156" s="29">
        <v>23</v>
      </c>
      <c r="B156" s="29" t="str">
        <f>Source!F86</f>
        <v>Цена поставщика</v>
      </c>
      <c r="C156" s="29" t="s">
        <v>603</v>
      </c>
      <c r="D156" s="30" t="str">
        <f>Source!H86</f>
        <v>м</v>
      </c>
      <c r="E156" s="31">
        <f>Source!I86</f>
        <v>19.3</v>
      </c>
      <c r="F156" s="32">
        <f>Source!AL86</f>
        <v>27.03</v>
      </c>
      <c r="G156" s="33" t="str">
        <f>Source!DD86</f>
        <v/>
      </c>
      <c r="H156" s="32">
        <f>ROUND(Source!AC86*Source!I86, 2)</f>
        <v>521.67999999999995</v>
      </c>
      <c r="I156" s="33">
        <f>IF(Source!BC86&lt;&gt; 0, Source!BC86, 1)</f>
        <v>7.99</v>
      </c>
      <c r="J156" s="32">
        <f>Source!P86</f>
        <v>4168.22</v>
      </c>
      <c r="R156">
        <f>ROUND((Source!FX86/100)*((ROUND(Source!AF86*Source!I86, 2)+ROUND(Source!AE86*Source!I86, 2))), 2)</f>
        <v>0</v>
      </c>
      <c r="S156">
        <f>Source!X86</f>
        <v>0</v>
      </c>
      <c r="T156">
        <f>ROUND((Source!FY86/100)*((ROUND(Source!AF86*Source!I86, 2)+ROUND(Source!AE86*Source!I86, 2))), 2)</f>
        <v>0</v>
      </c>
      <c r="U156">
        <f>Source!Y86</f>
        <v>0</v>
      </c>
    </row>
    <row r="157" spans="1:21" ht="15" x14ac:dyDescent="0.25">
      <c r="C157" s="27" t="s">
        <v>591</v>
      </c>
      <c r="G157" s="71">
        <f>ROUND(Source!AC86*Source!I86, 2)+ROUND(Source!AF86*Source!I86, 2)+ROUND((((Source!ET86)-(Source!EU86))+Source!AE86)*Source!I86, 2)</f>
        <v>521.67999999999995</v>
      </c>
      <c r="H157" s="71"/>
      <c r="I157" s="71">
        <f>Source!P86+Source!Q86+Source!S86</f>
        <v>4168.22</v>
      </c>
      <c r="J157" s="71"/>
      <c r="O157">
        <f>G157</f>
        <v>521.67999999999995</v>
      </c>
      <c r="P157">
        <f>I157</f>
        <v>4168.22</v>
      </c>
    </row>
    <row r="158" spans="1:21" ht="42.75" x14ac:dyDescent="0.2">
      <c r="A158" s="29">
        <v>24</v>
      </c>
      <c r="B158" s="29" t="str">
        <f>Source!F87</f>
        <v>Цена поставщика</v>
      </c>
      <c r="C158" s="29" t="s">
        <v>604</v>
      </c>
      <c r="D158" s="30" t="str">
        <f>Source!H87</f>
        <v>ШТ</v>
      </c>
      <c r="E158" s="31">
        <f>Source!I87</f>
        <v>2</v>
      </c>
      <c r="F158" s="32">
        <f>Source!AL87</f>
        <v>9.2799999999999994</v>
      </c>
      <c r="G158" s="33" t="str">
        <f>Source!DD87</f>
        <v/>
      </c>
      <c r="H158" s="32">
        <f>ROUND(Source!AC87*Source!I87, 2)</f>
        <v>18.559999999999999</v>
      </c>
      <c r="I158" s="33">
        <f>IF(Source!BC87&lt;&gt; 0, Source!BC87, 1)</f>
        <v>7.99</v>
      </c>
      <c r="J158" s="32">
        <f>Source!P87</f>
        <v>148.29</v>
      </c>
      <c r="R158">
        <f>ROUND((Source!FX87/100)*((ROUND(Source!AF87*Source!I87, 2)+ROUND(Source!AE87*Source!I87, 2))), 2)</f>
        <v>0</v>
      </c>
      <c r="S158">
        <f>Source!X87</f>
        <v>0</v>
      </c>
      <c r="T158">
        <f>ROUND((Source!FY87/100)*((ROUND(Source!AF87*Source!I87, 2)+ROUND(Source!AE87*Source!I87, 2))), 2)</f>
        <v>0</v>
      </c>
      <c r="U158">
        <f>Source!Y87</f>
        <v>0</v>
      </c>
    </row>
    <row r="159" spans="1:21" ht="15" x14ac:dyDescent="0.25">
      <c r="C159" s="27" t="s">
        <v>591</v>
      </c>
      <c r="G159" s="71">
        <f>ROUND(Source!AC87*Source!I87, 2)+ROUND(Source!AF87*Source!I87, 2)+ROUND((((Source!ET87)-(Source!EU87))+Source!AE87)*Source!I87, 2)</f>
        <v>18.559999999999999</v>
      </c>
      <c r="H159" s="71"/>
      <c r="I159" s="71">
        <f>Source!P87+Source!Q87+Source!S87</f>
        <v>148.29</v>
      </c>
      <c r="J159" s="71"/>
      <c r="O159">
        <f>G159</f>
        <v>18.559999999999999</v>
      </c>
      <c r="P159">
        <f>I159</f>
        <v>148.29</v>
      </c>
    </row>
    <row r="160" spans="1:21" ht="28.5" x14ac:dyDescent="0.2">
      <c r="A160" s="21">
        <v>25</v>
      </c>
      <c r="B160" s="21" t="str">
        <f>Source!F88</f>
        <v>58-10-1</v>
      </c>
      <c r="C160" s="21" t="str">
        <f>Source!G88</f>
        <v>Смена: прямых звеньев водосточных труб с земли, лестниц или подмостей</v>
      </c>
      <c r="D160" s="23" t="str">
        <f>Source!H88</f>
        <v>100 м</v>
      </c>
      <c r="E160" s="13">
        <f>Source!I88</f>
        <v>0.14000000000000001</v>
      </c>
      <c r="F160" s="14">
        <f>Source!AL88+Source!AM88+Source!AO88</f>
        <v>324.66999999999996</v>
      </c>
      <c r="G160" s="24"/>
      <c r="H160" s="14"/>
      <c r="I160" s="24" t="str">
        <f>Source!BO88</f>
        <v/>
      </c>
      <c r="J160" s="14"/>
      <c r="R160">
        <f>ROUND((Source!FX88/100)*((ROUND(Source!AF88*Source!I88, 2)+ROUND(Source!AE88*Source!I88, 2))), 2)</f>
        <v>39.74</v>
      </c>
      <c r="S160">
        <f>Source!X88</f>
        <v>1110.3800000000001</v>
      </c>
      <c r="T160">
        <f>ROUND((Source!FY88/100)*((ROUND(Source!AF88*Source!I88, 2)+ROUND(Source!AE88*Source!I88, 2))), 2)</f>
        <v>20.309999999999999</v>
      </c>
      <c r="U160">
        <f>Source!Y88</f>
        <v>567.53</v>
      </c>
    </row>
    <row r="161" spans="1:21" x14ac:dyDescent="0.2">
      <c r="C161" s="34" t="str">
        <f>"Объем: "&amp;Source!I88&amp;"=14/"&amp;"100"</f>
        <v>Объем: 0,14=14/100</v>
      </c>
    </row>
    <row r="162" spans="1:21" ht="14.25" x14ac:dyDescent="0.2">
      <c r="A162" s="21"/>
      <c r="B162" s="21"/>
      <c r="C162" s="21" t="s">
        <v>583</v>
      </c>
      <c r="D162" s="23"/>
      <c r="E162" s="13"/>
      <c r="F162" s="14">
        <f>Source!AO88</f>
        <v>313.89999999999998</v>
      </c>
      <c r="G162" s="24" t="str">
        <f>Source!DG88</f>
        <v/>
      </c>
      <c r="H162" s="14">
        <f>ROUND(Source!AF88*Source!I88, 2)</f>
        <v>43.95</v>
      </c>
      <c r="I162" s="24">
        <f>IF(Source!BA88&lt;&gt; 0, Source!BA88, 1)</f>
        <v>27.94</v>
      </c>
      <c r="J162" s="14">
        <f>Source!S88</f>
        <v>1227.8499999999999</v>
      </c>
      <c r="Q162">
        <f>ROUND(Source!AF88*Source!I88, 2)</f>
        <v>43.95</v>
      </c>
    </row>
    <row r="163" spans="1:21" ht="14.25" x14ac:dyDescent="0.2">
      <c r="A163" s="21"/>
      <c r="B163" s="21"/>
      <c r="C163" s="21" t="s">
        <v>584</v>
      </c>
      <c r="D163" s="23"/>
      <c r="E163" s="13"/>
      <c r="F163" s="14">
        <f>Source!AM88</f>
        <v>8.5399999999999991</v>
      </c>
      <c r="G163" s="24" t="str">
        <f>Source!DE88</f>
        <v/>
      </c>
      <c r="H163" s="14">
        <f>ROUND((((Source!ET88)-(Source!EU88))+Source!AE88)*Source!I88, 2)</f>
        <v>1.2</v>
      </c>
      <c r="I163" s="24">
        <f>IF(Source!BB88&lt;&gt; 0, Source!BB88, 1)</f>
        <v>11.05</v>
      </c>
      <c r="J163" s="14">
        <f>Source!Q88</f>
        <v>13.21</v>
      </c>
    </row>
    <row r="164" spans="1:21" ht="14.25" x14ac:dyDescent="0.2">
      <c r="A164" s="21"/>
      <c r="B164" s="21"/>
      <c r="C164" s="21" t="s">
        <v>585</v>
      </c>
      <c r="D164" s="23"/>
      <c r="E164" s="13"/>
      <c r="F164" s="14">
        <f>Source!AN88</f>
        <v>1.51</v>
      </c>
      <c r="G164" s="24" t="str">
        <f>Source!DF88</f>
        <v/>
      </c>
      <c r="H164" s="25">
        <f>ROUND(Source!AE88*Source!I88, 2)</f>
        <v>0.21</v>
      </c>
      <c r="I164" s="24">
        <f>IF(Source!BS88&lt;&gt; 0, Source!BS88, 1)</f>
        <v>27.94</v>
      </c>
      <c r="J164" s="25">
        <f>Source!R88</f>
        <v>5.91</v>
      </c>
      <c r="Q164">
        <f>ROUND(Source!AE88*Source!I88, 2)</f>
        <v>0.21</v>
      </c>
    </row>
    <row r="165" spans="1:21" ht="14.25" x14ac:dyDescent="0.2">
      <c r="A165" s="21"/>
      <c r="B165" s="21"/>
      <c r="C165" s="21" t="s">
        <v>592</v>
      </c>
      <c r="D165" s="23"/>
      <c r="E165" s="13"/>
      <c r="F165" s="14">
        <f>Source!AL88</f>
        <v>2.23</v>
      </c>
      <c r="G165" s="24" t="str">
        <f>Source!DD88</f>
        <v/>
      </c>
      <c r="H165" s="14">
        <f>ROUND(Source!AC88*Source!I88, 2)</f>
        <v>0.31</v>
      </c>
      <c r="I165" s="24">
        <f>IF(Source!BC88&lt;&gt; 0, Source!BC88, 1)</f>
        <v>7.99</v>
      </c>
      <c r="J165" s="14">
        <f>Source!P88</f>
        <v>2.4900000000000002</v>
      </c>
    </row>
    <row r="166" spans="1:21" ht="14.25" x14ac:dyDescent="0.2">
      <c r="A166" s="21"/>
      <c r="B166" s="21"/>
      <c r="C166" s="21" t="s">
        <v>586</v>
      </c>
      <c r="D166" s="23" t="s">
        <v>587</v>
      </c>
      <c r="E166" s="13">
        <f>Source!BZ88</f>
        <v>90</v>
      </c>
      <c r="F166" s="14"/>
      <c r="G166" s="24"/>
      <c r="H166" s="14">
        <f>SUM(R160:R165)</f>
        <v>39.74</v>
      </c>
      <c r="I166" s="24">
        <f>Source!AT88</f>
        <v>90</v>
      </c>
      <c r="J166" s="14">
        <f>SUM(S160:S165)</f>
        <v>1110.3800000000001</v>
      </c>
    </row>
    <row r="167" spans="1:21" ht="14.25" x14ac:dyDescent="0.2">
      <c r="A167" s="21"/>
      <c r="B167" s="21"/>
      <c r="C167" s="21" t="s">
        <v>588</v>
      </c>
      <c r="D167" s="23" t="s">
        <v>587</v>
      </c>
      <c r="E167" s="13">
        <f>Source!CA88</f>
        <v>46</v>
      </c>
      <c r="F167" s="14"/>
      <c r="G167" s="24"/>
      <c r="H167" s="14">
        <f>SUM(T160:T166)</f>
        <v>20.309999999999999</v>
      </c>
      <c r="I167" s="24">
        <f>Source!AU88</f>
        <v>46</v>
      </c>
      <c r="J167" s="14">
        <f>SUM(U160:U166)</f>
        <v>567.53</v>
      </c>
    </row>
    <row r="168" spans="1:21" ht="14.25" x14ac:dyDescent="0.2">
      <c r="A168" s="29"/>
      <c r="B168" s="29"/>
      <c r="C168" s="29" t="s">
        <v>589</v>
      </c>
      <c r="D168" s="30" t="s">
        <v>590</v>
      </c>
      <c r="E168" s="31">
        <f>Source!AQ88</f>
        <v>36.799999999999997</v>
      </c>
      <c r="F168" s="32"/>
      <c r="G168" s="33" t="str">
        <f>Source!DI88</f>
        <v/>
      </c>
      <c r="H168" s="32">
        <f>Source!U88</f>
        <v>5.1520000000000001</v>
      </c>
      <c r="I168" s="33"/>
      <c r="J168" s="32"/>
    </row>
    <row r="169" spans="1:21" ht="15" x14ac:dyDescent="0.25">
      <c r="C169" s="27" t="s">
        <v>591</v>
      </c>
      <c r="G169" s="71">
        <f>ROUND(Source!AC88*Source!I88, 2)+ROUND(Source!AF88*Source!I88, 2)+ROUND((((Source!ET88)-(Source!EU88))+Source!AE88)*Source!I88, 2)+SUM(H166:H167)</f>
        <v>105.51</v>
      </c>
      <c r="H169" s="71"/>
      <c r="I169" s="71">
        <f>Source!P88+Source!Q88+Source!S88+SUM(J166:J167)</f>
        <v>2921.46</v>
      </c>
      <c r="J169" s="71"/>
      <c r="O169" s="28">
        <f>G169</f>
        <v>105.51</v>
      </c>
      <c r="P169" s="28">
        <f>I169</f>
        <v>2921.46</v>
      </c>
    </row>
    <row r="170" spans="1:21" ht="54" x14ac:dyDescent="0.2">
      <c r="A170" s="29">
        <v>26</v>
      </c>
      <c r="B170" s="29" t="str">
        <f>Source!F89</f>
        <v>Цена поставщика</v>
      </c>
      <c r="C170" s="29" t="s">
        <v>605</v>
      </c>
      <c r="D170" s="30" t="str">
        <f>Source!H89</f>
        <v>м</v>
      </c>
      <c r="E170" s="31">
        <f>Source!I89</f>
        <v>16.03</v>
      </c>
      <c r="F170" s="32">
        <f>Source!AL89</f>
        <v>35.01</v>
      </c>
      <c r="G170" s="33" t="str">
        <f>Source!DD89</f>
        <v/>
      </c>
      <c r="H170" s="32">
        <f>ROUND(Source!AC89*Source!I89, 2)</f>
        <v>561.21</v>
      </c>
      <c r="I170" s="33">
        <f>IF(Source!BC89&lt;&gt; 0, Source!BC89, 1)</f>
        <v>7.99</v>
      </c>
      <c r="J170" s="32">
        <f>Source!P89</f>
        <v>4484.07</v>
      </c>
      <c r="R170">
        <f>ROUND((Source!FX89/100)*((ROUND(Source!AF89*Source!I89, 2)+ROUND(Source!AE89*Source!I89, 2))), 2)</f>
        <v>0</v>
      </c>
      <c r="S170">
        <f>Source!X89</f>
        <v>0</v>
      </c>
      <c r="T170">
        <f>ROUND((Source!FY89/100)*((ROUND(Source!AF89*Source!I89, 2)+ROUND(Source!AE89*Source!I89, 2))), 2)</f>
        <v>0</v>
      </c>
      <c r="U170">
        <f>Source!Y89</f>
        <v>0</v>
      </c>
    </row>
    <row r="171" spans="1:21" ht="15" x14ac:dyDescent="0.25">
      <c r="C171" s="27" t="s">
        <v>591</v>
      </c>
      <c r="G171" s="71">
        <f>ROUND(Source!AC89*Source!I89, 2)+ROUND(Source!AF89*Source!I89, 2)+ROUND((((Source!ET89)-(Source!EU89))+Source!AE89)*Source!I89, 2)</f>
        <v>561.21</v>
      </c>
      <c r="H171" s="71"/>
      <c r="I171" s="71">
        <f>Source!P89+Source!Q89+Source!S89</f>
        <v>4484.07</v>
      </c>
      <c r="J171" s="71"/>
      <c r="O171">
        <f>G171</f>
        <v>561.21</v>
      </c>
      <c r="P171">
        <f>I171</f>
        <v>4484.07</v>
      </c>
    </row>
    <row r="172" spans="1:21" ht="28.5" x14ac:dyDescent="0.2">
      <c r="A172" s="21">
        <v>27</v>
      </c>
      <c r="B172" s="21" t="str">
        <f>Source!F90</f>
        <v>58-10-3</v>
      </c>
      <c r="C172" s="21" t="str">
        <f>Source!G90</f>
        <v>Смена: колен водосточных труб с земли, лестниц и подмостей</v>
      </c>
      <c r="D172" s="23" t="str">
        <f>Source!H90</f>
        <v>100 ШТ</v>
      </c>
      <c r="E172" s="13">
        <f>Source!I90</f>
        <v>0.04</v>
      </c>
      <c r="F172" s="14">
        <f>Source!AL90+Source!AM90+Source!AO90</f>
        <v>628</v>
      </c>
      <c r="G172" s="24"/>
      <c r="H172" s="14"/>
      <c r="I172" s="24" t="str">
        <f>Source!BO90</f>
        <v/>
      </c>
      <c r="J172" s="14"/>
      <c r="R172">
        <f>ROUND((Source!FX90/100)*((ROUND(Source!AF90*Source!I90, 2)+ROUND(Source!AE90*Source!I90, 2))), 2)</f>
        <v>16.5</v>
      </c>
      <c r="S172">
        <f>Source!X90</f>
        <v>460.82</v>
      </c>
      <c r="T172">
        <f>ROUND((Source!FY90/100)*((ROUND(Source!AF90*Source!I90, 2)+ROUND(Source!AE90*Source!I90, 2))), 2)</f>
        <v>8.43</v>
      </c>
      <c r="U172">
        <f>Source!Y90</f>
        <v>235.53</v>
      </c>
    </row>
    <row r="173" spans="1:21" x14ac:dyDescent="0.2">
      <c r="C173" s="34" t="str">
        <f>"Объем: "&amp;Source!I90&amp;"=4/"&amp;"100"</f>
        <v>Объем: 0,04=4/100</v>
      </c>
    </row>
    <row r="174" spans="1:21" ht="14.25" x14ac:dyDescent="0.2">
      <c r="A174" s="21"/>
      <c r="B174" s="21"/>
      <c r="C174" s="21" t="s">
        <v>583</v>
      </c>
      <c r="D174" s="23"/>
      <c r="E174" s="13"/>
      <c r="F174" s="14">
        <f>Source!AO90</f>
        <v>457.21</v>
      </c>
      <c r="G174" s="24" t="str">
        <f>Source!DG90</f>
        <v/>
      </c>
      <c r="H174" s="14">
        <f>ROUND(Source!AF90*Source!I90, 2)</f>
        <v>18.29</v>
      </c>
      <c r="I174" s="24">
        <f>IF(Source!BA90&lt;&gt; 0, Source!BA90, 1)</f>
        <v>27.94</v>
      </c>
      <c r="J174" s="14">
        <f>Source!S90</f>
        <v>510.98</v>
      </c>
      <c r="Q174">
        <f>ROUND(Source!AF90*Source!I90, 2)</f>
        <v>18.29</v>
      </c>
    </row>
    <row r="175" spans="1:21" ht="14.25" x14ac:dyDescent="0.2">
      <c r="A175" s="21"/>
      <c r="B175" s="21"/>
      <c r="C175" s="21" t="s">
        <v>584</v>
      </c>
      <c r="D175" s="23"/>
      <c r="E175" s="13"/>
      <c r="F175" s="14">
        <f>Source!AM90</f>
        <v>5.26</v>
      </c>
      <c r="G175" s="24" t="str">
        <f>Source!DE90</f>
        <v/>
      </c>
      <c r="H175" s="14">
        <f>ROUND((((Source!ET90)-(Source!EU90))+Source!AE90)*Source!I90, 2)</f>
        <v>0.21</v>
      </c>
      <c r="I175" s="24">
        <f>IF(Source!BB90&lt;&gt; 0, Source!BB90, 1)</f>
        <v>11.05</v>
      </c>
      <c r="J175" s="14">
        <f>Source!Q90</f>
        <v>2.3199999999999998</v>
      </c>
    </row>
    <row r="176" spans="1:21" ht="14.25" x14ac:dyDescent="0.2">
      <c r="A176" s="21"/>
      <c r="B176" s="21"/>
      <c r="C176" s="21" t="s">
        <v>585</v>
      </c>
      <c r="D176" s="23"/>
      <c r="E176" s="13"/>
      <c r="F176" s="14">
        <f>Source!AN90</f>
        <v>0.93</v>
      </c>
      <c r="G176" s="24" t="str">
        <f>Source!DF90</f>
        <v/>
      </c>
      <c r="H176" s="25">
        <f>ROUND(Source!AE90*Source!I90, 2)</f>
        <v>0.04</v>
      </c>
      <c r="I176" s="24">
        <f>IF(Source!BS90&lt;&gt; 0, Source!BS90, 1)</f>
        <v>27.94</v>
      </c>
      <c r="J176" s="25">
        <f>Source!R90</f>
        <v>1.04</v>
      </c>
      <c r="Q176">
        <f>ROUND(Source!AE90*Source!I90, 2)</f>
        <v>0.04</v>
      </c>
    </row>
    <row r="177" spans="1:21" ht="14.25" x14ac:dyDescent="0.2">
      <c r="A177" s="21"/>
      <c r="B177" s="21"/>
      <c r="C177" s="21" t="s">
        <v>592</v>
      </c>
      <c r="D177" s="23"/>
      <c r="E177" s="13"/>
      <c r="F177" s="14">
        <f>Source!AL90</f>
        <v>165.53</v>
      </c>
      <c r="G177" s="24" t="str">
        <f>Source!DD90</f>
        <v/>
      </c>
      <c r="H177" s="14">
        <f>ROUND(Source!AC90*Source!I90, 2)</f>
        <v>6.62</v>
      </c>
      <c r="I177" s="24">
        <f>IF(Source!BC90&lt;&gt; 0, Source!BC90, 1)</f>
        <v>7.99</v>
      </c>
      <c r="J177" s="14">
        <f>Source!P90</f>
        <v>52.9</v>
      </c>
    </row>
    <row r="178" spans="1:21" ht="14.25" x14ac:dyDescent="0.2">
      <c r="A178" s="21"/>
      <c r="B178" s="21"/>
      <c r="C178" s="21" t="s">
        <v>586</v>
      </c>
      <c r="D178" s="23" t="s">
        <v>587</v>
      </c>
      <c r="E178" s="13">
        <f>Source!BZ90</f>
        <v>90</v>
      </c>
      <c r="F178" s="14"/>
      <c r="G178" s="24"/>
      <c r="H178" s="14">
        <f>SUM(R172:R177)</f>
        <v>16.5</v>
      </c>
      <c r="I178" s="24">
        <f>Source!AT90</f>
        <v>90</v>
      </c>
      <c r="J178" s="14">
        <f>SUM(S172:S177)</f>
        <v>460.82</v>
      </c>
    </row>
    <row r="179" spans="1:21" ht="14.25" x14ac:dyDescent="0.2">
      <c r="A179" s="21"/>
      <c r="B179" s="21"/>
      <c r="C179" s="21" t="s">
        <v>588</v>
      </c>
      <c r="D179" s="23" t="s">
        <v>587</v>
      </c>
      <c r="E179" s="13">
        <f>Source!CA90</f>
        <v>46</v>
      </c>
      <c r="F179" s="14"/>
      <c r="G179" s="24"/>
      <c r="H179" s="14">
        <f>SUM(T172:T178)</f>
        <v>8.43</v>
      </c>
      <c r="I179" s="24">
        <f>Source!AU90</f>
        <v>46</v>
      </c>
      <c r="J179" s="14">
        <f>SUM(U172:U178)</f>
        <v>235.53</v>
      </c>
    </row>
    <row r="180" spans="1:21" ht="14.25" x14ac:dyDescent="0.2">
      <c r="A180" s="29"/>
      <c r="B180" s="29"/>
      <c r="C180" s="29" t="s">
        <v>589</v>
      </c>
      <c r="D180" s="30" t="s">
        <v>590</v>
      </c>
      <c r="E180" s="31">
        <f>Source!AQ90</f>
        <v>53.6</v>
      </c>
      <c r="F180" s="32"/>
      <c r="G180" s="33" t="str">
        <f>Source!DI90</f>
        <v/>
      </c>
      <c r="H180" s="32">
        <f>Source!U90</f>
        <v>2.1440000000000001</v>
      </c>
      <c r="I180" s="33"/>
      <c r="J180" s="32"/>
    </row>
    <row r="181" spans="1:21" ht="15" x14ac:dyDescent="0.25">
      <c r="C181" s="27" t="s">
        <v>591</v>
      </c>
      <c r="G181" s="71">
        <f>ROUND(Source!AC90*Source!I90, 2)+ROUND(Source!AF90*Source!I90, 2)+ROUND((((Source!ET90)-(Source!EU90))+Source!AE90)*Source!I90, 2)+SUM(H178:H179)</f>
        <v>50.05</v>
      </c>
      <c r="H181" s="71"/>
      <c r="I181" s="71">
        <f>Source!P90+Source!Q90+Source!S90+SUM(J178:J179)</f>
        <v>1262.5500000000002</v>
      </c>
      <c r="J181" s="71"/>
      <c r="O181" s="28">
        <f>G181</f>
        <v>50.05</v>
      </c>
      <c r="P181" s="28">
        <f>I181</f>
        <v>1262.5500000000002</v>
      </c>
    </row>
    <row r="182" spans="1:21" ht="54" x14ac:dyDescent="0.2">
      <c r="A182" s="29">
        <v>28</v>
      </c>
      <c r="B182" s="29" t="str">
        <f>Source!F91</f>
        <v>Цена поставщика</v>
      </c>
      <c r="C182" s="29" t="s">
        <v>606</v>
      </c>
      <c r="D182" s="30" t="str">
        <f>Source!H91</f>
        <v>ШТ</v>
      </c>
      <c r="E182" s="31">
        <f>Source!I91</f>
        <v>4</v>
      </c>
      <c r="F182" s="32">
        <f>Source!AL91</f>
        <v>9.2899999999999991</v>
      </c>
      <c r="G182" s="33" t="str">
        <f>Source!DD91</f>
        <v/>
      </c>
      <c r="H182" s="32">
        <f>ROUND(Source!AC91*Source!I91, 2)</f>
        <v>37.159999999999997</v>
      </c>
      <c r="I182" s="33">
        <f>IF(Source!BC91&lt;&gt; 0, Source!BC91, 1)</f>
        <v>7.99</v>
      </c>
      <c r="J182" s="32">
        <f>Source!P91</f>
        <v>296.91000000000003</v>
      </c>
      <c r="R182">
        <f>ROUND((Source!FX91/100)*((ROUND(Source!AF91*Source!I91, 2)+ROUND(Source!AE91*Source!I91, 2))), 2)</f>
        <v>0</v>
      </c>
      <c r="S182">
        <f>Source!X91</f>
        <v>0</v>
      </c>
      <c r="T182">
        <f>ROUND((Source!FY91/100)*((ROUND(Source!AF91*Source!I91, 2)+ROUND(Source!AE91*Source!I91, 2))), 2)</f>
        <v>0</v>
      </c>
      <c r="U182">
        <f>Source!Y91</f>
        <v>0</v>
      </c>
    </row>
    <row r="183" spans="1:21" ht="15" x14ac:dyDescent="0.25">
      <c r="C183" s="27" t="s">
        <v>591</v>
      </c>
      <c r="G183" s="71">
        <f>ROUND(Source!AC91*Source!I91, 2)+ROUND(Source!AF91*Source!I91, 2)+ROUND((((Source!ET91)-(Source!EU91))+Source!AE91)*Source!I91, 2)</f>
        <v>37.159999999999997</v>
      </c>
      <c r="H183" s="71"/>
      <c r="I183" s="71">
        <f>Source!P91+Source!Q91+Source!S91</f>
        <v>296.91000000000003</v>
      </c>
      <c r="J183" s="71"/>
      <c r="O183">
        <f>G183</f>
        <v>37.159999999999997</v>
      </c>
      <c r="P183">
        <f>I183</f>
        <v>296.91000000000003</v>
      </c>
    </row>
    <row r="184" spans="1:21" ht="28.5" x14ac:dyDescent="0.2">
      <c r="A184" s="21">
        <v>29</v>
      </c>
      <c r="B184" s="21" t="str">
        <f>Source!F92</f>
        <v>13-06-003-01</v>
      </c>
      <c r="C184" s="21" t="str">
        <f>Source!G92</f>
        <v>Очистка поверхности щетками</v>
      </c>
      <c r="D184" s="23" t="str">
        <f>Source!H92</f>
        <v>м2</v>
      </c>
      <c r="E184" s="13">
        <f>Source!I92</f>
        <v>25.7</v>
      </c>
      <c r="F184" s="14">
        <f>Source!AL92+Source!AM92+Source!AO92</f>
        <v>7.68</v>
      </c>
      <c r="G184" s="24"/>
      <c r="H184" s="14"/>
      <c r="I184" s="24" t="str">
        <f>Source!BO92</f>
        <v/>
      </c>
      <c r="J184" s="14"/>
      <c r="R184">
        <f>ROUND((Source!FX92/100)*((ROUND(Source!AF92*Source!I92, 2)+ROUND(Source!AE92*Source!I92, 2))), 2)</f>
        <v>256.07</v>
      </c>
      <c r="S184">
        <f>Source!X92</f>
        <v>7154.73</v>
      </c>
      <c r="T184">
        <f>ROUND((Source!FY92/100)*((ROUND(Source!AF92*Source!I92, 2)+ROUND(Source!AE92*Source!I92, 2))), 2)</f>
        <v>118.09</v>
      </c>
      <c r="U184">
        <f>Source!Y92</f>
        <v>3299.55</v>
      </c>
    </row>
    <row r="185" spans="1:21" ht="14.25" x14ac:dyDescent="0.2">
      <c r="A185" s="21"/>
      <c r="B185" s="21"/>
      <c r="C185" s="21" t="s">
        <v>583</v>
      </c>
      <c r="D185" s="23"/>
      <c r="E185" s="13"/>
      <c r="F185" s="14">
        <f>Source!AO92</f>
        <v>7.68</v>
      </c>
      <c r="G185" s="24" t="str">
        <f>Source!DG92</f>
        <v>)*1,15)*1,2</v>
      </c>
      <c r="H185" s="14">
        <f>ROUND(Source!AF92*Source!I92, 2)</f>
        <v>272.42</v>
      </c>
      <c r="I185" s="24">
        <f>IF(Source!BA92&lt;&gt; 0, Source!BA92, 1)</f>
        <v>27.94</v>
      </c>
      <c r="J185" s="14">
        <f>Source!S92</f>
        <v>7611.41</v>
      </c>
      <c r="Q185">
        <f>ROUND(Source!AF92*Source!I92, 2)</f>
        <v>272.42</v>
      </c>
    </row>
    <row r="186" spans="1:21" ht="14.25" x14ac:dyDescent="0.2">
      <c r="A186" s="21"/>
      <c r="B186" s="21"/>
      <c r="C186" s="21" t="s">
        <v>586</v>
      </c>
      <c r="D186" s="23" t="s">
        <v>587</v>
      </c>
      <c r="E186" s="13">
        <f>Source!BZ92</f>
        <v>94</v>
      </c>
      <c r="F186" s="14"/>
      <c r="G186" s="24"/>
      <c r="H186" s="14">
        <f>SUM(R184:R185)</f>
        <v>256.07</v>
      </c>
      <c r="I186" s="24">
        <f>Source!AT92</f>
        <v>94</v>
      </c>
      <c r="J186" s="14">
        <f>SUM(S184:S185)</f>
        <v>7154.73</v>
      </c>
    </row>
    <row r="187" spans="1:21" ht="14.25" x14ac:dyDescent="0.2">
      <c r="A187" s="21"/>
      <c r="B187" s="21"/>
      <c r="C187" s="21" t="s">
        <v>588</v>
      </c>
      <c r="D187" s="23" t="s">
        <v>587</v>
      </c>
      <c r="E187" s="13">
        <f>Source!CA92</f>
        <v>51</v>
      </c>
      <c r="F187" s="73" t="str">
        <f>CONCATENATE(" )", Source!DM92, Source!FU92, "=", Source!FY92, "%")</f>
        <v xml:space="preserve"> )*0.85=43,35%</v>
      </c>
      <c r="G187" s="73"/>
      <c r="H187" s="14">
        <f>SUM(T184:T186)</f>
        <v>118.09</v>
      </c>
      <c r="I187" s="24">
        <f>Source!AU92</f>
        <v>43.35</v>
      </c>
      <c r="J187" s="14">
        <f>SUM(U184:U186)</f>
        <v>3299.55</v>
      </c>
    </row>
    <row r="188" spans="1:21" ht="14.25" x14ac:dyDescent="0.2">
      <c r="A188" s="29"/>
      <c r="B188" s="29"/>
      <c r="C188" s="29" t="s">
        <v>589</v>
      </c>
      <c r="D188" s="30" t="s">
        <v>590</v>
      </c>
      <c r="E188" s="31">
        <f>Source!AQ92</f>
        <v>0.9</v>
      </c>
      <c r="F188" s="32"/>
      <c r="G188" s="33" t="str">
        <f>Source!DI92</f>
        <v>)*1,15)*1,2</v>
      </c>
      <c r="H188" s="32">
        <f>Source!U92</f>
        <v>31.919399999999992</v>
      </c>
      <c r="I188" s="33"/>
      <c r="J188" s="32"/>
    </row>
    <row r="189" spans="1:21" ht="15" x14ac:dyDescent="0.25">
      <c r="C189" s="27" t="s">
        <v>591</v>
      </c>
      <c r="G189" s="71">
        <f>ROUND(Source!AC92*Source!I92, 2)+ROUND(Source!AF92*Source!I92, 2)+ROUND((((((Source!ET92*1.25)*1.2))-(((Source!EU92*1.25)*1.2)))+Source!AE92)*Source!I92, 2)+SUM(H186:H187)</f>
        <v>646.57999999999993</v>
      </c>
      <c r="H189" s="71"/>
      <c r="I189" s="71">
        <f>Source!P92+Source!Q92+Source!S92+SUM(J186:J187)</f>
        <v>18065.689999999999</v>
      </c>
      <c r="J189" s="71"/>
      <c r="O189" s="28">
        <f>G189</f>
        <v>646.57999999999993</v>
      </c>
      <c r="P189" s="28">
        <f>I189</f>
        <v>18065.689999999999</v>
      </c>
    </row>
    <row r="190" spans="1:21" ht="28.5" x14ac:dyDescent="0.2">
      <c r="A190" s="21">
        <v>30</v>
      </c>
      <c r="B190" s="21" t="str">
        <f>Source!F93</f>
        <v>13-06-004-01</v>
      </c>
      <c r="C190" s="21" t="str">
        <f>Source!G93</f>
        <v>Обеспыливание поверхности</v>
      </c>
      <c r="D190" s="23" t="str">
        <f>Source!H93</f>
        <v>м2</v>
      </c>
      <c r="E190" s="13">
        <f>Source!I93</f>
        <v>25.7</v>
      </c>
      <c r="F190" s="14">
        <f>Source!AL93+Source!AM93+Source!AO93</f>
        <v>0.92999999999999994</v>
      </c>
      <c r="G190" s="24"/>
      <c r="H190" s="14"/>
      <c r="I190" s="24" t="str">
        <f>Source!BO93</f>
        <v/>
      </c>
      <c r="J190" s="14"/>
      <c r="R190">
        <f>ROUND((Source!FX93/100)*((ROUND(Source!AF93*Source!I93, 2)+ROUND(Source!AE93*Source!I93, 2))), 2)</f>
        <v>20.05</v>
      </c>
      <c r="S190">
        <f>Source!X93</f>
        <v>560.23</v>
      </c>
      <c r="T190">
        <f>ROUND((Source!FY93/100)*((ROUND(Source!AF93*Source!I93, 2)+ROUND(Source!AE93*Source!I93, 2))), 2)</f>
        <v>9.25</v>
      </c>
      <c r="U190">
        <f>Source!Y93</f>
        <v>258.36</v>
      </c>
    </row>
    <row r="191" spans="1:21" ht="14.25" x14ac:dyDescent="0.2">
      <c r="A191" s="21"/>
      <c r="B191" s="21"/>
      <c r="C191" s="21" t="s">
        <v>583</v>
      </c>
      <c r="D191" s="23"/>
      <c r="E191" s="13"/>
      <c r="F191" s="14">
        <f>Source!AO93</f>
        <v>0.6</v>
      </c>
      <c r="G191" s="24" t="str">
        <f>Source!DG93</f>
        <v>)*1,15)*1,2</v>
      </c>
      <c r="H191" s="14">
        <f>ROUND(Source!AF93*Source!I93, 2)</f>
        <v>21.33</v>
      </c>
      <c r="I191" s="24">
        <f>IF(Source!BA93&lt;&gt; 0, Source!BA93, 1)</f>
        <v>27.94</v>
      </c>
      <c r="J191" s="14">
        <f>Source!S93</f>
        <v>595.99</v>
      </c>
      <c r="Q191">
        <f>ROUND(Source!AF93*Source!I93, 2)</f>
        <v>21.33</v>
      </c>
    </row>
    <row r="192" spans="1:21" ht="14.25" x14ac:dyDescent="0.2">
      <c r="A192" s="21"/>
      <c r="B192" s="21"/>
      <c r="C192" s="21" t="s">
        <v>584</v>
      </c>
      <c r="D192" s="23"/>
      <c r="E192" s="13"/>
      <c r="F192" s="14">
        <f>Source!AM93</f>
        <v>0.33</v>
      </c>
      <c r="G192" s="24" t="str">
        <f>Source!DE93</f>
        <v>)*1,25)*1,2</v>
      </c>
      <c r="H192" s="14">
        <f>ROUND((((((Source!ET93*1.25)*1.2))-(((Source!EU93*1.25)*1.2)))+Source!AE93)*Source!I93, 2)</f>
        <v>12.72</v>
      </c>
      <c r="I192" s="24">
        <f>IF(Source!BB93&lt;&gt; 0, Source!BB93, 1)</f>
        <v>11.05</v>
      </c>
      <c r="J192" s="14">
        <f>Source!Q93</f>
        <v>140.57</v>
      </c>
    </row>
    <row r="193" spans="1:21" ht="14.25" x14ac:dyDescent="0.2">
      <c r="A193" s="21"/>
      <c r="B193" s="21"/>
      <c r="C193" s="21" t="s">
        <v>586</v>
      </c>
      <c r="D193" s="23" t="s">
        <v>587</v>
      </c>
      <c r="E193" s="13">
        <f>Source!BZ93</f>
        <v>94</v>
      </c>
      <c r="F193" s="14"/>
      <c r="G193" s="24"/>
      <c r="H193" s="14">
        <f>SUM(R190:R192)</f>
        <v>20.05</v>
      </c>
      <c r="I193" s="24">
        <f>Source!AT93</f>
        <v>94</v>
      </c>
      <c r="J193" s="14">
        <f>SUM(S190:S192)</f>
        <v>560.23</v>
      </c>
    </row>
    <row r="194" spans="1:21" ht="14.25" x14ac:dyDescent="0.2">
      <c r="A194" s="21"/>
      <c r="B194" s="21"/>
      <c r="C194" s="21" t="s">
        <v>588</v>
      </c>
      <c r="D194" s="23" t="s">
        <v>587</v>
      </c>
      <c r="E194" s="13">
        <f>Source!CA93</f>
        <v>51</v>
      </c>
      <c r="F194" s="73" t="str">
        <f>CONCATENATE(" )", Source!DM93, Source!FU93, "=", Source!FY93, "%")</f>
        <v xml:space="preserve"> )*0.85=43,35%</v>
      </c>
      <c r="G194" s="73"/>
      <c r="H194" s="14">
        <f>SUM(T190:T193)</f>
        <v>9.25</v>
      </c>
      <c r="I194" s="24">
        <f>Source!AU93</f>
        <v>43.35</v>
      </c>
      <c r="J194" s="14">
        <f>SUM(U190:U193)</f>
        <v>258.36</v>
      </c>
    </row>
    <row r="195" spans="1:21" ht="14.25" x14ac:dyDescent="0.2">
      <c r="A195" s="29"/>
      <c r="B195" s="29"/>
      <c r="C195" s="29" t="s">
        <v>589</v>
      </c>
      <c r="D195" s="30" t="s">
        <v>590</v>
      </c>
      <c r="E195" s="31">
        <f>Source!AQ93</f>
        <v>7.0000000000000007E-2</v>
      </c>
      <c r="F195" s="32"/>
      <c r="G195" s="33" t="str">
        <f>Source!DI93</f>
        <v>)*1,15)*1,2</v>
      </c>
      <c r="H195" s="32">
        <f>Source!U93</f>
        <v>2.4826200000000003</v>
      </c>
      <c r="I195" s="33"/>
      <c r="J195" s="32"/>
    </row>
    <row r="196" spans="1:21" ht="15" x14ac:dyDescent="0.25">
      <c r="C196" s="27" t="s">
        <v>591</v>
      </c>
      <c r="G196" s="71">
        <f>ROUND(Source!AC93*Source!I93, 2)+ROUND(Source!AF93*Source!I93, 2)+ROUND((((((Source!ET93*1.25)*1.2))-(((Source!EU93*1.25)*1.2)))+Source!AE93)*Source!I93, 2)+SUM(H193:H194)</f>
        <v>63.349999999999994</v>
      </c>
      <c r="H196" s="71"/>
      <c r="I196" s="71">
        <f>Source!P93+Source!Q93+Source!S93+SUM(J193:J194)</f>
        <v>1555.15</v>
      </c>
      <c r="J196" s="71"/>
      <c r="O196" s="28">
        <f>G196</f>
        <v>63.349999999999994</v>
      </c>
      <c r="P196" s="28">
        <f>I196</f>
        <v>1555.15</v>
      </c>
    </row>
    <row r="197" spans="1:21" ht="42.75" x14ac:dyDescent="0.2">
      <c r="A197" s="21">
        <v>31</v>
      </c>
      <c r="B197" s="21" t="str">
        <f>Source!F94</f>
        <v>13-03-002-04</v>
      </c>
      <c r="C197" s="21" t="str">
        <f>Source!G94</f>
        <v>Огрунтовка металлических поверхностей за один раз: грунтовкой ГФ-021</v>
      </c>
      <c r="D197" s="23" t="str">
        <f>Source!H94</f>
        <v>100 м2</v>
      </c>
      <c r="E197" s="13">
        <f>Source!I94</f>
        <v>0.25700000000000001</v>
      </c>
      <c r="F197" s="14">
        <f>Source!AL94+Source!AM94+Source!AO94</f>
        <v>217.81</v>
      </c>
      <c r="G197" s="24"/>
      <c r="H197" s="14"/>
      <c r="I197" s="24" t="str">
        <f>Source!BO94</f>
        <v/>
      </c>
      <c r="J197" s="14"/>
      <c r="R197">
        <f>ROUND((Source!FX94/100)*((ROUND(Source!AF94*Source!I94, 2)+ROUND(Source!AE94*Source!I94, 2))), 2)</f>
        <v>20.81</v>
      </c>
      <c r="S197">
        <f>Source!X94</f>
        <v>581.63</v>
      </c>
      <c r="T197">
        <f>ROUND((Source!FY94/100)*((ROUND(Source!AF94*Source!I94, 2)+ROUND(Source!AE94*Source!I94, 2))), 2)</f>
        <v>9.6</v>
      </c>
      <c r="U197">
        <f>Source!Y94</f>
        <v>268.23</v>
      </c>
    </row>
    <row r="198" spans="1:21" ht="28.5" x14ac:dyDescent="0.2">
      <c r="A198" s="21"/>
      <c r="B198" s="21"/>
      <c r="C198" s="21" t="s">
        <v>583</v>
      </c>
      <c r="D198" s="23"/>
      <c r="E198" s="13"/>
      <c r="F198" s="14">
        <f>Source!AO94</f>
        <v>56.55</v>
      </c>
      <c r="G198" s="24" t="str">
        <f>Source!DG94</f>
        <v>)*1,15)*1,2)*1,1</v>
      </c>
      <c r="H198" s="14">
        <f>ROUND(Source!AF94*Source!I94, 2)</f>
        <v>22.06</v>
      </c>
      <c r="I198" s="24">
        <f>IF(Source!BA94&lt;&gt; 0, Source!BA94, 1)</f>
        <v>27.94</v>
      </c>
      <c r="J198" s="14">
        <f>Source!S94</f>
        <v>616.38</v>
      </c>
      <c r="Q198">
        <f>ROUND(Source!AF94*Source!I94, 2)</f>
        <v>22.06</v>
      </c>
    </row>
    <row r="199" spans="1:21" ht="14.25" x14ac:dyDescent="0.2">
      <c r="A199" s="21"/>
      <c r="B199" s="21"/>
      <c r="C199" s="21" t="s">
        <v>584</v>
      </c>
      <c r="D199" s="23"/>
      <c r="E199" s="13"/>
      <c r="F199" s="14">
        <f>Source!AM94</f>
        <v>9.2200000000000006</v>
      </c>
      <c r="G199" s="24" t="str">
        <f>Source!DE94</f>
        <v>)*1,25)*1,2</v>
      </c>
      <c r="H199" s="14">
        <f>ROUND((((((Source!ET94*1.25)*1.2))-(((Source!EU94*1.25)*1.2)))+Source!AE94)*Source!I94, 2)</f>
        <v>3.55</v>
      </c>
      <c r="I199" s="24">
        <f>IF(Source!BB94&lt;&gt; 0, Source!BB94, 1)</f>
        <v>11.05</v>
      </c>
      <c r="J199" s="14">
        <f>Source!Q94</f>
        <v>39.28</v>
      </c>
    </row>
    <row r="200" spans="1:21" ht="14.25" x14ac:dyDescent="0.2">
      <c r="A200" s="21"/>
      <c r="B200" s="21"/>
      <c r="C200" s="21" t="s">
        <v>585</v>
      </c>
      <c r="D200" s="23"/>
      <c r="E200" s="13"/>
      <c r="F200" s="14">
        <f>Source!AN94</f>
        <v>0.22</v>
      </c>
      <c r="G200" s="24" t="str">
        <f>Source!DF94</f>
        <v>)*1,25)*1,2</v>
      </c>
      <c r="H200" s="25">
        <f>ROUND(Source!AE94*Source!I94, 2)</f>
        <v>0.08</v>
      </c>
      <c r="I200" s="24">
        <f>IF(Source!BS94&lt;&gt; 0, Source!BS94, 1)</f>
        <v>27.94</v>
      </c>
      <c r="J200" s="25">
        <f>Source!R94</f>
        <v>2.37</v>
      </c>
      <c r="Q200">
        <f>ROUND(Source!AE94*Source!I94, 2)</f>
        <v>0.08</v>
      </c>
    </row>
    <row r="201" spans="1:21" ht="14.25" x14ac:dyDescent="0.2">
      <c r="A201" s="21"/>
      <c r="B201" s="21"/>
      <c r="C201" s="21" t="s">
        <v>592</v>
      </c>
      <c r="D201" s="23"/>
      <c r="E201" s="13"/>
      <c r="F201" s="14">
        <f>Source!AL94</f>
        <v>152.04</v>
      </c>
      <c r="G201" s="24" t="str">
        <f>Source!DD94</f>
        <v/>
      </c>
      <c r="H201" s="14">
        <f>ROUND(Source!AC94*Source!I94, 2)</f>
        <v>39.07</v>
      </c>
      <c r="I201" s="24">
        <f>IF(Source!BC94&lt;&gt; 0, Source!BC94, 1)</f>
        <v>7.99</v>
      </c>
      <c r="J201" s="14">
        <f>Source!P94</f>
        <v>312.2</v>
      </c>
    </row>
    <row r="202" spans="1:21" ht="14.25" x14ac:dyDescent="0.2">
      <c r="A202" s="21"/>
      <c r="B202" s="21"/>
      <c r="C202" s="21" t="s">
        <v>586</v>
      </c>
      <c r="D202" s="23" t="s">
        <v>587</v>
      </c>
      <c r="E202" s="13">
        <f>Source!BZ94</f>
        <v>94</v>
      </c>
      <c r="F202" s="14"/>
      <c r="G202" s="24"/>
      <c r="H202" s="14">
        <f>SUM(R197:R201)</f>
        <v>20.81</v>
      </c>
      <c r="I202" s="24">
        <f>Source!AT94</f>
        <v>94</v>
      </c>
      <c r="J202" s="14">
        <f>SUM(S197:S201)</f>
        <v>581.63</v>
      </c>
    </row>
    <row r="203" spans="1:21" ht="14.25" x14ac:dyDescent="0.2">
      <c r="A203" s="21"/>
      <c r="B203" s="21"/>
      <c r="C203" s="21" t="s">
        <v>588</v>
      </c>
      <c r="D203" s="23" t="s">
        <v>587</v>
      </c>
      <c r="E203" s="13">
        <f>Source!CA94</f>
        <v>51</v>
      </c>
      <c r="F203" s="73" t="str">
        <f>CONCATENATE(" )", Source!DM94, Source!FU94, "=", Source!FY94, "%")</f>
        <v xml:space="preserve"> )*0.85=43,35%</v>
      </c>
      <c r="G203" s="73"/>
      <c r="H203" s="14">
        <f>SUM(T197:T202)</f>
        <v>9.6</v>
      </c>
      <c r="I203" s="24">
        <f>Source!AU94</f>
        <v>43.35</v>
      </c>
      <c r="J203" s="14">
        <f>SUM(U197:U202)</f>
        <v>268.23</v>
      </c>
    </row>
    <row r="204" spans="1:21" ht="28.5" x14ac:dyDescent="0.2">
      <c r="A204" s="29"/>
      <c r="B204" s="29"/>
      <c r="C204" s="29" t="s">
        <v>589</v>
      </c>
      <c r="D204" s="30" t="s">
        <v>590</v>
      </c>
      <c r="E204" s="31">
        <f>Source!AQ94</f>
        <v>5.31</v>
      </c>
      <c r="F204" s="32"/>
      <c r="G204" s="33" t="str">
        <f>Source!DI94</f>
        <v>)*1,15)*1,2)*1,1</v>
      </c>
      <c r="H204" s="32">
        <f>Source!U94</f>
        <v>2.0715690599999994</v>
      </c>
      <c r="I204" s="33"/>
      <c r="J204" s="32"/>
    </row>
    <row r="205" spans="1:21" ht="15" x14ac:dyDescent="0.25">
      <c r="C205" s="27" t="s">
        <v>591</v>
      </c>
      <c r="G205" s="71">
        <f>ROUND(Source!AC94*Source!I94, 2)+ROUND(Source!AF94*Source!I94, 2)+ROUND((((((Source!ET94*1.25)*1.2))-(((Source!EU94*1.25)*1.2)))+Source!AE94)*Source!I94, 2)+SUM(H202:H203)</f>
        <v>95.089999999999989</v>
      </c>
      <c r="H205" s="71"/>
      <c r="I205" s="71">
        <f>Source!P94+Source!Q94+Source!S94+SUM(J202:J203)</f>
        <v>1817.72</v>
      </c>
      <c r="J205" s="71"/>
      <c r="O205" s="28">
        <f>G205</f>
        <v>95.089999999999989</v>
      </c>
      <c r="P205" s="28">
        <f>I205</f>
        <v>1817.72</v>
      </c>
    </row>
    <row r="206" spans="1:21" ht="42.75" x14ac:dyDescent="0.2">
      <c r="A206" s="21">
        <v>32</v>
      </c>
      <c r="B206" s="21" t="str">
        <f>Source!F95</f>
        <v>13-03-004-14</v>
      </c>
      <c r="C206" s="21" t="str">
        <f>Source!G95</f>
        <v>Окраска металлических огрунтованных поверхностей: эмалью ЭП-140 // Прим. к молотковой краске</v>
      </c>
      <c r="D206" s="23" t="str">
        <f>Source!H95</f>
        <v>100 м2</v>
      </c>
      <c r="E206" s="13">
        <f>Source!I95</f>
        <v>0.25700000000000001</v>
      </c>
      <c r="F206" s="14">
        <f>Source!AL95+Source!AM95+Source!AO95</f>
        <v>1209.96</v>
      </c>
      <c r="G206" s="24"/>
      <c r="H206" s="14"/>
      <c r="I206" s="24" t="str">
        <f>Source!BO95</f>
        <v/>
      </c>
      <c r="J206" s="14"/>
      <c r="R206">
        <f>ROUND((Source!FX95/100)*((ROUND(Source!AF95*Source!I95, 2)+ROUND(Source!AE95*Source!I95, 2))), 2)</f>
        <v>16.66</v>
      </c>
      <c r="S206">
        <f>Source!X95</f>
        <v>465.33</v>
      </c>
      <c r="T206">
        <f>ROUND((Source!FY95/100)*((ROUND(Source!AF95*Source!I95, 2)+ROUND(Source!AE95*Source!I95, 2))), 2)</f>
        <v>7.68</v>
      </c>
      <c r="U206">
        <f>Source!Y95</f>
        <v>214.6</v>
      </c>
    </row>
    <row r="207" spans="1:21" ht="28.5" x14ac:dyDescent="0.2">
      <c r="A207" s="21"/>
      <c r="B207" s="21"/>
      <c r="C207" s="21" t="s">
        <v>583</v>
      </c>
      <c r="D207" s="23"/>
      <c r="E207" s="13"/>
      <c r="F207" s="14">
        <f>Source!AO95</f>
        <v>22.49</v>
      </c>
      <c r="G207" s="24" t="str">
        <f>Source!DG95</f>
        <v>)*1,15)*1,2)*1,1*2</v>
      </c>
      <c r="H207" s="14">
        <f>ROUND(Source!AF95*Source!I95, 2)</f>
        <v>17.55</v>
      </c>
      <c r="I207" s="24">
        <f>IF(Source!BA95&lt;&gt; 0, Source!BA95, 1)</f>
        <v>27.94</v>
      </c>
      <c r="J207" s="14">
        <f>Source!S95</f>
        <v>490.29</v>
      </c>
      <c r="Q207">
        <f>ROUND(Source!AF95*Source!I95, 2)</f>
        <v>17.55</v>
      </c>
    </row>
    <row r="208" spans="1:21" ht="28.5" x14ac:dyDescent="0.2">
      <c r="A208" s="21"/>
      <c r="B208" s="21"/>
      <c r="C208" s="21" t="s">
        <v>584</v>
      </c>
      <c r="D208" s="23"/>
      <c r="E208" s="13"/>
      <c r="F208" s="14">
        <f>Source!AM95</f>
        <v>9.2200000000000006</v>
      </c>
      <c r="G208" s="24" t="str">
        <f>Source!DE95</f>
        <v>)*1,25)*1,2*2</v>
      </c>
      <c r="H208" s="14">
        <f>ROUND((((((Source!ET95*1.25)*1.2*2))-(((Source!EU95*1.25)*1.2*2)))+Source!AE95)*Source!I95, 2)</f>
        <v>7.11</v>
      </c>
      <c r="I208" s="24">
        <f>IF(Source!BB95&lt;&gt; 0, Source!BB95, 1)</f>
        <v>11.05</v>
      </c>
      <c r="J208" s="14">
        <f>Source!Q95</f>
        <v>78.55</v>
      </c>
    </row>
    <row r="209" spans="1:21" ht="28.5" x14ac:dyDescent="0.2">
      <c r="A209" s="21"/>
      <c r="B209" s="21"/>
      <c r="C209" s="21" t="s">
        <v>585</v>
      </c>
      <c r="D209" s="23"/>
      <c r="E209" s="13"/>
      <c r="F209" s="14">
        <f>Source!AN95</f>
        <v>0.22</v>
      </c>
      <c r="G209" s="24" t="str">
        <f>Source!DF95</f>
        <v>)*1,25)*1,2*2</v>
      </c>
      <c r="H209" s="25">
        <f>ROUND(Source!AE95*Source!I95, 2)</f>
        <v>0.17</v>
      </c>
      <c r="I209" s="24">
        <f>IF(Source!BS95&lt;&gt; 0, Source!BS95, 1)</f>
        <v>27.94</v>
      </c>
      <c r="J209" s="25">
        <f>Source!R95</f>
        <v>4.74</v>
      </c>
      <c r="Q209">
        <f>ROUND(Source!AE95*Source!I95, 2)</f>
        <v>0.17</v>
      </c>
    </row>
    <row r="210" spans="1:21" ht="14.25" x14ac:dyDescent="0.2">
      <c r="A210" s="21"/>
      <c r="B210" s="21"/>
      <c r="C210" s="21" t="s">
        <v>592</v>
      </c>
      <c r="D210" s="23"/>
      <c r="E210" s="13"/>
      <c r="F210" s="14">
        <f>Source!AL95</f>
        <v>1178.25</v>
      </c>
      <c r="G210" s="24" t="str">
        <f>Source!DD95</f>
        <v>*2</v>
      </c>
      <c r="H210" s="14">
        <f>ROUND(Source!AC95*Source!I95, 2)</f>
        <v>605.62</v>
      </c>
      <c r="I210" s="24">
        <f>IF(Source!BC95&lt;&gt; 0, Source!BC95, 1)</f>
        <v>7.99</v>
      </c>
      <c r="J210" s="14">
        <f>Source!P95</f>
        <v>4838.91</v>
      </c>
    </row>
    <row r="211" spans="1:21" ht="28.5" x14ac:dyDescent="0.2">
      <c r="A211" s="21">
        <v>32.1</v>
      </c>
      <c r="B211" s="21" t="str">
        <f>Source!F96</f>
        <v>14.4.04.12-0008</v>
      </c>
      <c r="C211" s="21" t="str">
        <f>Source!G96</f>
        <v>Эмаль эпоксидная ЭП-140, защитная</v>
      </c>
      <c r="D211" s="23" t="str">
        <f>Source!H96</f>
        <v>т</v>
      </c>
      <c r="E211" s="13">
        <f>Source!I96</f>
        <v>-7.7099999999999998E-3</v>
      </c>
      <c r="F211" s="14">
        <f>Source!AL96+Source!AM96+Source!AO96</f>
        <v>75000</v>
      </c>
      <c r="G211" s="36" t="s">
        <v>607</v>
      </c>
      <c r="H211" s="14">
        <f>ROUND(Source!AC96*Source!I96, 2)+ROUND((((Source!ET96)-(Source!EU96))+Source!AE96)*Source!I96, 2)+ROUND(Source!AF96*Source!I96, 2)</f>
        <v>-578.25</v>
      </c>
      <c r="I211" s="24">
        <f>IF(Source!BC96&lt;&gt; 0, Source!BC96, 1)</f>
        <v>7.99</v>
      </c>
      <c r="J211" s="14">
        <f>Source!O96</f>
        <v>-4620.22</v>
      </c>
      <c r="R211">
        <f>ROUND((Source!FX96/100)*((ROUND(Source!AF96*Source!I96, 2)+ROUND(Source!AE96*Source!I96, 2))), 2)</f>
        <v>0</v>
      </c>
      <c r="S211">
        <f>Source!X96</f>
        <v>0</v>
      </c>
      <c r="T211">
        <f>ROUND((Source!FY96/100)*((ROUND(Source!AF96*Source!I96, 2)+ROUND(Source!AE96*Source!I96, 2))), 2)</f>
        <v>0</v>
      </c>
      <c r="U211">
        <f>Source!Y96</f>
        <v>0</v>
      </c>
    </row>
    <row r="212" spans="1:21" ht="14.25" x14ac:dyDescent="0.2">
      <c r="A212" s="21"/>
      <c r="B212" s="21"/>
      <c r="C212" s="21" t="s">
        <v>586</v>
      </c>
      <c r="D212" s="23" t="s">
        <v>587</v>
      </c>
      <c r="E212" s="13">
        <f>Source!BZ95</f>
        <v>94</v>
      </c>
      <c r="F212" s="14"/>
      <c r="G212" s="24"/>
      <c r="H212" s="14">
        <f>SUM(R206:R211)</f>
        <v>16.66</v>
      </c>
      <c r="I212" s="24">
        <f>Source!AT95</f>
        <v>94</v>
      </c>
      <c r="J212" s="14">
        <f>SUM(S206:S211)</f>
        <v>465.33</v>
      </c>
    </row>
    <row r="213" spans="1:21" ht="14.25" x14ac:dyDescent="0.2">
      <c r="A213" s="21"/>
      <c r="B213" s="21"/>
      <c r="C213" s="21" t="s">
        <v>588</v>
      </c>
      <c r="D213" s="23" t="s">
        <v>587</v>
      </c>
      <c r="E213" s="13">
        <f>Source!CA95</f>
        <v>51</v>
      </c>
      <c r="F213" s="73" t="str">
        <f>CONCATENATE(" )", Source!DM95, Source!FU95, "=", Source!FY95, "%")</f>
        <v xml:space="preserve"> )*0.85=43,35%</v>
      </c>
      <c r="G213" s="73"/>
      <c r="H213" s="14">
        <f>SUM(T206:T212)</f>
        <v>7.68</v>
      </c>
      <c r="I213" s="24">
        <f>Source!AU95</f>
        <v>43.35</v>
      </c>
      <c r="J213" s="14">
        <f>SUM(U206:U212)</f>
        <v>214.6</v>
      </c>
    </row>
    <row r="214" spans="1:21" ht="28.5" x14ac:dyDescent="0.2">
      <c r="A214" s="29"/>
      <c r="B214" s="29"/>
      <c r="C214" s="29" t="s">
        <v>589</v>
      </c>
      <c r="D214" s="30" t="s">
        <v>590</v>
      </c>
      <c r="E214" s="31">
        <f>Source!AQ95</f>
        <v>2.48</v>
      </c>
      <c r="F214" s="32"/>
      <c r="G214" s="33" t="str">
        <f>Source!DI95</f>
        <v>)*1,15)*1,2)*1,1*2</v>
      </c>
      <c r="H214" s="32">
        <f>Source!U95</f>
        <v>1.93502496</v>
      </c>
      <c r="I214" s="33"/>
      <c r="J214" s="32"/>
    </row>
    <row r="215" spans="1:21" ht="15" x14ac:dyDescent="0.25">
      <c r="C215" s="27" t="s">
        <v>591</v>
      </c>
      <c r="G215" s="71">
        <f>ROUND(Source!AC95*Source!I95, 2)+ROUND(Source!AF95*Source!I95, 2)+ROUND((((((Source!ET95*1.25)*1.2*2))-(((Source!EU95*1.25)*1.2*2)))+Source!AE95)*Source!I95, 2)+SUM(H211:H213)</f>
        <v>76.369999999999891</v>
      </c>
      <c r="H215" s="71"/>
      <c r="I215" s="71">
        <f>Source!P95+Source!Q95+Source!S95+SUM(J211:J213)</f>
        <v>1467.4599999999996</v>
      </c>
      <c r="J215" s="71"/>
      <c r="O215" s="28">
        <f>G215</f>
        <v>76.369999999999891</v>
      </c>
      <c r="P215" s="28">
        <f>I215</f>
        <v>1467.4599999999996</v>
      </c>
    </row>
    <row r="216" spans="1:21" ht="54" x14ac:dyDescent="0.2">
      <c r="A216" s="29">
        <v>33</v>
      </c>
      <c r="B216" s="29" t="str">
        <f>Source!F97</f>
        <v>Цена поставщика</v>
      </c>
      <c r="C216" s="29" t="s">
        <v>608</v>
      </c>
      <c r="D216" s="30" t="str">
        <f>Source!H97</f>
        <v>л</v>
      </c>
      <c r="E216" s="31">
        <f>Source!I97</f>
        <v>2.57</v>
      </c>
      <c r="F216" s="32">
        <f>Source!AL97</f>
        <v>223.34</v>
      </c>
      <c r="G216" s="33" t="str">
        <f>Source!DD97</f>
        <v/>
      </c>
      <c r="H216" s="32">
        <f>ROUND(Source!AC97*Source!I97, 2)</f>
        <v>573.98</v>
      </c>
      <c r="I216" s="33">
        <f>IF(Source!BC97&lt;&gt; 0, Source!BC97, 1)</f>
        <v>7.99</v>
      </c>
      <c r="J216" s="32">
        <f>Source!P97</f>
        <v>4586.13</v>
      </c>
      <c r="R216">
        <f>ROUND((Source!FX97/100)*((ROUND(Source!AF97*Source!I97, 2)+ROUND(Source!AE97*Source!I97, 2))), 2)</f>
        <v>0</v>
      </c>
      <c r="S216">
        <f>Source!X97</f>
        <v>0</v>
      </c>
      <c r="T216">
        <f>ROUND((Source!FY97/100)*((ROUND(Source!AF97*Source!I97, 2)+ROUND(Source!AE97*Source!I97, 2))), 2)</f>
        <v>0</v>
      </c>
      <c r="U216">
        <f>Source!Y97</f>
        <v>0</v>
      </c>
    </row>
    <row r="217" spans="1:21" ht="15" x14ac:dyDescent="0.25">
      <c r="C217" s="27" t="s">
        <v>591</v>
      </c>
      <c r="G217" s="71">
        <f>ROUND(Source!AC97*Source!I97, 2)+ROUND(Source!AF97*Source!I97, 2)+ROUND((((Source!ET97)-(Source!EU97))+Source!AE97)*Source!I97, 2)</f>
        <v>573.98</v>
      </c>
      <c r="H217" s="71"/>
      <c r="I217" s="71">
        <f>Source!P97+Source!Q97+Source!S97</f>
        <v>4586.13</v>
      </c>
      <c r="J217" s="71"/>
      <c r="O217">
        <f>G217</f>
        <v>573.98</v>
      </c>
      <c r="P217">
        <f>I217</f>
        <v>4586.13</v>
      </c>
    </row>
    <row r="218" spans="1:21" ht="71.25" x14ac:dyDescent="0.2">
      <c r="A218" s="21">
        <v>34</v>
      </c>
      <c r="B218" s="21" t="str">
        <f>Source!F98</f>
        <v>09-03-022-04</v>
      </c>
      <c r="C218" s="21" t="str">
        <f>Source!G98</f>
        <v>Монтаж оконных фонарных покрытий из поликарбонатных и акриловых плит с боковыми планками, профилями и резиновыми прокладками // Прим. к навесу крыльца</v>
      </c>
      <c r="D218" s="23" t="str">
        <f>Source!H98</f>
        <v>100 м2</v>
      </c>
      <c r="E218" s="13">
        <f>Source!I98</f>
        <v>0.192</v>
      </c>
      <c r="F218" s="14">
        <f>Source!AL98+Source!AM98+Source!AO98</f>
        <v>3283.4900000000002</v>
      </c>
      <c r="G218" s="24"/>
      <c r="H218" s="14"/>
      <c r="I218" s="24" t="str">
        <f>Source!BO98</f>
        <v/>
      </c>
      <c r="J218" s="14"/>
      <c r="R218">
        <f>ROUND((Source!FX98/100)*((ROUND(Source!AF98*Source!I98, 2)+ROUND(Source!AE98*Source!I98, 2))), 2)</f>
        <v>328.36</v>
      </c>
      <c r="S218">
        <f>Source!X98</f>
        <v>9174.25</v>
      </c>
      <c r="T218">
        <f>ROUND((Source!FY98/100)*((ROUND(Source!AF98*Source!I98, 2)+ROUND(Source!AE98*Source!I98, 2))), 2)</f>
        <v>186.07</v>
      </c>
      <c r="U218">
        <f>Source!Y98</f>
        <v>5198.74</v>
      </c>
    </row>
    <row r="219" spans="1:21" ht="14.25" x14ac:dyDescent="0.2">
      <c r="A219" s="21"/>
      <c r="B219" s="21"/>
      <c r="C219" s="21" t="s">
        <v>583</v>
      </c>
      <c r="D219" s="23"/>
      <c r="E219" s="13"/>
      <c r="F219" s="14">
        <f>Source!AO98</f>
        <v>1062.29</v>
      </c>
      <c r="G219" s="24" t="str">
        <f>Source!DG98</f>
        <v>)*1,15)*1,2</v>
      </c>
      <c r="H219" s="14">
        <f>ROUND(Source!AF98*Source!I98, 2)</f>
        <v>281.45999999999998</v>
      </c>
      <c r="I219" s="24">
        <f>IF(Source!BA98&lt;&gt; 0, Source!BA98, 1)</f>
        <v>27.94</v>
      </c>
      <c r="J219" s="14">
        <f>Source!S98</f>
        <v>7864.11</v>
      </c>
      <c r="Q219">
        <f>ROUND(Source!AF98*Source!I98, 2)</f>
        <v>281.45999999999998</v>
      </c>
    </row>
    <row r="220" spans="1:21" ht="14.25" x14ac:dyDescent="0.2">
      <c r="A220" s="21"/>
      <c r="B220" s="21"/>
      <c r="C220" s="21" t="s">
        <v>584</v>
      </c>
      <c r="D220" s="23"/>
      <c r="E220" s="13"/>
      <c r="F220" s="14">
        <f>Source!AM98</f>
        <v>2187.15</v>
      </c>
      <c r="G220" s="24" t="str">
        <f>Source!DE98</f>
        <v>)*1,25)*1,2</v>
      </c>
      <c r="H220" s="14">
        <f>ROUND((((((Source!ET98*1.25)*1.2))-(((Source!EU98*1.25)*1.2)))+Source!AE98)*Source!I98, 2)</f>
        <v>629.9</v>
      </c>
      <c r="I220" s="24">
        <f>IF(Source!BB98&lt;&gt; 0, Source!BB98, 1)</f>
        <v>11.05</v>
      </c>
      <c r="J220" s="14">
        <f>Source!Q98</f>
        <v>6960.41</v>
      </c>
    </row>
    <row r="221" spans="1:21" ht="14.25" x14ac:dyDescent="0.2">
      <c r="A221" s="21"/>
      <c r="B221" s="21"/>
      <c r="C221" s="21" t="s">
        <v>585</v>
      </c>
      <c r="D221" s="23"/>
      <c r="E221" s="13"/>
      <c r="F221" s="14">
        <f>Source!AN98</f>
        <v>248.63</v>
      </c>
      <c r="G221" s="24" t="str">
        <f>Source!DF98</f>
        <v>)*1,25)*1,2</v>
      </c>
      <c r="H221" s="25">
        <f>ROUND(Source!AE98*Source!I98, 2)</f>
        <v>71.61</v>
      </c>
      <c r="I221" s="24">
        <f>IF(Source!BS98&lt;&gt; 0, Source!BS98, 1)</f>
        <v>27.94</v>
      </c>
      <c r="J221" s="25">
        <f>Source!R98</f>
        <v>2000.68</v>
      </c>
      <c r="Q221">
        <f>ROUND(Source!AE98*Source!I98, 2)</f>
        <v>71.61</v>
      </c>
    </row>
    <row r="222" spans="1:21" ht="14.25" x14ac:dyDescent="0.2">
      <c r="A222" s="21"/>
      <c r="B222" s="21"/>
      <c r="C222" s="21" t="s">
        <v>592</v>
      </c>
      <c r="D222" s="23"/>
      <c r="E222" s="13"/>
      <c r="F222" s="14">
        <f>Source!AL98</f>
        <v>34.049999999999997</v>
      </c>
      <c r="G222" s="24" t="str">
        <f>Source!DD98</f>
        <v/>
      </c>
      <c r="H222" s="14">
        <f>ROUND(Source!AC98*Source!I98, 2)</f>
        <v>6.54</v>
      </c>
      <c r="I222" s="24">
        <f>IF(Source!BC98&lt;&gt; 0, Source!BC98, 1)</f>
        <v>7.99</v>
      </c>
      <c r="J222" s="14">
        <f>Source!P98</f>
        <v>52.24</v>
      </c>
    </row>
    <row r="223" spans="1:21" ht="14.25" x14ac:dyDescent="0.2">
      <c r="A223" s="21"/>
      <c r="B223" s="21"/>
      <c r="C223" s="21" t="s">
        <v>586</v>
      </c>
      <c r="D223" s="23" t="s">
        <v>587</v>
      </c>
      <c r="E223" s="13">
        <f>Source!BZ98</f>
        <v>93</v>
      </c>
      <c r="F223" s="14"/>
      <c r="G223" s="24"/>
      <c r="H223" s="14">
        <f>SUM(R218:R222)</f>
        <v>328.36</v>
      </c>
      <c r="I223" s="24">
        <f>Source!AT98</f>
        <v>93</v>
      </c>
      <c r="J223" s="14">
        <f>SUM(S218:S222)</f>
        <v>9174.25</v>
      </c>
    </row>
    <row r="224" spans="1:21" ht="14.25" x14ac:dyDescent="0.2">
      <c r="A224" s="21"/>
      <c r="B224" s="21"/>
      <c r="C224" s="21" t="s">
        <v>588</v>
      </c>
      <c r="D224" s="23" t="s">
        <v>587</v>
      </c>
      <c r="E224" s="13">
        <f>Source!CA98</f>
        <v>62</v>
      </c>
      <c r="F224" s="73" t="str">
        <f>CONCATENATE(" )", Source!DM98, Source!FU98, "=", Source!FY98, "%")</f>
        <v xml:space="preserve"> )*0.85=52,7%</v>
      </c>
      <c r="G224" s="73"/>
      <c r="H224" s="14">
        <f>SUM(T218:T223)</f>
        <v>186.07</v>
      </c>
      <c r="I224" s="24">
        <f>Source!AU98</f>
        <v>52.7</v>
      </c>
      <c r="J224" s="14">
        <f>SUM(U218:U223)</f>
        <v>5198.74</v>
      </c>
    </row>
    <row r="225" spans="1:21" ht="14.25" x14ac:dyDescent="0.2">
      <c r="A225" s="29"/>
      <c r="B225" s="29"/>
      <c r="C225" s="29" t="s">
        <v>589</v>
      </c>
      <c r="D225" s="30" t="s">
        <v>590</v>
      </c>
      <c r="E225" s="31">
        <f>Source!AQ98</f>
        <v>113.01</v>
      </c>
      <c r="F225" s="32"/>
      <c r="G225" s="33" t="str">
        <f>Source!DI98</f>
        <v>)*1,15)*1,2</v>
      </c>
      <c r="H225" s="32">
        <f>Source!U98</f>
        <v>29.943129600000002</v>
      </c>
      <c r="I225" s="33"/>
      <c r="J225" s="32"/>
    </row>
    <row r="226" spans="1:21" ht="15" x14ac:dyDescent="0.25">
      <c r="C226" s="27" t="s">
        <v>591</v>
      </c>
      <c r="G226" s="71">
        <f>ROUND(Source!AC98*Source!I98, 2)+ROUND(Source!AF98*Source!I98, 2)+ROUND((((((Source!ET98*1.25)*1.2))-(((Source!EU98*1.25)*1.2)))+Source!AE98)*Source!I98, 2)+SUM(H223:H224)</f>
        <v>1432.33</v>
      </c>
      <c r="H226" s="71"/>
      <c r="I226" s="71">
        <f>Source!P98+Source!Q98+Source!S98+SUM(J223:J224)</f>
        <v>29249.75</v>
      </c>
      <c r="J226" s="71"/>
      <c r="O226" s="28">
        <f>G226</f>
        <v>1432.33</v>
      </c>
      <c r="P226" s="28">
        <f>I226</f>
        <v>29249.75</v>
      </c>
    </row>
    <row r="227" spans="1:21" ht="42.75" x14ac:dyDescent="0.2">
      <c r="A227" s="29">
        <v>35</v>
      </c>
      <c r="B227" s="29" t="str">
        <f>Source!F99</f>
        <v>Цена поставщика</v>
      </c>
      <c r="C227" s="29" t="s">
        <v>609</v>
      </c>
      <c r="D227" s="30" t="str">
        <f>Source!H99</f>
        <v>м2</v>
      </c>
      <c r="E227" s="31">
        <f>Source!I99</f>
        <v>20.16</v>
      </c>
      <c r="F227" s="32">
        <f>Source!AL99</f>
        <v>257.27</v>
      </c>
      <c r="G227" s="33" t="str">
        <f>Source!DD99</f>
        <v/>
      </c>
      <c r="H227" s="32">
        <f>ROUND(Source!AC99*Source!I99, 2)</f>
        <v>5186.5600000000004</v>
      </c>
      <c r="I227" s="33">
        <f>IF(Source!BC99&lt;&gt; 0, Source!BC99, 1)</f>
        <v>7.99</v>
      </c>
      <c r="J227" s="32">
        <f>Source!P99</f>
        <v>41440.639999999999</v>
      </c>
      <c r="R227">
        <f>ROUND((Source!FX99/100)*((ROUND(Source!AF99*Source!I99, 2)+ROUND(Source!AE99*Source!I99, 2))), 2)</f>
        <v>0</v>
      </c>
      <c r="S227">
        <f>Source!X99</f>
        <v>0</v>
      </c>
      <c r="T227">
        <f>ROUND((Source!FY99/100)*((ROUND(Source!AF99*Source!I99, 2)+ROUND(Source!AE99*Source!I99, 2))), 2)</f>
        <v>0</v>
      </c>
      <c r="U227">
        <f>Source!Y99</f>
        <v>0</v>
      </c>
    </row>
    <row r="228" spans="1:21" ht="15" x14ac:dyDescent="0.25">
      <c r="C228" s="27" t="s">
        <v>591</v>
      </c>
      <c r="G228" s="71">
        <f>ROUND(Source!AC99*Source!I99, 2)+ROUND(Source!AF99*Source!I99, 2)+ROUND((((Source!ET99)-(Source!EU99))+Source!AE99)*Source!I99, 2)</f>
        <v>5186.5600000000004</v>
      </c>
      <c r="H228" s="71"/>
      <c r="I228" s="71">
        <f>Source!P99+Source!Q99+Source!S99</f>
        <v>41440.639999999999</v>
      </c>
      <c r="J228" s="71"/>
      <c r="O228">
        <f>G228</f>
        <v>5186.5600000000004</v>
      </c>
      <c r="P228">
        <f>I228</f>
        <v>41440.639999999999</v>
      </c>
    </row>
    <row r="230" spans="1:21" ht="15" x14ac:dyDescent="0.25">
      <c r="A230" s="70" t="str">
        <f>CONCATENATE("Итого по разделу: ",IF(Source!G101&lt;&gt;"Новый раздел", Source!G101, ""))</f>
        <v>Итого по разделу: Строительные работы</v>
      </c>
      <c r="B230" s="70"/>
      <c r="C230" s="70"/>
      <c r="D230" s="70"/>
      <c r="E230" s="70"/>
      <c r="F230" s="70"/>
      <c r="G230" s="71">
        <f>SUM(O71:O229)</f>
        <v>29907.699999999993</v>
      </c>
      <c r="H230" s="71"/>
      <c r="I230" s="71">
        <f>SUM(P71:P229)</f>
        <v>396453.38</v>
      </c>
      <c r="J230" s="71"/>
    </row>
    <row r="234" spans="1:21" ht="16.5" x14ac:dyDescent="0.25">
      <c r="A234" s="72" t="str">
        <f>CONCATENATE("Раздел: ",IF(Source!G131&lt;&gt;"Новый раздел", Source!G131, ""))</f>
        <v>Раздел: Прочие работы</v>
      </c>
      <c r="B234" s="72"/>
      <c r="C234" s="72"/>
      <c r="D234" s="72"/>
      <c r="E234" s="72"/>
      <c r="F234" s="72"/>
      <c r="G234" s="72"/>
      <c r="H234" s="72"/>
      <c r="I234" s="72"/>
      <c r="J234" s="72"/>
    </row>
    <row r="235" spans="1:21" ht="57" x14ac:dyDescent="0.2">
      <c r="A235" s="29">
        <v>36</v>
      </c>
      <c r="B235" s="29" t="str">
        <f>Source!F135</f>
        <v>т01-01-01-043</v>
      </c>
      <c r="C235" s="29" t="str">
        <f>Source!G135</f>
        <v>Погрузка при автомобильных перевозках мусора строительного с погрузкой экскаваторами емкостью ковша до 0,5 м3</v>
      </c>
      <c r="D235" s="30" t="str">
        <f>Source!H135</f>
        <v>1 т груза</v>
      </c>
      <c r="E235" s="31">
        <f>Source!I135</f>
        <v>1</v>
      </c>
      <c r="F235" s="32">
        <f>Source!AK135</f>
        <v>3.28</v>
      </c>
      <c r="G235" s="33" t="str">
        <f>Source!DC135</f>
        <v/>
      </c>
      <c r="H235" s="32">
        <f>ROUND(Source!AB135*Source!I135, 2)</f>
        <v>3.28</v>
      </c>
      <c r="I235" s="33">
        <f>Source!AZ135</f>
        <v>11.05</v>
      </c>
      <c r="J235" s="32">
        <f>Source!GM135</f>
        <v>36.24</v>
      </c>
      <c r="R235">
        <f>ROUND((Source!FX135/100)*((ROUND(0*Source!I135, 2)+ROUND(0*Source!I135, 2))), 2)</f>
        <v>0</v>
      </c>
      <c r="S235">
        <f>Source!X135</f>
        <v>0</v>
      </c>
      <c r="T235">
        <f>ROUND((Source!FY135/100)*((ROUND(0*Source!I135, 2)+ROUND(0*Source!I135, 2))), 2)</f>
        <v>0</v>
      </c>
      <c r="U235">
        <f>Source!Y135</f>
        <v>0</v>
      </c>
    </row>
    <row r="236" spans="1:21" ht="15" x14ac:dyDescent="0.25">
      <c r="C236" s="27" t="s">
        <v>591</v>
      </c>
      <c r="G236" s="71">
        <f>H235</f>
        <v>3.28</v>
      </c>
      <c r="H236" s="71"/>
      <c r="I236" s="71">
        <f>J235</f>
        <v>36.24</v>
      </c>
      <c r="J236" s="71"/>
      <c r="O236" s="28">
        <f>G236</f>
        <v>3.28</v>
      </c>
      <c r="P236" s="28">
        <f>I236</f>
        <v>36.24</v>
      </c>
    </row>
    <row r="237" spans="1:21" ht="57" x14ac:dyDescent="0.2">
      <c r="A237" s="29">
        <v>37</v>
      </c>
      <c r="B237" s="29" t="str">
        <f>Source!F136</f>
        <v>т03-21-01-007</v>
      </c>
      <c r="C237" s="29" t="str">
        <f>Source!G136</f>
        <v>Перевозка грузов I класса автомобилями-самосвалами грузоподъемностью 10 т работающих вне карьера на расстояние до 7 км</v>
      </c>
      <c r="D237" s="30" t="str">
        <f>Source!H136</f>
        <v>1 т груза</v>
      </c>
      <c r="E237" s="31">
        <f>Source!I136</f>
        <v>1</v>
      </c>
      <c r="F237" s="32">
        <f>Source!AK136</f>
        <v>8.58</v>
      </c>
      <c r="G237" s="33" t="str">
        <f>Source!DC136</f>
        <v/>
      </c>
      <c r="H237" s="32">
        <f>ROUND(Source!AB136*Source!I136, 2)</f>
        <v>8.58</v>
      </c>
      <c r="I237" s="33">
        <f>Source!AZ136</f>
        <v>11.05</v>
      </c>
      <c r="J237" s="32">
        <f>Source!GM136</f>
        <v>94.81</v>
      </c>
      <c r="R237">
        <f>ROUND((Source!FX136/100)*((ROUND(0*Source!I136, 2)+ROUND(0*Source!I136, 2))), 2)</f>
        <v>0</v>
      </c>
      <c r="S237">
        <f>Source!X136</f>
        <v>0</v>
      </c>
      <c r="T237">
        <f>ROUND((Source!FY136/100)*((ROUND(0*Source!I136, 2)+ROUND(0*Source!I136, 2))), 2)</f>
        <v>0</v>
      </c>
      <c r="U237">
        <f>Source!Y136</f>
        <v>0</v>
      </c>
    </row>
    <row r="238" spans="1:21" ht="15" x14ac:dyDescent="0.25">
      <c r="C238" s="27" t="s">
        <v>591</v>
      </c>
      <c r="G238" s="71">
        <f>H237</f>
        <v>8.58</v>
      </c>
      <c r="H238" s="71"/>
      <c r="I238" s="71">
        <f>J237</f>
        <v>94.81</v>
      </c>
      <c r="J238" s="71"/>
      <c r="O238" s="28">
        <f>G238</f>
        <v>8.58</v>
      </c>
      <c r="P238" s="28">
        <f>I238</f>
        <v>94.81</v>
      </c>
    </row>
    <row r="239" spans="1:21" ht="42.75" x14ac:dyDescent="0.2">
      <c r="A239" s="29">
        <v>38</v>
      </c>
      <c r="B239" s="29" t="str">
        <f>Source!F137</f>
        <v>Цена поставщика</v>
      </c>
      <c r="C239" s="29" t="s">
        <v>610</v>
      </c>
      <c r="D239" s="30" t="str">
        <f>Source!H137</f>
        <v>ТН</v>
      </c>
      <c r="E239" s="31">
        <f>Source!I137</f>
        <v>1</v>
      </c>
      <c r="F239" s="32">
        <f>Source!AL137</f>
        <v>75.09</v>
      </c>
      <c r="G239" s="33" t="str">
        <f>Source!DD137</f>
        <v/>
      </c>
      <c r="H239" s="32">
        <f>ROUND(Source!AC137*Source!I137, 2)</f>
        <v>75.09</v>
      </c>
      <c r="I239" s="33">
        <f>IF(Source!BC137&lt;&gt; 0, Source!BC137, 1)</f>
        <v>7.99</v>
      </c>
      <c r="J239" s="32">
        <f>Source!P137</f>
        <v>599.97</v>
      </c>
      <c r="R239">
        <f>ROUND((Source!FX137/100)*((ROUND(Source!AF137*Source!I137, 2)+ROUND(Source!AE137*Source!I137, 2))), 2)</f>
        <v>0</v>
      </c>
      <c r="S239">
        <f>Source!X137</f>
        <v>0</v>
      </c>
      <c r="T239">
        <f>ROUND((Source!FY137/100)*((ROUND(Source!AF137*Source!I137, 2)+ROUND(Source!AE137*Source!I137, 2))), 2)</f>
        <v>0</v>
      </c>
      <c r="U239">
        <f>Source!Y137</f>
        <v>0</v>
      </c>
    </row>
    <row r="240" spans="1:21" ht="15" x14ac:dyDescent="0.25">
      <c r="C240" s="27" t="s">
        <v>591</v>
      </c>
      <c r="G240" s="71">
        <f>ROUND(Source!AC137*Source!I137, 2)+ROUND(Source!AF137*Source!I137, 2)+ROUND((((Source!ET137)-(Source!EU137))+Source!AE137)*Source!I137, 2)</f>
        <v>75.09</v>
      </c>
      <c r="H240" s="71"/>
      <c r="I240" s="71">
        <f>Source!P137+Source!Q137+Source!S137</f>
        <v>599.97</v>
      </c>
      <c r="J240" s="71"/>
      <c r="O240">
        <f>G240</f>
        <v>75.09</v>
      </c>
      <c r="P240">
        <f>I240</f>
        <v>599.97</v>
      </c>
    </row>
    <row r="242" spans="1:32" ht="15" x14ac:dyDescent="0.25">
      <c r="A242" s="70" t="str">
        <f>CONCATENATE("Итого по разделу: ",IF(Source!G139&lt;&gt;"Новый раздел", Source!G139, ""))</f>
        <v>Итого по разделу: Прочие работы</v>
      </c>
      <c r="B242" s="70"/>
      <c r="C242" s="70"/>
      <c r="D242" s="70"/>
      <c r="E242" s="70"/>
      <c r="F242" s="70"/>
      <c r="G242" s="71">
        <f>SUM(O234:O241)</f>
        <v>86.95</v>
      </c>
      <c r="H242" s="71"/>
      <c r="I242" s="71">
        <f>SUM(P234:P241)</f>
        <v>731.02</v>
      </c>
      <c r="J242" s="71"/>
    </row>
    <row r="246" spans="1:32" ht="15" x14ac:dyDescent="0.25">
      <c r="A246" s="70" t="str">
        <f>CONCATENATE("Итого по локальной смете: ",IF(Source!G169&lt;&gt;"Новая локальная смета", Source!G169, ""))</f>
        <v xml:space="preserve">Итого по локальной смете: </v>
      </c>
      <c r="B246" s="70"/>
      <c r="C246" s="70"/>
      <c r="D246" s="70"/>
      <c r="E246" s="70"/>
      <c r="F246" s="70"/>
      <c r="G246" s="71">
        <f>SUM(O26:O245)</f>
        <v>36021.439999999988</v>
      </c>
      <c r="H246" s="71"/>
      <c r="I246" s="71">
        <f>SUM(P26:P245)</f>
        <v>547860.5</v>
      </c>
      <c r="J246" s="71"/>
    </row>
    <row r="250" spans="1:32" ht="15" x14ac:dyDescent="0.25">
      <c r="A250" s="70" t="str">
        <f>CONCATENATE("Итого по смете: ",IF(Source!G199&lt;&gt;"Новый объект", Source!G199, ""))</f>
        <v>Итого по смете: Центральный вход заводоуправления. Инв. №ОС-19003</v>
      </c>
      <c r="B250" s="70"/>
      <c r="C250" s="70"/>
      <c r="D250" s="70"/>
      <c r="E250" s="70"/>
      <c r="F250" s="70"/>
      <c r="G250" s="71">
        <f>SUM(O1:O249)</f>
        <v>36021.439999999988</v>
      </c>
      <c r="H250" s="71"/>
      <c r="I250" s="71">
        <f>SUM(P1:P249)</f>
        <v>547860.5</v>
      </c>
      <c r="J250" s="71"/>
      <c r="AF250" s="37" t="str">
        <f>CONCATENATE("Итого по смете: ",IF(Source!G199&lt;&gt;"Новый объект", Source!G199, ""))</f>
        <v>Итого по смете: Центральный вход заводоуправления. Инв. №ОС-19003</v>
      </c>
    </row>
    <row r="252" spans="1:32" ht="14.25" x14ac:dyDescent="0.2">
      <c r="C252" s="67" t="str">
        <f>Source!H201</f>
        <v>Прямые затраты</v>
      </c>
      <c r="D252" s="67"/>
      <c r="E252" s="67"/>
      <c r="F252" s="67"/>
      <c r="G252" s="67"/>
      <c r="H252" s="67"/>
      <c r="I252" s="68">
        <f>IF(Source!F201=0, "", Source!F201)</f>
        <v>329617.53000000003</v>
      </c>
      <c r="J252" s="68"/>
    </row>
    <row r="253" spans="1:32" ht="14.25" x14ac:dyDescent="0.2">
      <c r="C253" s="67" t="str">
        <f>Source!H202</f>
        <v>Стоимость материальных ресурсов (всего)</v>
      </c>
      <c r="D253" s="67"/>
      <c r="E253" s="67"/>
      <c r="F253" s="67"/>
      <c r="G253" s="67"/>
      <c r="H253" s="67"/>
      <c r="I253" s="68">
        <f>IF(Source!F202=0, "", Source!F202)</f>
        <v>170359.77</v>
      </c>
      <c r="J253" s="68"/>
    </row>
    <row r="254" spans="1:32" ht="14.25" x14ac:dyDescent="0.2">
      <c r="C254" s="67" t="str">
        <f>Source!H204</f>
        <v>Стоимость материалов и оборудования подрядчика</v>
      </c>
      <c r="D254" s="67"/>
      <c r="E254" s="67"/>
      <c r="F254" s="67"/>
      <c r="G254" s="67"/>
      <c r="H254" s="67"/>
      <c r="I254" s="68">
        <f>IF(Source!F204=0, "", Source!F204)</f>
        <v>170359.77</v>
      </c>
      <c r="J254" s="68"/>
    </row>
    <row r="255" spans="1:32" ht="14.25" x14ac:dyDescent="0.2">
      <c r="C255" s="67" t="str">
        <f>Source!H205</f>
        <v>Стоимость материалов (всего)</v>
      </c>
      <c r="D255" s="67"/>
      <c r="E255" s="67"/>
      <c r="F255" s="67"/>
      <c r="G255" s="67"/>
      <c r="H255" s="67"/>
      <c r="I255" s="68">
        <f>IF(Source!F205=0, "", Source!F205)</f>
        <v>170359.77</v>
      </c>
      <c r="J255" s="68"/>
    </row>
    <row r="256" spans="1:32" ht="14.25" x14ac:dyDescent="0.2">
      <c r="C256" s="67" t="str">
        <f>Source!H207</f>
        <v>Стоимость материалов подрядчика</v>
      </c>
      <c r="D256" s="67"/>
      <c r="E256" s="67"/>
      <c r="F256" s="67"/>
      <c r="G256" s="67"/>
      <c r="H256" s="67"/>
      <c r="I256" s="68">
        <f>IF(Source!F207=0, "", Source!F207)</f>
        <v>170359.77</v>
      </c>
      <c r="J256" s="68"/>
    </row>
    <row r="257" spans="1:10" ht="14.25" x14ac:dyDescent="0.2">
      <c r="C257" s="67" t="str">
        <f>Source!H211</f>
        <v>Эксплуатация машин</v>
      </c>
      <c r="D257" s="67"/>
      <c r="E257" s="67"/>
      <c r="F257" s="67"/>
      <c r="G257" s="67"/>
      <c r="H257" s="67"/>
      <c r="I257" s="68">
        <f>IF(Source!F211=0, "", Source!F211)</f>
        <v>21598.080000000002</v>
      </c>
      <c r="J257" s="68"/>
    </row>
    <row r="258" spans="1:10" ht="14.25" x14ac:dyDescent="0.2">
      <c r="C258" s="67" t="str">
        <f>Source!H213</f>
        <v>ЗП машинистов</v>
      </c>
      <c r="D258" s="67"/>
      <c r="E258" s="67"/>
      <c r="F258" s="67"/>
      <c r="G258" s="67"/>
      <c r="H258" s="67"/>
      <c r="I258" s="68">
        <f>IF(Source!F213=0, "", Source!F213)</f>
        <v>6931.05</v>
      </c>
      <c r="J258" s="68"/>
    </row>
    <row r="259" spans="1:10" ht="14.25" x14ac:dyDescent="0.2">
      <c r="C259" s="67" t="str">
        <f>Source!H214</f>
        <v>Основная ЗП рабочих</v>
      </c>
      <c r="D259" s="67"/>
      <c r="E259" s="67"/>
      <c r="F259" s="67"/>
      <c r="G259" s="67"/>
      <c r="H259" s="67"/>
      <c r="I259" s="68">
        <f>IF(Source!F214=0, "", Source!F214)</f>
        <v>137659.68</v>
      </c>
      <c r="J259" s="68"/>
    </row>
    <row r="260" spans="1:10" ht="14.25" x14ac:dyDescent="0.2">
      <c r="C260" s="67" t="str">
        <f>Source!H216</f>
        <v>Строительные работы с НР и СП</v>
      </c>
      <c r="D260" s="67"/>
      <c r="E260" s="67"/>
      <c r="F260" s="67"/>
      <c r="G260" s="67"/>
      <c r="H260" s="67"/>
      <c r="I260" s="68">
        <f>IF(Source!F216=0, "", Source!F216)</f>
        <v>547860.5</v>
      </c>
      <c r="J260" s="68"/>
    </row>
    <row r="261" spans="1:10" ht="14.25" x14ac:dyDescent="0.2">
      <c r="C261" s="67" t="str">
        <f>Source!H221</f>
        <v>Трудозатраты строителей</v>
      </c>
      <c r="D261" s="67"/>
      <c r="E261" s="67"/>
      <c r="F261" s="67"/>
      <c r="G261" s="67"/>
      <c r="H261" s="67"/>
      <c r="I261" s="69">
        <f>IF(Source!F221=0, "", Source!F221)</f>
        <v>538.75147502000004</v>
      </c>
      <c r="J261" s="69"/>
    </row>
    <row r="262" spans="1:10" ht="14.25" x14ac:dyDescent="0.2">
      <c r="C262" s="67" t="str">
        <f>Source!H222</f>
        <v>Трудозатраты машинистов</v>
      </c>
      <c r="D262" s="67"/>
      <c r="E262" s="67"/>
      <c r="F262" s="67"/>
      <c r="G262" s="67"/>
      <c r="H262" s="67"/>
      <c r="I262" s="69">
        <f>IF(Source!F222=0, "", Source!F222)</f>
        <v>18.944853799999997</v>
      </c>
      <c r="J262" s="69"/>
    </row>
    <row r="263" spans="1:10" ht="14.25" x14ac:dyDescent="0.2">
      <c r="C263" s="67" t="str">
        <f>Source!H224</f>
        <v>Перевозка грузов</v>
      </c>
      <c r="D263" s="67"/>
      <c r="E263" s="67"/>
      <c r="F263" s="67"/>
      <c r="G263" s="67"/>
      <c r="H263" s="67"/>
      <c r="I263" s="68">
        <f>IF(Source!F224=0, "", Source!F224)</f>
        <v>131.05000000000001</v>
      </c>
      <c r="J263" s="68"/>
    </row>
    <row r="264" spans="1:10" ht="14.25" x14ac:dyDescent="0.2">
      <c r="C264" s="67" t="str">
        <f>Source!H225</f>
        <v>Накладные расходы</v>
      </c>
      <c r="D264" s="67"/>
      <c r="E264" s="67"/>
      <c r="F264" s="67"/>
      <c r="G264" s="67"/>
      <c r="H264" s="67"/>
      <c r="I264" s="68">
        <f>IF(Source!F225=0, "", Source!F225)</f>
        <v>146116.26</v>
      </c>
      <c r="J264" s="68"/>
    </row>
    <row r="265" spans="1:10" ht="14.25" x14ac:dyDescent="0.2">
      <c r="C265" s="67" t="str">
        <f>Source!H226</f>
        <v>Сметная прибыль</v>
      </c>
      <c r="D265" s="67"/>
      <c r="E265" s="67"/>
      <c r="F265" s="67"/>
      <c r="G265" s="67"/>
      <c r="H265" s="67"/>
      <c r="I265" s="68">
        <f>IF(Source!F226=0, "", Source!F226)</f>
        <v>71995.66</v>
      </c>
      <c r="J265" s="68"/>
    </row>
    <row r="266" spans="1:10" ht="14.25" x14ac:dyDescent="0.2">
      <c r="C266" s="67" t="str">
        <f>Source!H227</f>
        <v>Всего с НР и СП</v>
      </c>
      <c r="D266" s="67"/>
      <c r="E266" s="67"/>
      <c r="F266" s="67"/>
      <c r="G266" s="67"/>
      <c r="H266" s="67"/>
      <c r="I266" s="68">
        <f>IF(Source!F227=0, "", Source!F227)</f>
        <v>547860.5</v>
      </c>
      <c r="J266" s="68"/>
    </row>
    <row r="267" spans="1:10" ht="14.25" x14ac:dyDescent="0.2">
      <c r="C267" s="67" t="str">
        <f>Source!H228</f>
        <v>НДС, 20%</v>
      </c>
      <c r="D267" s="67"/>
      <c r="E267" s="67"/>
      <c r="F267" s="67"/>
      <c r="G267" s="67"/>
      <c r="H267" s="67"/>
      <c r="I267" s="68">
        <f>IF(Source!F228=0, "", Source!F228)</f>
        <v>109572.1</v>
      </c>
      <c r="J267" s="68"/>
    </row>
    <row r="268" spans="1:10" ht="14.25" x14ac:dyDescent="0.2">
      <c r="C268" s="67" t="str">
        <f>Source!H229</f>
        <v>Всего по смете</v>
      </c>
      <c r="D268" s="67"/>
      <c r="E268" s="67"/>
      <c r="F268" s="67"/>
      <c r="G268" s="67"/>
      <c r="H268" s="67"/>
      <c r="I268" s="68">
        <f>IF(Source!F229=0, "", Source!F229)</f>
        <v>657432.6</v>
      </c>
      <c r="J268" s="68"/>
    </row>
    <row r="271" spans="1:10" ht="14.25" x14ac:dyDescent="0.2">
      <c r="A271" s="65" t="s">
        <v>611</v>
      </c>
      <c r="B271" s="65"/>
      <c r="C271" s="38" t="str">
        <f>IF(Source!AC12&lt;&gt;"", Source!AC12," ")</f>
        <v xml:space="preserve"> </v>
      </c>
      <c r="D271" s="38"/>
      <c r="E271" s="38"/>
      <c r="F271" s="38"/>
      <c r="G271" s="38"/>
      <c r="H271" s="10" t="str">
        <f>IF(Source!AB12&lt;&gt;"", Source!AB12," ")</f>
        <v xml:space="preserve"> </v>
      </c>
      <c r="I271" s="10"/>
      <c r="J271" s="10"/>
    </row>
    <row r="272" spans="1:10" ht="14.25" x14ac:dyDescent="0.2">
      <c r="A272" s="10"/>
      <c r="B272" s="10"/>
      <c r="C272" s="66" t="s">
        <v>612</v>
      </c>
      <c r="D272" s="66"/>
      <c r="E272" s="66"/>
      <c r="F272" s="66"/>
      <c r="G272" s="66"/>
      <c r="H272" s="10"/>
      <c r="I272" s="10"/>
      <c r="J272" s="10"/>
    </row>
    <row r="273" spans="1:10" ht="14.25" x14ac:dyDescent="0.2">
      <c r="A273" s="10"/>
      <c r="B273" s="10"/>
      <c r="C273" s="10"/>
      <c r="D273" s="10"/>
      <c r="E273" s="10"/>
      <c r="F273" s="10"/>
      <c r="G273" s="10"/>
      <c r="H273" s="10"/>
      <c r="I273" s="10"/>
      <c r="J273" s="10"/>
    </row>
    <row r="274" spans="1:10" ht="14.25" x14ac:dyDescent="0.2">
      <c r="A274" s="65" t="s">
        <v>613</v>
      </c>
      <c r="B274" s="65"/>
      <c r="C274" s="38" t="str">
        <f>IF(Source!AE12&lt;&gt;"", Source!AE12," ")</f>
        <v xml:space="preserve"> </v>
      </c>
      <c r="D274" s="38"/>
      <c r="E274" s="38"/>
      <c r="F274" s="38"/>
      <c r="G274" s="38"/>
      <c r="H274" s="10" t="str">
        <f>IF(Source!AD12&lt;&gt;"", Source!AD12," ")</f>
        <v xml:space="preserve"> </v>
      </c>
      <c r="I274" s="10"/>
      <c r="J274" s="10"/>
    </row>
    <row r="275" spans="1:10" ht="14.25" x14ac:dyDescent="0.2">
      <c r="A275" s="10"/>
      <c r="B275" s="10"/>
      <c r="C275" s="66" t="s">
        <v>612</v>
      </c>
      <c r="D275" s="66"/>
      <c r="E275" s="66"/>
      <c r="F275" s="66"/>
      <c r="G275" s="66"/>
      <c r="H275" s="10"/>
      <c r="I275" s="10"/>
      <c r="J275" s="10"/>
    </row>
  </sheetData>
  <mergeCells count="155">
    <mergeCell ref="A3:J3"/>
    <mergeCell ref="A4:J4"/>
    <mergeCell ref="A6:J6"/>
    <mergeCell ref="A7:J7"/>
    <mergeCell ref="A9:J9"/>
    <mergeCell ref="A11:J11"/>
    <mergeCell ref="A28:J28"/>
    <mergeCell ref="I36:J36"/>
    <mergeCell ref="G36:H36"/>
    <mergeCell ref="I44:J44"/>
    <mergeCell ref="G44:H44"/>
    <mergeCell ref="I50:J50"/>
    <mergeCell ref="G50:H50"/>
    <mergeCell ref="A12:J12"/>
    <mergeCell ref="A14:J14"/>
    <mergeCell ref="E18:G18"/>
    <mergeCell ref="E19:G19"/>
    <mergeCell ref="E20:G20"/>
    <mergeCell ref="A26:J26"/>
    <mergeCell ref="A71:J71"/>
    <mergeCell ref="F78:G78"/>
    <mergeCell ref="I80:J80"/>
    <mergeCell ref="G80:H80"/>
    <mergeCell ref="I82:J82"/>
    <mergeCell ref="G82:H82"/>
    <mergeCell ref="F55:G55"/>
    <mergeCell ref="I57:J57"/>
    <mergeCell ref="G57:H57"/>
    <mergeCell ref="I65:J65"/>
    <mergeCell ref="G65:H65"/>
    <mergeCell ref="A67:F67"/>
    <mergeCell ref="I67:J67"/>
    <mergeCell ref="G67:H67"/>
    <mergeCell ref="F102:G102"/>
    <mergeCell ref="I104:J104"/>
    <mergeCell ref="G104:H104"/>
    <mergeCell ref="I106:J106"/>
    <mergeCell ref="G106:H106"/>
    <mergeCell ref="F114:G114"/>
    <mergeCell ref="I84:J84"/>
    <mergeCell ref="G84:H84"/>
    <mergeCell ref="I93:J93"/>
    <mergeCell ref="G93:H93"/>
    <mergeCell ref="I95:J95"/>
    <mergeCell ref="G95:H95"/>
    <mergeCell ref="I129:J129"/>
    <mergeCell ref="G129:H129"/>
    <mergeCell ref="I131:J131"/>
    <mergeCell ref="G131:H131"/>
    <mergeCell ref="I133:J133"/>
    <mergeCell ref="G133:H133"/>
    <mergeCell ref="I116:J116"/>
    <mergeCell ref="G116:H116"/>
    <mergeCell ref="I118:J118"/>
    <mergeCell ref="G118:H118"/>
    <mergeCell ref="F125:G125"/>
    <mergeCell ref="I127:J127"/>
    <mergeCell ref="G127:H127"/>
    <mergeCell ref="I155:J155"/>
    <mergeCell ref="G155:H155"/>
    <mergeCell ref="I157:J157"/>
    <mergeCell ref="G157:H157"/>
    <mergeCell ref="I159:J159"/>
    <mergeCell ref="G159:H159"/>
    <mergeCell ref="I135:J135"/>
    <mergeCell ref="G135:H135"/>
    <mergeCell ref="F142:G142"/>
    <mergeCell ref="I144:J144"/>
    <mergeCell ref="G144:H144"/>
    <mergeCell ref="I146:J146"/>
    <mergeCell ref="G146:H146"/>
    <mergeCell ref="I183:J183"/>
    <mergeCell ref="G183:H183"/>
    <mergeCell ref="F187:G187"/>
    <mergeCell ref="I189:J189"/>
    <mergeCell ref="G189:H189"/>
    <mergeCell ref="F194:G194"/>
    <mergeCell ref="I169:J169"/>
    <mergeCell ref="G169:H169"/>
    <mergeCell ref="I171:J171"/>
    <mergeCell ref="G171:H171"/>
    <mergeCell ref="I181:J181"/>
    <mergeCell ref="G181:H181"/>
    <mergeCell ref="I215:J215"/>
    <mergeCell ref="G215:H215"/>
    <mergeCell ref="I217:J217"/>
    <mergeCell ref="G217:H217"/>
    <mergeCell ref="F224:G224"/>
    <mergeCell ref="I226:J226"/>
    <mergeCell ref="G226:H226"/>
    <mergeCell ref="I196:J196"/>
    <mergeCell ref="G196:H196"/>
    <mergeCell ref="F203:G203"/>
    <mergeCell ref="I205:J205"/>
    <mergeCell ref="G205:H205"/>
    <mergeCell ref="F213:G213"/>
    <mergeCell ref="I236:J236"/>
    <mergeCell ref="G236:H236"/>
    <mergeCell ref="I238:J238"/>
    <mergeCell ref="G238:H238"/>
    <mergeCell ref="I240:J240"/>
    <mergeCell ref="G240:H240"/>
    <mergeCell ref="I228:J228"/>
    <mergeCell ref="G228:H228"/>
    <mergeCell ref="A230:F230"/>
    <mergeCell ref="I230:J230"/>
    <mergeCell ref="G230:H230"/>
    <mergeCell ref="A234:J234"/>
    <mergeCell ref="A250:F250"/>
    <mergeCell ref="I250:J250"/>
    <mergeCell ref="G250:H250"/>
    <mergeCell ref="C252:H252"/>
    <mergeCell ref="I252:J252"/>
    <mergeCell ref="C253:H253"/>
    <mergeCell ref="I253:J253"/>
    <mergeCell ref="A242:F242"/>
    <mergeCell ref="I242:J242"/>
    <mergeCell ref="G242:H242"/>
    <mergeCell ref="A246:F246"/>
    <mergeCell ref="I246:J246"/>
    <mergeCell ref="G246:H246"/>
    <mergeCell ref="C257:H257"/>
    <mergeCell ref="I257:J257"/>
    <mergeCell ref="C258:H258"/>
    <mergeCell ref="I258:J258"/>
    <mergeCell ref="C259:H259"/>
    <mergeCell ref="I259:J259"/>
    <mergeCell ref="C254:H254"/>
    <mergeCell ref="I254:J254"/>
    <mergeCell ref="C255:H255"/>
    <mergeCell ref="I255:J255"/>
    <mergeCell ref="C256:H256"/>
    <mergeCell ref="I256:J256"/>
    <mergeCell ref="C263:H263"/>
    <mergeCell ref="I263:J263"/>
    <mergeCell ref="C264:H264"/>
    <mergeCell ref="I264:J264"/>
    <mergeCell ref="C265:H265"/>
    <mergeCell ref="I265:J265"/>
    <mergeCell ref="C260:H260"/>
    <mergeCell ref="I260:J260"/>
    <mergeCell ref="C261:H261"/>
    <mergeCell ref="I261:J261"/>
    <mergeCell ref="C262:H262"/>
    <mergeCell ref="I262:J262"/>
    <mergeCell ref="A271:B271"/>
    <mergeCell ref="C272:G272"/>
    <mergeCell ref="A274:B274"/>
    <mergeCell ref="C275:G275"/>
    <mergeCell ref="C266:H266"/>
    <mergeCell ref="I266:J266"/>
    <mergeCell ref="C267:H267"/>
    <mergeCell ref="I267:J267"/>
    <mergeCell ref="C268:H268"/>
    <mergeCell ref="I268:J268"/>
  </mergeCells>
  <pageMargins left="0.4" right="0.2" top="0.2" bottom="0.4" header="0.2" footer="0.2"/>
  <pageSetup paperSize="9" scale="69" fitToHeight="0" orientation="portrait" horizontalDpi="4294967292" verticalDpi="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271"/>
  <sheetViews>
    <sheetView tabSelected="1" topLeftCell="A234" zoomScaleNormal="100" workbookViewId="0">
      <selection activeCell="K265" sqref="K265"/>
    </sheetView>
  </sheetViews>
  <sheetFormatPr defaultRowHeight="12.75" x14ac:dyDescent="0.2"/>
  <cols>
    <col min="1" max="1" width="5.7109375" customWidth="1"/>
    <col min="2" max="2" width="11.7109375" customWidth="1"/>
    <col min="3" max="3" width="40.7109375" customWidth="1"/>
    <col min="4" max="5" width="10.7109375" customWidth="1"/>
    <col min="6" max="8" width="12.7109375" customWidth="1"/>
    <col min="9" max="9" width="17.7109375" customWidth="1"/>
    <col min="10" max="10" width="8.7109375" customWidth="1"/>
    <col min="11" max="11" width="12.7109375" customWidth="1"/>
    <col min="12" max="12" width="9.7109375" customWidth="1"/>
    <col min="15" max="31" width="0" hidden="1" customWidth="1"/>
    <col min="32" max="32" width="91.7109375" hidden="1" customWidth="1"/>
    <col min="33" max="36" width="0" hidden="1" customWidth="1"/>
  </cols>
  <sheetData>
    <row r="1" spans="1:12" x14ac:dyDescent="0.2">
      <c r="A1" s="9" t="str">
        <f>Source!B1</f>
        <v>Smeta.RU  (495) 974-1589</v>
      </c>
      <c r="K1" s="59" t="s">
        <v>638</v>
      </c>
    </row>
    <row r="2" spans="1:12" ht="15.75" x14ac:dyDescent="0.25">
      <c r="A2" s="39"/>
      <c r="B2" s="82" t="s">
        <v>4</v>
      </c>
      <c r="C2" s="82"/>
      <c r="D2" s="82"/>
      <c r="E2" s="82"/>
      <c r="F2" s="82"/>
      <c r="G2" s="82"/>
      <c r="H2" s="82"/>
      <c r="I2" s="82"/>
      <c r="J2" s="82"/>
      <c r="K2" s="82"/>
      <c r="L2" s="39"/>
    </row>
    <row r="3" spans="1:12" ht="14.25" x14ac:dyDescent="0.2">
      <c r="A3" s="40"/>
      <c r="B3" s="83" t="s">
        <v>560</v>
      </c>
      <c r="C3" s="83"/>
      <c r="D3" s="83"/>
      <c r="E3" s="83"/>
      <c r="F3" s="83"/>
      <c r="G3" s="83"/>
      <c r="H3" s="83"/>
      <c r="I3" s="83"/>
      <c r="J3" s="83"/>
      <c r="K3" s="83"/>
      <c r="L3" s="39"/>
    </row>
    <row r="4" spans="1:12" ht="14.25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5.75" x14ac:dyDescent="0.25">
      <c r="A5" s="41"/>
      <c r="B5" s="82" t="s">
        <v>634</v>
      </c>
      <c r="C5" s="82"/>
      <c r="D5" s="82"/>
      <c r="E5" s="82"/>
      <c r="F5" s="82"/>
      <c r="G5" s="82"/>
      <c r="H5" s="82"/>
      <c r="I5" s="82"/>
      <c r="J5" s="82"/>
      <c r="K5" s="82"/>
      <c r="L5" s="41"/>
    </row>
    <row r="6" spans="1:12" ht="15.75" x14ac:dyDescent="0.2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1"/>
    </row>
    <row r="7" spans="1:12" ht="18" hidden="1" x14ac:dyDescent="0.25">
      <c r="A7" s="41"/>
      <c r="B7" s="84"/>
      <c r="C7" s="84"/>
      <c r="D7" s="84"/>
      <c r="E7" s="84"/>
      <c r="F7" s="84"/>
      <c r="G7" s="84"/>
      <c r="H7" s="84"/>
      <c r="I7" s="84"/>
      <c r="J7" s="84"/>
      <c r="K7" s="84"/>
      <c r="L7" s="41"/>
    </row>
    <row r="8" spans="1:12" ht="14.25" hidden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8" x14ac:dyDescent="0.25">
      <c r="A9" s="10"/>
      <c r="B9" s="79" t="s">
        <v>633</v>
      </c>
      <c r="C9" s="79"/>
      <c r="D9" s="79"/>
      <c r="E9" s="79"/>
      <c r="F9" s="79"/>
      <c r="G9" s="79"/>
      <c r="H9" s="79"/>
      <c r="I9" s="79"/>
      <c r="J9" s="79"/>
      <c r="K9" s="79"/>
      <c r="L9" s="43"/>
    </row>
    <row r="10" spans="1:12" ht="14.25" x14ac:dyDescent="0.2">
      <c r="A10" s="10"/>
      <c r="B10" s="85" t="s">
        <v>562</v>
      </c>
      <c r="C10" s="85"/>
      <c r="D10" s="85"/>
      <c r="E10" s="85"/>
      <c r="F10" s="85"/>
      <c r="G10" s="85"/>
      <c r="H10" s="85"/>
      <c r="I10" s="85"/>
      <c r="J10" s="85"/>
      <c r="K10" s="85"/>
      <c r="L10" s="39"/>
    </row>
    <row r="11" spans="1:12" ht="14.25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4.25" x14ac:dyDescent="0.2">
      <c r="A12" s="67" t="s">
        <v>637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1:12" ht="14.25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4.25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4.25" x14ac:dyDescent="0.2">
      <c r="A15" s="10"/>
      <c r="B15" s="10"/>
      <c r="C15" s="10"/>
      <c r="D15" s="10"/>
      <c r="E15" s="12"/>
      <c r="F15" s="12"/>
      <c r="G15" s="86"/>
      <c r="H15" s="86"/>
      <c r="I15" s="86" t="s">
        <v>614</v>
      </c>
      <c r="J15" s="86"/>
      <c r="K15" s="10"/>
      <c r="L15" s="10"/>
    </row>
    <row r="16" spans="1:12" ht="15" x14ac:dyDescent="0.25">
      <c r="A16" s="10"/>
      <c r="B16" s="10"/>
      <c r="C16" s="87" t="s">
        <v>566</v>
      </c>
      <c r="D16" s="87"/>
      <c r="E16" s="87"/>
      <c r="F16" s="87"/>
      <c r="G16" s="68"/>
      <c r="H16" s="68"/>
      <c r="I16" s="68">
        <f>K267/1000</f>
        <v>546.32649060000006</v>
      </c>
      <c r="J16" s="68"/>
      <c r="K16" s="88" t="s">
        <v>615</v>
      </c>
      <c r="L16" s="88"/>
    </row>
    <row r="17" spans="1:22" ht="14.25" hidden="1" x14ac:dyDescent="0.2">
      <c r="A17" s="10"/>
      <c r="B17" s="10"/>
      <c r="C17" s="89" t="s">
        <v>110</v>
      </c>
      <c r="D17" s="89"/>
      <c r="E17" s="89"/>
      <c r="F17" s="89"/>
      <c r="G17" s="68"/>
      <c r="H17" s="68"/>
      <c r="I17" s="68"/>
      <c r="J17" s="68"/>
      <c r="K17" s="20" t="s">
        <v>615</v>
      </c>
      <c r="L17" s="10"/>
    </row>
    <row r="18" spans="1:22" ht="15" x14ac:dyDescent="0.25">
      <c r="A18" s="10"/>
      <c r="B18" s="10"/>
      <c r="C18" s="26"/>
      <c r="D18" s="26"/>
      <c r="E18" s="26"/>
      <c r="F18" s="19"/>
      <c r="G18" s="44"/>
      <c r="H18" s="44"/>
      <c r="I18" s="44"/>
      <c r="J18" s="44"/>
      <c r="K18" s="44"/>
      <c r="L18" s="44"/>
    </row>
    <row r="19" spans="1:22" ht="15" hidden="1" x14ac:dyDescent="0.2">
      <c r="A19" s="19" t="s">
        <v>616</v>
      </c>
      <c r="B19" s="10"/>
      <c r="C19" s="10"/>
      <c r="D19" s="45"/>
      <c r="E19" s="10"/>
      <c r="F19" s="10"/>
      <c r="G19" s="46"/>
      <c r="H19" s="46"/>
      <c r="I19" s="47"/>
      <c r="J19" s="46"/>
      <c r="K19" s="46"/>
      <c r="L19" s="46"/>
    </row>
    <row r="20" spans="1:22" ht="15" hidden="1" x14ac:dyDescent="0.2">
      <c r="A20" s="19" t="s">
        <v>617</v>
      </c>
      <c r="B20" s="10"/>
      <c r="C20" s="10"/>
      <c r="D20" s="45"/>
      <c r="E20" s="10"/>
      <c r="F20" s="10"/>
      <c r="G20" s="46"/>
      <c r="H20" s="46"/>
      <c r="I20" s="47"/>
      <c r="J20" s="46"/>
      <c r="K20" s="46"/>
      <c r="L20" s="46"/>
    </row>
    <row r="21" spans="1:22" ht="15" hidden="1" x14ac:dyDescent="0.2">
      <c r="A21" s="10"/>
      <c r="B21" s="10"/>
      <c r="C21" s="13"/>
      <c r="D21" s="13"/>
      <c r="E21" s="13"/>
      <c r="F21" s="13"/>
      <c r="G21" s="46"/>
      <c r="H21" s="46"/>
      <c r="I21" s="47"/>
      <c r="J21" s="46"/>
      <c r="K21" s="46"/>
      <c r="L21" s="46"/>
    </row>
    <row r="22" spans="1:22" ht="14.25" x14ac:dyDescent="0.2">
      <c r="A22" s="90" t="s">
        <v>626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22" ht="57" x14ac:dyDescent="0.2">
      <c r="A23" s="17" t="s">
        <v>571</v>
      </c>
      <c r="B23" s="17" t="s">
        <v>572</v>
      </c>
      <c r="C23" s="17" t="s">
        <v>573</v>
      </c>
      <c r="D23" s="17" t="s">
        <v>618</v>
      </c>
      <c r="E23" s="17" t="s">
        <v>575</v>
      </c>
      <c r="F23" s="17" t="s">
        <v>619</v>
      </c>
      <c r="G23" s="17" t="s">
        <v>620</v>
      </c>
      <c r="H23" s="17" t="s">
        <v>621</v>
      </c>
      <c r="I23" s="17" t="s">
        <v>622</v>
      </c>
      <c r="J23" s="17" t="s">
        <v>623</v>
      </c>
      <c r="K23" s="17" t="s">
        <v>624</v>
      </c>
      <c r="L23" s="17" t="s">
        <v>625</v>
      </c>
    </row>
    <row r="24" spans="1:22" ht="14.25" x14ac:dyDescent="0.2">
      <c r="A24" s="48">
        <v>1</v>
      </c>
      <c r="B24" s="48">
        <v>2</v>
      </c>
      <c r="C24" s="48">
        <v>3</v>
      </c>
      <c r="D24" s="48">
        <v>4</v>
      </c>
      <c r="E24" s="48">
        <v>5</v>
      </c>
      <c r="F24" s="48">
        <v>6</v>
      </c>
      <c r="G24" s="48">
        <v>7</v>
      </c>
      <c r="H24" s="48">
        <v>8</v>
      </c>
      <c r="I24" s="48">
        <v>9</v>
      </c>
      <c r="J24" s="48">
        <v>10</v>
      </c>
      <c r="K24" s="48">
        <v>11</v>
      </c>
      <c r="L24" s="49">
        <v>12</v>
      </c>
    </row>
    <row r="26" spans="1:22" ht="16.5" x14ac:dyDescent="0.25">
      <c r="A26" s="72" t="str">
        <f>CONCATENATE("Раздел: ",IF(Source!G24&lt;&gt;"Новый раздел", Source!G24, ""))</f>
        <v>Раздел: Демонтажные работы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22" ht="42.75" x14ac:dyDescent="0.2">
      <c r="A27" s="21">
        <v>1</v>
      </c>
      <c r="B27" s="21" t="str">
        <f>Source!F28</f>
        <v>15-01-045-01</v>
      </c>
      <c r="C27" s="21" t="str">
        <f>Source!G28</f>
        <v>Демонтаж // Облицовка ступеней керамогранитными плитками толщиной до 15 мм</v>
      </c>
      <c r="D27" s="23" t="str">
        <f>Source!H28</f>
        <v>100 м2</v>
      </c>
      <c r="E27" s="13">
        <f>Source!I28</f>
        <v>0.40699999999999997</v>
      </c>
      <c r="F27" s="14">
        <f>Source!AL28+Source!AM28+Source!AO28</f>
        <v>3682.3199999999997</v>
      </c>
      <c r="G27" s="24"/>
      <c r="H27" s="14"/>
      <c r="I27" s="24" t="str">
        <f>Source!BO28</f>
        <v/>
      </c>
      <c r="J27" s="24"/>
      <c r="K27" s="14"/>
      <c r="L27" s="51"/>
      <c r="S27">
        <f>ROUND((Source!FX28/100)*((ROUND(Source!AF28*Source!I28, 2)+ROUND(Source!AE28*Source!I28, 2))), 2)</f>
        <v>1366.15</v>
      </c>
      <c r="T27">
        <f>Source!X28</f>
        <v>38169.96</v>
      </c>
      <c r="U27">
        <f>ROUND((Source!FY28/100)*((ROUND(Source!AF28*Source!I28, 2)+ROUND(Source!AE28*Source!I28, 2))), 2)</f>
        <v>669.41</v>
      </c>
      <c r="V27">
        <f>Source!Y28</f>
        <v>18703.28</v>
      </c>
    </row>
    <row r="28" spans="1:22" ht="14.25" x14ac:dyDescent="0.2">
      <c r="A28" s="21"/>
      <c r="B28" s="21"/>
      <c r="C28" s="21" t="s">
        <v>627</v>
      </c>
      <c r="D28" s="23"/>
      <c r="E28" s="13"/>
      <c r="F28" s="14">
        <f>Source!AO28</f>
        <v>3471.6</v>
      </c>
      <c r="G28" s="24" t="str">
        <f>Source!DG28</f>
        <v>)*0,8)*1,2</v>
      </c>
      <c r="H28" s="14">
        <f>ROUND(Source!AF28*Source!I28, 2)</f>
        <v>1356.43</v>
      </c>
      <c r="I28" s="24"/>
      <c r="J28" s="24">
        <f>IF(Source!BA28&lt;&gt; 0, Source!BA28, 1)</f>
        <v>27.94</v>
      </c>
      <c r="K28" s="14">
        <f>Source!S28</f>
        <v>37898.519999999997</v>
      </c>
      <c r="L28" s="51"/>
      <c r="R28">
        <f>H28</f>
        <v>1356.43</v>
      </c>
    </row>
    <row r="29" spans="1:22" ht="14.25" x14ac:dyDescent="0.2">
      <c r="A29" s="21"/>
      <c r="B29" s="21"/>
      <c r="C29" s="21" t="s">
        <v>92</v>
      </c>
      <c r="D29" s="23"/>
      <c r="E29" s="13"/>
      <c r="F29" s="14">
        <f>Source!AM28</f>
        <v>72.849999999999994</v>
      </c>
      <c r="G29" s="24" t="str">
        <f>Source!DE28</f>
        <v>)*0,8)*1,2</v>
      </c>
      <c r="H29" s="14">
        <f>ROUND((((((Source!ET28*0.8)*1.2))-(((Source!EU28*0.8)*1.2)))+Source!AE28)*Source!I28, 2)</f>
        <v>28.47</v>
      </c>
      <c r="I29" s="24"/>
      <c r="J29" s="24">
        <f>IF(Source!BB28&lt;&gt; 0, Source!BB28, 1)</f>
        <v>11.05</v>
      </c>
      <c r="K29" s="14">
        <f>Source!Q28</f>
        <v>314.58</v>
      </c>
      <c r="L29" s="51"/>
    </row>
    <row r="30" spans="1:22" ht="14.25" x14ac:dyDescent="0.2">
      <c r="A30" s="21"/>
      <c r="B30" s="21"/>
      <c r="C30" s="21" t="s">
        <v>628</v>
      </c>
      <c r="D30" s="23"/>
      <c r="E30" s="13"/>
      <c r="F30" s="14">
        <f>Source!AN28</f>
        <v>24.86</v>
      </c>
      <c r="G30" s="24" t="str">
        <f>Source!DF28</f>
        <v>)*0,8)*1,2</v>
      </c>
      <c r="H30" s="25">
        <f>ROUND(Source!AE28*Source!I28, 2)</f>
        <v>9.7200000000000006</v>
      </c>
      <c r="I30" s="24"/>
      <c r="J30" s="24">
        <f>IF(Source!BS28&lt;&gt; 0, Source!BS28, 1)</f>
        <v>27.94</v>
      </c>
      <c r="K30" s="25">
        <f>Source!R28</f>
        <v>271.44</v>
      </c>
      <c r="L30" s="51"/>
      <c r="R30">
        <f>H30</f>
        <v>9.7200000000000006</v>
      </c>
    </row>
    <row r="31" spans="1:22" ht="14.25" x14ac:dyDescent="0.2">
      <c r="A31" s="21"/>
      <c r="B31" s="21"/>
      <c r="C31" s="21" t="s">
        <v>586</v>
      </c>
      <c r="D31" s="23" t="s">
        <v>587</v>
      </c>
      <c r="E31" s="13">
        <f>Source!BZ28</f>
        <v>100</v>
      </c>
      <c r="F31" s="58"/>
      <c r="G31" s="24"/>
      <c r="H31" s="14">
        <f>SUM(S27:S33)</f>
        <v>1366.15</v>
      </c>
      <c r="I31" s="52"/>
      <c r="J31" s="22">
        <f>Source!AT28</f>
        <v>100</v>
      </c>
      <c r="K31" s="14">
        <f>SUM(T27:T33)</f>
        <v>38169.96</v>
      </c>
      <c r="L31" s="51"/>
    </row>
    <row r="32" spans="1:22" ht="14.25" x14ac:dyDescent="0.2">
      <c r="A32" s="21"/>
      <c r="B32" s="21"/>
      <c r="C32" s="21" t="s">
        <v>588</v>
      </c>
      <c r="D32" s="23" t="s">
        <v>587</v>
      </c>
      <c r="E32" s="13">
        <f>Source!CA28</f>
        <v>49</v>
      </c>
      <c r="F32" s="58"/>
      <c r="G32" s="24"/>
      <c r="H32" s="14">
        <f>SUM(U27:U33)</f>
        <v>669.41</v>
      </c>
      <c r="I32" s="52"/>
      <c r="J32" s="22">
        <f>Source!AU28</f>
        <v>49</v>
      </c>
      <c r="K32" s="14">
        <f>SUM(V27:V33)</f>
        <v>18703.28</v>
      </c>
      <c r="L32" s="51"/>
    </row>
    <row r="33" spans="1:26" ht="14.25" x14ac:dyDescent="0.2">
      <c r="A33" s="29"/>
      <c r="B33" s="29"/>
      <c r="C33" s="29" t="s">
        <v>629</v>
      </c>
      <c r="D33" s="30" t="s">
        <v>590</v>
      </c>
      <c r="E33" s="31">
        <f>Source!AQ28</f>
        <v>378.17</v>
      </c>
      <c r="F33" s="32"/>
      <c r="G33" s="33" t="str">
        <f>Source!DI28</f>
        <v>)*0,8)*1,2</v>
      </c>
      <c r="H33" s="32"/>
      <c r="I33" s="33"/>
      <c r="J33" s="33"/>
      <c r="K33" s="32"/>
      <c r="L33" s="53">
        <f>Source!U28</f>
        <v>147.75858239999999</v>
      </c>
    </row>
    <row r="34" spans="1:26" ht="15" x14ac:dyDescent="0.25">
      <c r="G34" s="81">
        <f>H28+H29+H31+H32</f>
        <v>3420.46</v>
      </c>
      <c r="H34" s="81"/>
      <c r="J34" s="81">
        <f>K28+K29+K31+K32</f>
        <v>95086.34</v>
      </c>
      <c r="K34" s="81"/>
      <c r="L34" s="54">
        <f>Source!U28</f>
        <v>147.75858239999999</v>
      </c>
      <c r="O34" s="28">
        <f>G34</f>
        <v>3420.46</v>
      </c>
      <c r="P34" s="28">
        <f>J34</f>
        <v>95086.34</v>
      </c>
      <c r="Q34" s="28">
        <f>L34</f>
        <v>147.75858239999999</v>
      </c>
      <c r="W34">
        <f>IF(Source!BI28&lt;=1,H28+H29+H31+H32, 0)</f>
        <v>3420.46</v>
      </c>
      <c r="X34">
        <f>IF(Source!BI28=2,H28+H29+H31+H32, 0)</f>
        <v>0</v>
      </c>
      <c r="Y34">
        <f>IF(Source!BI28=3,H28+H29+H31+H32, 0)</f>
        <v>0</v>
      </c>
      <c r="Z34">
        <f>IF(Source!BI28=4,H28+H29+H31+H32, 0)</f>
        <v>0</v>
      </c>
    </row>
    <row r="35" spans="1:26" ht="71.25" x14ac:dyDescent="0.2">
      <c r="A35" s="21">
        <v>2</v>
      </c>
      <c r="B35" s="21" t="str">
        <f>Source!F29</f>
        <v>09-03-022-04</v>
      </c>
      <c r="C35" s="21" t="str">
        <f>Source!G29</f>
        <v>Демонтаж // Монтаж оконных фонарных покрытий из поликарбонатных и акриловых плит с боковыми планками, профилями и резиновыми прокладками // Прим. к навесу крыльца</v>
      </c>
      <c r="D35" s="23" t="str">
        <f>Source!H29</f>
        <v>100 м2</v>
      </c>
      <c r="E35" s="13">
        <f>Source!I29</f>
        <v>0.192</v>
      </c>
      <c r="F35" s="14">
        <f>Source!AL29+Source!AM29+Source!AO29</f>
        <v>3283.4900000000002</v>
      </c>
      <c r="G35" s="24"/>
      <c r="H35" s="14"/>
      <c r="I35" s="24" t="str">
        <f>Source!BO29</f>
        <v/>
      </c>
      <c r="J35" s="24"/>
      <c r="K35" s="14"/>
      <c r="L35" s="51"/>
      <c r="S35">
        <f>ROUND((Source!FX29/100)*((ROUND(Source!AF29*Source!I29, 2)+ROUND(Source!AE29*Source!I29, 2))), 2)</f>
        <v>224.72</v>
      </c>
      <c r="T35">
        <f>Source!X29</f>
        <v>6278.51</v>
      </c>
      <c r="U35">
        <f>ROUND((Source!FY29/100)*((ROUND(Source!AF29*Source!I29, 2)+ROUND(Source!AE29*Source!I29, 2))), 2)</f>
        <v>149.81</v>
      </c>
      <c r="V35">
        <f>Source!Y29</f>
        <v>4185.68</v>
      </c>
    </row>
    <row r="36" spans="1:26" ht="14.25" x14ac:dyDescent="0.2">
      <c r="A36" s="21"/>
      <c r="B36" s="21"/>
      <c r="C36" s="21" t="s">
        <v>627</v>
      </c>
      <c r="D36" s="23"/>
      <c r="E36" s="13"/>
      <c r="F36" s="14">
        <f>Source!AO29</f>
        <v>1062.29</v>
      </c>
      <c r="G36" s="24" t="str">
        <f>Source!DG29</f>
        <v>)*0,8)*1,2</v>
      </c>
      <c r="H36" s="14">
        <f>ROUND(Source!AF29*Source!I29, 2)</f>
        <v>195.8</v>
      </c>
      <c r="I36" s="24"/>
      <c r="J36" s="24">
        <f>IF(Source!BA29&lt;&gt; 0, Source!BA29, 1)</f>
        <v>27.94</v>
      </c>
      <c r="K36" s="14">
        <f>Source!S29</f>
        <v>5470.7</v>
      </c>
      <c r="L36" s="51"/>
      <c r="R36">
        <f>H36</f>
        <v>195.8</v>
      </c>
    </row>
    <row r="37" spans="1:26" ht="14.25" x14ac:dyDescent="0.2">
      <c r="A37" s="21"/>
      <c r="B37" s="21"/>
      <c r="C37" s="21" t="s">
        <v>92</v>
      </c>
      <c r="D37" s="23"/>
      <c r="E37" s="13"/>
      <c r="F37" s="14">
        <f>Source!AM29</f>
        <v>2187.15</v>
      </c>
      <c r="G37" s="24" t="str">
        <f>Source!DE29</f>
        <v>)*0,8)*1,2</v>
      </c>
      <c r="H37" s="14">
        <f>ROUND((((((Source!ET29*0.8)*1.2))-(((Source!EU29*0.8)*1.2)))+Source!AE29)*Source!I29, 2)</f>
        <v>403.13</v>
      </c>
      <c r="I37" s="24"/>
      <c r="J37" s="24">
        <f>IF(Source!BB29&lt;&gt; 0, Source!BB29, 1)</f>
        <v>11.05</v>
      </c>
      <c r="K37" s="14">
        <f>Source!Q29</f>
        <v>4454.62</v>
      </c>
      <c r="L37" s="51"/>
    </row>
    <row r="38" spans="1:26" ht="14.25" x14ac:dyDescent="0.2">
      <c r="A38" s="21"/>
      <c r="B38" s="21"/>
      <c r="C38" s="21" t="s">
        <v>628</v>
      </c>
      <c r="D38" s="23"/>
      <c r="E38" s="13"/>
      <c r="F38" s="14">
        <f>Source!AN29</f>
        <v>248.63</v>
      </c>
      <c r="G38" s="24" t="str">
        <f>Source!DF29</f>
        <v>)*0,8)*1,2</v>
      </c>
      <c r="H38" s="25">
        <f>ROUND(Source!AE29*Source!I29, 2)</f>
        <v>45.83</v>
      </c>
      <c r="I38" s="24"/>
      <c r="J38" s="24">
        <f>IF(Source!BS29&lt;&gt; 0, Source!BS29, 1)</f>
        <v>27.94</v>
      </c>
      <c r="K38" s="25">
        <f>Source!R29</f>
        <v>1280.3900000000001</v>
      </c>
      <c r="L38" s="51"/>
      <c r="R38">
        <f>H38</f>
        <v>45.83</v>
      </c>
    </row>
    <row r="39" spans="1:26" ht="14.25" x14ac:dyDescent="0.2">
      <c r="A39" s="21"/>
      <c r="B39" s="21"/>
      <c r="C39" s="21" t="s">
        <v>586</v>
      </c>
      <c r="D39" s="23" t="s">
        <v>587</v>
      </c>
      <c r="E39" s="13">
        <f>Source!BZ29</f>
        <v>93</v>
      </c>
      <c r="F39" s="58"/>
      <c r="G39" s="24"/>
      <c r="H39" s="14">
        <f>SUM(S35:S41)</f>
        <v>224.72</v>
      </c>
      <c r="I39" s="52"/>
      <c r="J39" s="22">
        <f>Source!AT29</f>
        <v>93</v>
      </c>
      <c r="K39" s="14">
        <f>SUM(T35:T41)</f>
        <v>6278.51</v>
      </c>
      <c r="L39" s="51"/>
    </row>
    <row r="40" spans="1:26" ht="14.25" x14ac:dyDescent="0.2">
      <c r="A40" s="21"/>
      <c r="B40" s="21"/>
      <c r="C40" s="21" t="s">
        <v>588</v>
      </c>
      <c r="D40" s="23" t="s">
        <v>587</v>
      </c>
      <c r="E40" s="13">
        <f>Source!CA29</f>
        <v>62</v>
      </c>
      <c r="F40" s="58"/>
      <c r="G40" s="24"/>
      <c r="H40" s="14">
        <f>SUM(U35:U41)</f>
        <v>149.81</v>
      </c>
      <c r="I40" s="52"/>
      <c r="J40" s="22">
        <f>Source!AU29</f>
        <v>62</v>
      </c>
      <c r="K40" s="14">
        <f>SUM(V35:V41)</f>
        <v>4185.68</v>
      </c>
      <c r="L40" s="51"/>
    </row>
    <row r="41" spans="1:26" ht="14.25" x14ac:dyDescent="0.2">
      <c r="A41" s="29"/>
      <c r="B41" s="29"/>
      <c r="C41" s="29" t="s">
        <v>629</v>
      </c>
      <c r="D41" s="30" t="s">
        <v>590</v>
      </c>
      <c r="E41" s="31">
        <f>Source!AQ29</f>
        <v>113.01</v>
      </c>
      <c r="F41" s="32"/>
      <c r="G41" s="33" t="str">
        <f>Source!DI29</f>
        <v>)*0,8)*1,2</v>
      </c>
      <c r="H41" s="32"/>
      <c r="I41" s="33"/>
      <c r="J41" s="33"/>
      <c r="K41" s="32"/>
      <c r="L41" s="53">
        <f>Source!U29</f>
        <v>20.830003200000004</v>
      </c>
    </row>
    <row r="42" spans="1:26" ht="15" x14ac:dyDescent="0.25">
      <c r="G42" s="81">
        <f>H36+H37+H39+H40</f>
        <v>973.46</v>
      </c>
      <c r="H42" s="81"/>
      <c r="J42" s="81">
        <f>K36+K37+K39+K40</f>
        <v>20389.510000000002</v>
      </c>
      <c r="K42" s="81"/>
      <c r="L42" s="54">
        <f>Source!U29</f>
        <v>20.830003200000004</v>
      </c>
      <c r="O42" s="28">
        <f>G42</f>
        <v>973.46</v>
      </c>
      <c r="P42" s="28">
        <f>J42</f>
        <v>20389.510000000002</v>
      </c>
      <c r="Q42" s="28">
        <f>L42</f>
        <v>20.830003200000004</v>
      </c>
      <c r="W42">
        <f>IF(Source!BI29&lt;=1,H36+H37+H39+H40, 0)</f>
        <v>973.46</v>
      </c>
      <c r="X42">
        <f>IF(Source!BI29=2,H36+H37+H39+H40, 0)</f>
        <v>0</v>
      </c>
      <c r="Y42">
        <f>IF(Source!BI29=3,H36+H37+H39+H40, 0)</f>
        <v>0</v>
      </c>
      <c r="Z42">
        <f>IF(Source!BI29=4,H36+H37+H39+H40, 0)</f>
        <v>0</v>
      </c>
    </row>
    <row r="43" spans="1:26" ht="42.75" x14ac:dyDescent="0.2">
      <c r="A43" s="21">
        <v>3</v>
      </c>
      <c r="B43" s="21" t="str">
        <f>Source!F30</f>
        <v>12-01-035-01</v>
      </c>
      <c r="C43" s="21" t="str">
        <f>Source!G30</f>
        <v>Демонтаж // Устройство металлической водосточной системы: колен</v>
      </c>
      <c r="D43" s="23" t="str">
        <f>Source!H30</f>
        <v>ШТ</v>
      </c>
      <c r="E43" s="13">
        <f>Source!I30</f>
        <v>2</v>
      </c>
      <c r="F43" s="14">
        <f>Source!AL30+Source!AM30+Source!AO30</f>
        <v>1.1499999999999999</v>
      </c>
      <c r="G43" s="24"/>
      <c r="H43" s="14"/>
      <c r="I43" s="24" t="str">
        <f>Source!BO30</f>
        <v/>
      </c>
      <c r="J43" s="24"/>
      <c r="K43" s="14"/>
      <c r="L43" s="51"/>
      <c r="S43">
        <f>ROUND((Source!FX30/100)*((ROUND(Source!AF30*Source!I30, 2)+ROUND(Source!AE30*Source!I30, 2))), 2)</f>
        <v>2.4</v>
      </c>
      <c r="T43">
        <f>Source!X30</f>
        <v>67</v>
      </c>
      <c r="U43">
        <f>ROUND((Source!FY30/100)*((ROUND(Source!AF30*Source!I30, 2)+ROUND(Source!AE30*Source!I30, 2))), 2)</f>
        <v>1.25</v>
      </c>
      <c r="V43">
        <f>Source!Y30</f>
        <v>35.04</v>
      </c>
    </row>
    <row r="44" spans="1:26" ht="14.25" x14ac:dyDescent="0.2">
      <c r="A44" s="21"/>
      <c r="B44" s="21"/>
      <c r="C44" s="21" t="s">
        <v>627</v>
      </c>
      <c r="D44" s="23"/>
      <c r="E44" s="13"/>
      <c r="F44" s="14">
        <f>Source!AO30</f>
        <v>1.1499999999999999</v>
      </c>
      <c r="G44" s="24" t="str">
        <f>Source!DG30</f>
        <v>)*0,8)*1,2</v>
      </c>
      <c r="H44" s="14">
        <f>ROUND(Source!AF30*Source!I30, 2)</f>
        <v>2.2000000000000002</v>
      </c>
      <c r="I44" s="24"/>
      <c r="J44" s="24">
        <f>IF(Source!BA30&lt;&gt; 0, Source!BA30, 1)</f>
        <v>27.94</v>
      </c>
      <c r="K44" s="14">
        <f>Source!S30</f>
        <v>61.47</v>
      </c>
      <c r="L44" s="51"/>
      <c r="R44">
        <f>H44</f>
        <v>2.2000000000000002</v>
      </c>
    </row>
    <row r="45" spans="1:26" ht="14.25" x14ac:dyDescent="0.2">
      <c r="A45" s="21"/>
      <c r="B45" s="21"/>
      <c r="C45" s="21" t="s">
        <v>586</v>
      </c>
      <c r="D45" s="23" t="s">
        <v>587</v>
      </c>
      <c r="E45" s="13">
        <f>Source!BZ30</f>
        <v>109</v>
      </c>
      <c r="F45" s="58"/>
      <c r="G45" s="24"/>
      <c r="H45" s="14">
        <f>SUM(S43:S47)</f>
        <v>2.4</v>
      </c>
      <c r="I45" s="52"/>
      <c r="J45" s="22">
        <f>Source!AT30</f>
        <v>109</v>
      </c>
      <c r="K45" s="14">
        <f>SUM(T43:T47)</f>
        <v>67</v>
      </c>
      <c r="L45" s="51"/>
    </row>
    <row r="46" spans="1:26" ht="14.25" x14ac:dyDescent="0.2">
      <c r="A46" s="21"/>
      <c r="B46" s="21"/>
      <c r="C46" s="21" t="s">
        <v>588</v>
      </c>
      <c r="D46" s="23" t="s">
        <v>587</v>
      </c>
      <c r="E46" s="13">
        <f>Source!CA30</f>
        <v>57</v>
      </c>
      <c r="F46" s="58"/>
      <c r="G46" s="24"/>
      <c r="H46" s="14">
        <f>SUM(U43:U47)</f>
        <v>1.25</v>
      </c>
      <c r="I46" s="52"/>
      <c r="J46" s="22">
        <f>Source!AU30</f>
        <v>57</v>
      </c>
      <c r="K46" s="14">
        <f>SUM(V43:V47)</f>
        <v>35.04</v>
      </c>
      <c r="L46" s="51"/>
    </row>
    <row r="47" spans="1:26" ht="14.25" x14ac:dyDescent="0.2">
      <c r="A47" s="29"/>
      <c r="B47" s="29"/>
      <c r="C47" s="29" t="s">
        <v>629</v>
      </c>
      <c r="D47" s="30" t="s">
        <v>590</v>
      </c>
      <c r="E47" s="31">
        <f>Source!AQ30</f>
        <v>0.12</v>
      </c>
      <c r="F47" s="32"/>
      <c r="G47" s="33" t="str">
        <f>Source!DI30</f>
        <v>)*0,8)*1,2</v>
      </c>
      <c r="H47" s="32"/>
      <c r="I47" s="33"/>
      <c r="J47" s="33"/>
      <c r="K47" s="32"/>
      <c r="L47" s="53">
        <f>Source!U30</f>
        <v>0.23039999999999999</v>
      </c>
    </row>
    <row r="48" spans="1:26" ht="15" x14ac:dyDescent="0.25">
      <c r="G48" s="81">
        <f>H44+H45+H46</f>
        <v>5.85</v>
      </c>
      <c r="H48" s="81"/>
      <c r="J48" s="81">
        <f>K44+K45+K46</f>
        <v>163.51</v>
      </c>
      <c r="K48" s="81"/>
      <c r="L48" s="54">
        <f>Source!U30</f>
        <v>0.23039999999999999</v>
      </c>
      <c r="O48" s="28">
        <f>G48</f>
        <v>5.85</v>
      </c>
      <c r="P48" s="28">
        <f>J48</f>
        <v>163.51</v>
      </c>
      <c r="Q48" s="28">
        <f>L48</f>
        <v>0.23039999999999999</v>
      </c>
      <c r="W48">
        <f>IF(Source!BI30&lt;=1,H44+H45+H46, 0)</f>
        <v>5.85</v>
      </c>
      <c r="X48">
        <f>IF(Source!BI30=2,H44+H45+H46, 0)</f>
        <v>0</v>
      </c>
      <c r="Y48">
        <f>IF(Source!BI30=3,H44+H45+H46, 0)</f>
        <v>0</v>
      </c>
      <c r="Z48">
        <f>IF(Source!BI30=4,H44+H45+H46, 0)</f>
        <v>0</v>
      </c>
    </row>
    <row r="49" spans="1:26" ht="42.75" x14ac:dyDescent="0.2">
      <c r="A49" s="21">
        <v>4</v>
      </c>
      <c r="B49" s="21" t="str">
        <f>Source!F31</f>
        <v>27-07-005-05</v>
      </c>
      <c r="C49" s="21" t="str">
        <f>Source!G31</f>
        <v>Резка тротуарной плитки толщиной 70 мм: угловой шлифовальной машинкой // Для устройства водостока</v>
      </c>
      <c r="D49" s="23" t="str">
        <f>Source!H31</f>
        <v>м реза</v>
      </c>
      <c r="E49" s="13">
        <f>Source!I31</f>
        <v>50</v>
      </c>
      <c r="F49" s="14">
        <f>Source!AL31+Source!AM31+Source!AO31</f>
        <v>16</v>
      </c>
      <c r="G49" s="24"/>
      <c r="H49" s="14"/>
      <c r="I49" s="24" t="str">
        <f>Source!BO31</f>
        <v/>
      </c>
      <c r="J49" s="24"/>
      <c r="K49" s="14"/>
      <c r="L49" s="51"/>
      <c r="S49">
        <f>ROUND((Source!FX31/100)*((ROUND(Source!AF31*Source!I31, 2)+ROUND(Source!AE31*Source!I31, 2))), 2)</f>
        <v>442.96</v>
      </c>
      <c r="T49">
        <f>Source!X31</f>
        <v>12376.3</v>
      </c>
      <c r="U49">
        <f>ROUND((Source!FY31/100)*((ROUND(Source!AF31*Source!I31, 2)+ROUND(Source!AE31*Source!I31, 2))), 2)</f>
        <v>256.56</v>
      </c>
      <c r="V49">
        <f>Source!Y31</f>
        <v>7168.4</v>
      </c>
    </row>
    <row r="50" spans="1:26" ht="14.25" x14ac:dyDescent="0.2">
      <c r="A50" s="21"/>
      <c r="B50" s="21"/>
      <c r="C50" s="21" t="s">
        <v>627</v>
      </c>
      <c r="D50" s="23"/>
      <c r="E50" s="13"/>
      <c r="F50" s="14">
        <f>Source!AO31</f>
        <v>5.68</v>
      </c>
      <c r="G50" s="24" t="str">
        <f>Source!DG31</f>
        <v>)*1,15)*1,2</v>
      </c>
      <c r="H50" s="14">
        <f>ROUND(Source!AF31*Source!I31, 2)</f>
        <v>392</v>
      </c>
      <c r="I50" s="24"/>
      <c r="J50" s="24">
        <f>IF(Source!BA31&lt;&gt; 0, Source!BA31, 1)</f>
        <v>27.94</v>
      </c>
      <c r="K50" s="14">
        <f>Source!S31</f>
        <v>10952.48</v>
      </c>
      <c r="L50" s="51"/>
      <c r="R50">
        <f>H50</f>
        <v>392</v>
      </c>
    </row>
    <row r="51" spans="1:26" ht="14.25" x14ac:dyDescent="0.2">
      <c r="A51" s="21"/>
      <c r="B51" s="21"/>
      <c r="C51" s="21" t="s">
        <v>630</v>
      </c>
      <c r="D51" s="23"/>
      <c r="E51" s="13"/>
      <c r="F51" s="14">
        <f>Source!AL31</f>
        <v>10.32</v>
      </c>
      <c r="G51" s="24" t="str">
        <f>Source!DD31</f>
        <v/>
      </c>
      <c r="H51" s="14">
        <f>ROUND(Source!AC31*Source!I31, 2)</f>
        <v>516</v>
      </c>
      <c r="I51" s="24"/>
      <c r="J51" s="24">
        <f>IF(Source!BC31&lt;&gt; 0, Source!BC31, 1)</f>
        <v>7.99</v>
      </c>
      <c r="K51" s="14">
        <f>Source!P31</f>
        <v>4122.84</v>
      </c>
      <c r="L51" s="51"/>
    </row>
    <row r="52" spans="1:26" ht="14.25" x14ac:dyDescent="0.2">
      <c r="A52" s="21"/>
      <c r="B52" s="21"/>
      <c r="C52" s="21" t="s">
        <v>586</v>
      </c>
      <c r="D52" s="23" t="s">
        <v>587</v>
      </c>
      <c r="E52" s="13">
        <f>Source!BZ31</f>
        <v>113</v>
      </c>
      <c r="F52" s="58"/>
      <c r="G52" s="24"/>
      <c r="H52" s="14">
        <f>SUM(S49:S54)</f>
        <v>442.96</v>
      </c>
      <c r="I52" s="52"/>
      <c r="J52" s="22">
        <f>Source!AT31</f>
        <v>113</v>
      </c>
      <c r="K52" s="14">
        <f>SUM(T49:T54)</f>
        <v>12376.3</v>
      </c>
      <c r="L52" s="51"/>
    </row>
    <row r="53" spans="1:26" ht="14.25" x14ac:dyDescent="0.2">
      <c r="A53" s="21"/>
      <c r="B53" s="21"/>
      <c r="C53" s="21" t="s">
        <v>588</v>
      </c>
      <c r="D53" s="23" t="s">
        <v>587</v>
      </c>
      <c r="E53" s="13">
        <f>Source!CA31</f>
        <v>77</v>
      </c>
      <c r="F53" s="76" t="str">
        <f>CONCATENATE(" )", Source!DM31, Source!FU31, "=", Source!FY31)</f>
        <v xml:space="preserve"> )*0.85=65,45</v>
      </c>
      <c r="G53" s="73"/>
      <c r="H53" s="14">
        <f>SUM(U49:U54)</f>
        <v>256.56</v>
      </c>
      <c r="I53" s="52"/>
      <c r="J53" s="22">
        <f>Source!AU31</f>
        <v>65.45</v>
      </c>
      <c r="K53" s="14">
        <f>SUM(V49:V54)</f>
        <v>7168.4</v>
      </c>
      <c r="L53" s="51"/>
    </row>
    <row r="54" spans="1:26" ht="14.25" x14ac:dyDescent="0.2">
      <c r="A54" s="29"/>
      <c r="B54" s="29"/>
      <c r="C54" s="29" t="s">
        <v>629</v>
      </c>
      <c r="D54" s="30" t="s">
        <v>590</v>
      </c>
      <c r="E54" s="31">
        <f>Source!AQ31</f>
        <v>0.59</v>
      </c>
      <c r="F54" s="32"/>
      <c r="G54" s="33" t="str">
        <f>Source!DI31</f>
        <v>)*1,15)*1,2</v>
      </c>
      <c r="H54" s="32"/>
      <c r="I54" s="33"/>
      <c r="J54" s="33"/>
      <c r="K54" s="32"/>
      <c r="L54" s="53">
        <f>Source!U31</f>
        <v>40.709999999999994</v>
      </c>
    </row>
    <row r="55" spans="1:26" ht="15" x14ac:dyDescent="0.25">
      <c r="G55" s="81">
        <f>H50+H51+H52+H53</f>
        <v>1607.52</v>
      </c>
      <c r="H55" s="81"/>
      <c r="J55" s="81">
        <f>K50+K51+K52+K53</f>
        <v>34620.019999999997</v>
      </c>
      <c r="K55" s="81"/>
      <c r="L55" s="54">
        <f>Source!U31</f>
        <v>40.709999999999994</v>
      </c>
      <c r="O55" s="28">
        <f>G55</f>
        <v>1607.52</v>
      </c>
      <c r="P55" s="28">
        <f>J55</f>
        <v>34620.019999999997</v>
      </c>
      <c r="Q55" s="28">
        <f>L55</f>
        <v>40.709999999999994</v>
      </c>
      <c r="W55">
        <f>IF(Source!BI31&lt;=1,H50+H51+H52+H53, 0)</f>
        <v>1607.52</v>
      </c>
      <c r="X55">
        <f>IF(Source!BI31=2,H50+H51+H52+H53, 0)</f>
        <v>0</v>
      </c>
      <c r="Y55">
        <f>IF(Source!BI31=3,H50+H51+H52+H53, 0)</f>
        <v>0</v>
      </c>
      <c r="Z55">
        <f>IF(Source!BI31=4,H50+H51+H52+H53, 0)</f>
        <v>0</v>
      </c>
    </row>
    <row r="56" spans="1:26" ht="42.75" x14ac:dyDescent="0.2">
      <c r="A56" s="21">
        <v>5</v>
      </c>
      <c r="B56" s="21" t="str">
        <f>Source!F32</f>
        <v>46-03-012-01</v>
      </c>
      <c r="C56" s="21" t="str">
        <f>Source!G32</f>
        <v>Пробивка в бетонных конструкциях полов и стен борозд площадью сечения: до 20 см2</v>
      </c>
      <c r="D56" s="23" t="str">
        <f>Source!H32</f>
        <v>100 м</v>
      </c>
      <c r="E56" s="13">
        <f>Source!I32</f>
        <v>0.02</v>
      </c>
      <c r="F56" s="14">
        <f>Source!AL32+Source!AM32+Source!AO32</f>
        <v>606.55999999999995</v>
      </c>
      <c r="G56" s="24"/>
      <c r="H56" s="14"/>
      <c r="I56" s="24" t="str">
        <f>Source!BO32</f>
        <v/>
      </c>
      <c r="J56" s="24"/>
      <c r="K56" s="14"/>
      <c r="L56" s="51"/>
      <c r="S56">
        <f>ROUND((Source!FX32/100)*((ROUND(Source!AF32*Source!I32, 2)+ROUND(Source!AE32*Source!I32, 2))), 2)</f>
        <v>4.6900000000000004</v>
      </c>
      <c r="T56">
        <f>Source!X32</f>
        <v>130.88</v>
      </c>
      <c r="U56">
        <f>ROUND((Source!FY32/100)*((ROUND(Source!AF32*Source!I32, 2)+ROUND(Source!AE32*Source!I32, 2))), 2)</f>
        <v>2.68</v>
      </c>
      <c r="V56">
        <f>Source!Y32</f>
        <v>74.97</v>
      </c>
    </row>
    <row r="57" spans="1:26" x14ac:dyDescent="0.2">
      <c r="C57" s="34" t="str">
        <f>"Объем: "&amp;Source!I32&amp;"=2/"&amp;"100"</f>
        <v>Объем: 0,02=2/100</v>
      </c>
    </row>
    <row r="58" spans="1:26" ht="14.25" x14ac:dyDescent="0.2">
      <c r="A58" s="21"/>
      <c r="B58" s="21"/>
      <c r="C58" s="21" t="s">
        <v>627</v>
      </c>
      <c r="D58" s="23"/>
      <c r="E58" s="13"/>
      <c r="F58" s="14">
        <f>Source!AO32</f>
        <v>227.39</v>
      </c>
      <c r="G58" s="24" t="str">
        <f>Source!DG32</f>
        <v/>
      </c>
      <c r="H58" s="14">
        <f>ROUND(Source!AF32*Source!I32, 2)</f>
        <v>4.55</v>
      </c>
      <c r="I58" s="24"/>
      <c r="J58" s="24">
        <f>IF(Source!BA32&lt;&gt; 0, Source!BA32, 1)</f>
        <v>27.94</v>
      </c>
      <c r="K58" s="14">
        <f>Source!S32</f>
        <v>127.07</v>
      </c>
      <c r="L58" s="51"/>
      <c r="R58">
        <f>H58</f>
        <v>4.55</v>
      </c>
    </row>
    <row r="59" spans="1:26" ht="14.25" x14ac:dyDescent="0.2">
      <c r="A59" s="21"/>
      <c r="B59" s="21"/>
      <c r="C59" s="21" t="s">
        <v>92</v>
      </c>
      <c r="D59" s="23"/>
      <c r="E59" s="13"/>
      <c r="F59" s="14">
        <f>Source!AM32</f>
        <v>379.17</v>
      </c>
      <c r="G59" s="24" t="str">
        <f>Source!DE32</f>
        <v/>
      </c>
      <c r="H59" s="14">
        <f>ROUND((((Source!ET32)-(Source!EU32))+Source!AE32)*Source!I32, 2)</f>
        <v>7.58</v>
      </c>
      <c r="I59" s="24"/>
      <c r="J59" s="24">
        <f>IF(Source!BB32&lt;&gt; 0, Source!BB32, 1)</f>
        <v>11.05</v>
      </c>
      <c r="K59" s="14">
        <f>Source!Q32</f>
        <v>83.8</v>
      </c>
      <c r="L59" s="51"/>
    </row>
    <row r="60" spans="1:26" ht="14.25" x14ac:dyDescent="0.2">
      <c r="A60" s="21"/>
      <c r="B60" s="21"/>
      <c r="C60" s="21" t="s">
        <v>586</v>
      </c>
      <c r="D60" s="23" t="s">
        <v>587</v>
      </c>
      <c r="E60" s="13">
        <f>Source!BZ32</f>
        <v>103</v>
      </c>
      <c r="F60" s="58"/>
      <c r="G60" s="24"/>
      <c r="H60" s="14">
        <f>SUM(S56:S62)</f>
        <v>4.6900000000000004</v>
      </c>
      <c r="I60" s="52"/>
      <c r="J60" s="22">
        <f>Source!AT32</f>
        <v>103</v>
      </c>
      <c r="K60" s="14">
        <f>SUM(T56:T62)</f>
        <v>130.88</v>
      </c>
      <c r="L60" s="51"/>
    </row>
    <row r="61" spans="1:26" ht="14.25" x14ac:dyDescent="0.2">
      <c r="A61" s="21"/>
      <c r="B61" s="21"/>
      <c r="C61" s="21" t="s">
        <v>588</v>
      </c>
      <c r="D61" s="23" t="s">
        <v>587</v>
      </c>
      <c r="E61" s="13">
        <f>Source!CA32</f>
        <v>59</v>
      </c>
      <c r="F61" s="58"/>
      <c r="G61" s="24"/>
      <c r="H61" s="14">
        <f>SUM(U56:U62)</f>
        <v>2.68</v>
      </c>
      <c r="I61" s="52"/>
      <c r="J61" s="22">
        <f>Source!AU32</f>
        <v>59</v>
      </c>
      <c r="K61" s="14">
        <f>SUM(V56:V62)</f>
        <v>74.97</v>
      </c>
      <c r="L61" s="51"/>
    </row>
    <row r="62" spans="1:26" ht="14.25" x14ac:dyDescent="0.2">
      <c r="A62" s="29"/>
      <c r="B62" s="29"/>
      <c r="C62" s="29" t="s">
        <v>629</v>
      </c>
      <c r="D62" s="30" t="s">
        <v>590</v>
      </c>
      <c r="E62" s="31">
        <f>Source!AQ32</f>
        <v>24.19</v>
      </c>
      <c r="F62" s="32"/>
      <c r="G62" s="33" t="str">
        <f>Source!DI32</f>
        <v/>
      </c>
      <c r="H62" s="32"/>
      <c r="I62" s="33"/>
      <c r="J62" s="33"/>
      <c r="K62" s="32"/>
      <c r="L62" s="53">
        <f>Source!U32</f>
        <v>0.48380000000000006</v>
      </c>
    </row>
    <row r="63" spans="1:26" ht="15" x14ac:dyDescent="0.25">
      <c r="G63" s="81">
        <f>H58+H59+H60+H61</f>
        <v>19.5</v>
      </c>
      <c r="H63" s="81"/>
      <c r="J63" s="81">
        <f>K58+K59+K60+K61</f>
        <v>416.72</v>
      </c>
      <c r="K63" s="81"/>
      <c r="L63" s="54">
        <f>Source!U32</f>
        <v>0.48380000000000006</v>
      </c>
      <c r="O63" s="28">
        <f>G63</f>
        <v>19.5</v>
      </c>
      <c r="P63" s="28">
        <f>J63</f>
        <v>416.72</v>
      </c>
      <c r="Q63" s="28">
        <f>L63</f>
        <v>0.48380000000000006</v>
      </c>
      <c r="W63">
        <f>IF(Source!BI32&lt;=1,H58+H59+H60+H61, 0)</f>
        <v>19.5</v>
      </c>
      <c r="X63">
        <f>IF(Source!BI32=2,H58+H59+H60+H61, 0)</f>
        <v>0</v>
      </c>
      <c r="Y63">
        <f>IF(Source!BI32=3,H58+H59+H60+H61, 0)</f>
        <v>0</v>
      </c>
      <c r="Z63">
        <f>IF(Source!BI32=4,H58+H59+H60+H61, 0)</f>
        <v>0</v>
      </c>
    </row>
    <row r="65" spans="1:26" ht="15" x14ac:dyDescent="0.25">
      <c r="A65" s="70" t="str">
        <f>CONCATENATE("Итого по разделу: ",IF(Source!G34&lt;&gt;"Новый раздел", Source!G34, ""))</f>
        <v>Итого по разделу: Демонтажные работы</v>
      </c>
      <c r="B65" s="70"/>
      <c r="C65" s="70"/>
      <c r="D65" s="70"/>
      <c r="E65" s="70"/>
      <c r="F65" s="70"/>
      <c r="G65" s="71">
        <f>SUM(O26:O64)</f>
        <v>6026.7900000000009</v>
      </c>
      <c r="H65" s="71"/>
      <c r="I65" s="35"/>
      <c r="J65" s="71">
        <f>SUM(P26:P64)</f>
        <v>150676.1</v>
      </c>
      <c r="K65" s="71"/>
      <c r="L65" s="54">
        <f>SUM(Q26:Q64)</f>
        <v>210.0127856</v>
      </c>
    </row>
    <row r="69" spans="1:26" ht="16.5" x14ac:dyDescent="0.25">
      <c r="A69" s="72" t="str">
        <f>CONCATENATE("Раздел: ",IF(Source!G64&lt;&gt;"Новый раздел", Source!G64, ""))</f>
        <v>Раздел: Строительные работы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</row>
    <row r="70" spans="1:26" ht="42.75" x14ac:dyDescent="0.2">
      <c r="A70" s="21">
        <v>6</v>
      </c>
      <c r="B70" s="21" t="str">
        <f>Source!F68</f>
        <v>16-04-001-03</v>
      </c>
      <c r="C70" s="21" t="str">
        <f>Source!G68</f>
        <v>Прокладка трубопроводов канализации из полиэтиленовых труб высокой плотности диаметром: 160 мм</v>
      </c>
      <c r="D70" s="23" t="str">
        <f>Source!H68</f>
        <v>100 м</v>
      </c>
      <c r="E70" s="13">
        <f>Source!I68</f>
        <v>3.2000000000000001E-2</v>
      </c>
      <c r="F70" s="14">
        <f>Source!AL68+Source!AM68+Source!AO68</f>
        <v>740.98</v>
      </c>
      <c r="G70" s="24"/>
      <c r="H70" s="14"/>
      <c r="I70" s="24" t="str">
        <f>Source!BO68</f>
        <v/>
      </c>
      <c r="J70" s="24"/>
      <c r="K70" s="14"/>
      <c r="L70" s="51"/>
      <c r="S70">
        <f>ROUND((Source!FX68/100)*((ROUND(Source!AF68*Source!I68, 2)+ROUND(Source!AE68*Source!I68, 2))), 2)</f>
        <v>26.92</v>
      </c>
      <c r="T70">
        <f>Source!X68</f>
        <v>752.44</v>
      </c>
      <c r="U70">
        <f>ROUND((Source!FY68/100)*((ROUND(Source!AF68*Source!I68, 2)+ROUND(Source!AE68*Source!I68, 2))), 2)</f>
        <v>13.62</v>
      </c>
      <c r="V70">
        <f>Source!Y68</f>
        <v>380.57</v>
      </c>
    </row>
    <row r="71" spans="1:26" ht="14.25" x14ac:dyDescent="0.2">
      <c r="A71" s="21"/>
      <c r="B71" s="21"/>
      <c r="C71" s="21" t="s">
        <v>627</v>
      </c>
      <c r="D71" s="23"/>
      <c r="E71" s="13"/>
      <c r="F71" s="14">
        <f>Source!AO68</f>
        <v>502.59</v>
      </c>
      <c r="G71" s="24" t="str">
        <f>Source!DG68</f>
        <v>)*1,15)*1,2</v>
      </c>
      <c r="H71" s="14">
        <f>ROUND(Source!AF68*Source!I68, 2)</f>
        <v>22.19</v>
      </c>
      <c r="I71" s="24"/>
      <c r="J71" s="24">
        <f>IF(Source!BA68&lt;&gt; 0, Source!BA68, 1)</f>
        <v>27.94</v>
      </c>
      <c r="K71" s="14">
        <f>Source!S68</f>
        <v>620.11</v>
      </c>
      <c r="L71" s="51"/>
      <c r="R71">
        <f>H71</f>
        <v>22.19</v>
      </c>
    </row>
    <row r="72" spans="1:26" ht="14.25" x14ac:dyDescent="0.2">
      <c r="A72" s="21"/>
      <c r="B72" s="21"/>
      <c r="C72" s="21" t="s">
        <v>92</v>
      </c>
      <c r="D72" s="23"/>
      <c r="E72" s="13"/>
      <c r="F72" s="14">
        <f>Source!AM68</f>
        <v>8.89</v>
      </c>
      <c r="G72" s="24" t="str">
        <f>Source!DE68</f>
        <v>)*1,25)*1,2</v>
      </c>
      <c r="H72" s="14">
        <f>ROUND((((((Source!ET68*1.25)*1.2))-(((Source!EU68*1.25)*1.2)))+Source!AE68)*Source!I68, 2)</f>
        <v>0.43</v>
      </c>
      <c r="I72" s="24"/>
      <c r="J72" s="24">
        <f>IF(Source!BB68&lt;&gt; 0, Source!BB68, 1)</f>
        <v>11.05</v>
      </c>
      <c r="K72" s="14">
        <f>Source!Q68</f>
        <v>4.72</v>
      </c>
      <c r="L72" s="51"/>
    </row>
    <row r="73" spans="1:26" ht="14.25" x14ac:dyDescent="0.2">
      <c r="A73" s="21"/>
      <c r="B73" s="21"/>
      <c r="C73" s="21" t="s">
        <v>628</v>
      </c>
      <c r="D73" s="23"/>
      <c r="E73" s="13"/>
      <c r="F73" s="14">
        <f>Source!AN68</f>
        <v>1.3</v>
      </c>
      <c r="G73" s="24" t="str">
        <f>Source!DF68</f>
        <v>)*1,25)*1,2</v>
      </c>
      <c r="H73" s="25">
        <f>ROUND(Source!AE68*Source!I68, 2)</f>
        <v>0.06</v>
      </c>
      <c r="I73" s="24"/>
      <c r="J73" s="24">
        <f>IF(Source!BS68&lt;&gt; 0, Source!BS68, 1)</f>
        <v>27.94</v>
      </c>
      <c r="K73" s="25">
        <f>Source!R68</f>
        <v>1.74</v>
      </c>
      <c r="L73" s="51"/>
      <c r="R73">
        <f>H73</f>
        <v>0.06</v>
      </c>
    </row>
    <row r="74" spans="1:26" ht="14.25" x14ac:dyDescent="0.2">
      <c r="A74" s="21"/>
      <c r="B74" s="21"/>
      <c r="C74" s="21" t="s">
        <v>630</v>
      </c>
      <c r="D74" s="23"/>
      <c r="E74" s="13"/>
      <c r="F74" s="14">
        <f>Source!AL68</f>
        <v>229.5</v>
      </c>
      <c r="G74" s="24" t="str">
        <f>Source!DD68</f>
        <v/>
      </c>
      <c r="H74" s="14">
        <f>ROUND(Source!AC68*Source!I68, 2)</f>
        <v>7.34</v>
      </c>
      <c r="I74" s="24"/>
      <c r="J74" s="24">
        <f>IF(Source!BC68&lt;&gt; 0, Source!BC68, 1)</f>
        <v>7.99</v>
      </c>
      <c r="K74" s="14">
        <f>Source!P68</f>
        <v>58.68</v>
      </c>
      <c r="L74" s="51"/>
    </row>
    <row r="75" spans="1:26" ht="14.25" x14ac:dyDescent="0.2">
      <c r="A75" s="21"/>
      <c r="B75" s="21"/>
      <c r="C75" s="21" t="s">
        <v>586</v>
      </c>
      <c r="D75" s="23" t="s">
        <v>587</v>
      </c>
      <c r="E75" s="13">
        <f>Source!BZ68</f>
        <v>121</v>
      </c>
      <c r="F75" s="58"/>
      <c r="G75" s="24"/>
      <c r="H75" s="14">
        <f>SUM(S70:S77)</f>
        <v>26.92</v>
      </c>
      <c r="I75" s="52"/>
      <c r="J75" s="22">
        <f>Source!AT68</f>
        <v>121</v>
      </c>
      <c r="K75" s="14">
        <f>SUM(T70:T77)</f>
        <v>752.44</v>
      </c>
      <c r="L75" s="51"/>
    </row>
    <row r="76" spans="1:26" ht="14.25" x14ac:dyDescent="0.2">
      <c r="A76" s="21"/>
      <c r="B76" s="21"/>
      <c r="C76" s="21" t="s">
        <v>588</v>
      </c>
      <c r="D76" s="23" t="s">
        <v>587</v>
      </c>
      <c r="E76" s="13">
        <f>Source!CA68</f>
        <v>72</v>
      </c>
      <c r="F76" s="76" t="str">
        <f>CONCATENATE(" )", Source!DM68, Source!FU68, "=", Source!FY68)</f>
        <v xml:space="preserve"> )*0.85=61,2</v>
      </c>
      <c r="G76" s="73"/>
      <c r="H76" s="14">
        <f>SUM(U70:U77)</f>
        <v>13.62</v>
      </c>
      <c r="I76" s="52"/>
      <c r="J76" s="22">
        <f>Source!AU68</f>
        <v>61.2</v>
      </c>
      <c r="K76" s="14">
        <f>SUM(V70:V77)</f>
        <v>380.57</v>
      </c>
      <c r="L76" s="51"/>
    </row>
    <row r="77" spans="1:26" ht="14.25" x14ac:dyDescent="0.2">
      <c r="A77" s="29"/>
      <c r="B77" s="29"/>
      <c r="C77" s="29" t="s">
        <v>629</v>
      </c>
      <c r="D77" s="30" t="s">
        <v>590</v>
      </c>
      <c r="E77" s="31">
        <f>Source!AQ68</f>
        <v>54.1</v>
      </c>
      <c r="F77" s="32"/>
      <c r="G77" s="33" t="str">
        <f>Source!DI68</f>
        <v>)*1,15)*1,2</v>
      </c>
      <c r="H77" s="32"/>
      <c r="I77" s="33"/>
      <c r="J77" s="33"/>
      <c r="K77" s="32"/>
      <c r="L77" s="53">
        <f>Source!U68</f>
        <v>2.3890559999999996</v>
      </c>
    </row>
    <row r="78" spans="1:26" ht="15" x14ac:dyDescent="0.25">
      <c r="G78" s="81">
        <f>H71+H72+H74+H75+H76</f>
        <v>70.5</v>
      </c>
      <c r="H78" s="81"/>
      <c r="J78" s="81">
        <f>K71+K72+K74+K75+K76</f>
        <v>1816.52</v>
      </c>
      <c r="K78" s="81"/>
      <c r="L78" s="54">
        <f>Source!U68</f>
        <v>2.3890559999999996</v>
      </c>
      <c r="O78" s="28">
        <f>G78</f>
        <v>70.5</v>
      </c>
      <c r="P78" s="28">
        <f>J78</f>
        <v>1816.52</v>
      </c>
      <c r="Q78" s="28">
        <f>L78</f>
        <v>2.3890559999999996</v>
      </c>
      <c r="W78">
        <f>IF(Source!BI68&lt;=1,H71+H72+H74+H75+H76, 0)</f>
        <v>70.5</v>
      </c>
      <c r="X78">
        <f>IF(Source!BI68=2,H71+H72+H74+H75+H76, 0)</f>
        <v>0</v>
      </c>
      <c r="Y78">
        <f>IF(Source!BI68=3,H71+H72+H74+H75+H76, 0)</f>
        <v>0</v>
      </c>
      <c r="Z78">
        <f>IF(Source!BI68=4,H71+H72+H74+H75+H76, 0)</f>
        <v>0</v>
      </c>
    </row>
    <row r="79" spans="1:26" ht="54" x14ac:dyDescent="0.2">
      <c r="A79" s="29">
        <v>7</v>
      </c>
      <c r="B79" s="29" t="str">
        <f>Source!F69</f>
        <v>Цена поставщика</v>
      </c>
      <c r="C79" s="29" t="s">
        <v>593</v>
      </c>
      <c r="D79" s="30" t="str">
        <f>Source!H69</f>
        <v>м</v>
      </c>
      <c r="E79" s="31">
        <f>Source!I69</f>
        <v>2</v>
      </c>
      <c r="F79" s="32">
        <f>Source!AL69</f>
        <v>52.17</v>
      </c>
      <c r="G79" s="33" t="str">
        <f>Source!DD69</f>
        <v/>
      </c>
      <c r="H79" s="32">
        <f>ROUND(Source!AC69*Source!I69, 2)</f>
        <v>104.34</v>
      </c>
      <c r="I79" s="33" t="str">
        <f>Source!BO69</f>
        <v/>
      </c>
      <c r="J79" s="33">
        <f>IF(Source!BC69&lt;&gt; 0, Source!BC69, 1)</f>
        <v>7.99</v>
      </c>
      <c r="K79" s="32">
        <f>Source!P69</f>
        <v>833.68</v>
      </c>
      <c r="L79" s="55"/>
      <c r="S79">
        <f>ROUND((Source!FX69/100)*((ROUND(Source!AF69*Source!I69, 2)+ROUND(Source!AE69*Source!I69, 2))), 2)</f>
        <v>0</v>
      </c>
      <c r="T79">
        <f>Source!X69</f>
        <v>0</v>
      </c>
      <c r="U79">
        <f>ROUND((Source!FY69/100)*((ROUND(Source!AF69*Source!I69, 2)+ROUND(Source!AE69*Source!I69, 2))), 2)</f>
        <v>0</v>
      </c>
      <c r="V79">
        <f>Source!Y69</f>
        <v>0</v>
      </c>
    </row>
    <row r="80" spans="1:26" ht="15" x14ac:dyDescent="0.25">
      <c r="G80" s="81">
        <f>H79</f>
        <v>104.34</v>
      </c>
      <c r="H80" s="81"/>
      <c r="J80" s="81">
        <f>K79</f>
        <v>833.68</v>
      </c>
      <c r="K80" s="81"/>
      <c r="L80" s="54">
        <f>Source!U69</f>
        <v>0</v>
      </c>
      <c r="O80" s="28">
        <f>G80</f>
        <v>104.34</v>
      </c>
      <c r="P80" s="28">
        <f>J80</f>
        <v>833.68</v>
      </c>
      <c r="Q80" s="28">
        <f>L80</f>
        <v>0</v>
      </c>
      <c r="W80">
        <f>IF(Source!BI69&lt;=1,H79, 0)</f>
        <v>104.34</v>
      </c>
      <c r="X80">
        <f>IF(Source!BI69=2,H79, 0)</f>
        <v>0</v>
      </c>
      <c r="Y80">
        <f>IF(Source!BI69=3,H79, 0)</f>
        <v>0</v>
      </c>
      <c r="Z80">
        <f>IF(Source!BI69=4,H79, 0)</f>
        <v>0</v>
      </c>
    </row>
    <row r="81" spans="1:26" ht="42.75" x14ac:dyDescent="0.2">
      <c r="A81" s="29">
        <v>8</v>
      </c>
      <c r="B81" s="29" t="str">
        <f>Source!F70</f>
        <v>Цена поставщика</v>
      </c>
      <c r="C81" s="29" t="s">
        <v>594</v>
      </c>
      <c r="D81" s="30" t="str">
        <f>Source!H70</f>
        <v>ШТ</v>
      </c>
      <c r="E81" s="31">
        <f>Source!I70</f>
        <v>6</v>
      </c>
      <c r="F81" s="32">
        <f>Source!AL70</f>
        <v>43.12</v>
      </c>
      <c r="G81" s="33" t="str">
        <f>Source!DD70</f>
        <v/>
      </c>
      <c r="H81" s="32">
        <f>ROUND(Source!AC70*Source!I70, 2)</f>
        <v>258.72000000000003</v>
      </c>
      <c r="I81" s="33" t="str">
        <f>Source!BO70</f>
        <v/>
      </c>
      <c r="J81" s="33">
        <f>IF(Source!BC70&lt;&gt; 0, Source!BC70, 1)</f>
        <v>7.99</v>
      </c>
      <c r="K81" s="32">
        <f>Source!P70</f>
        <v>2067.17</v>
      </c>
      <c r="L81" s="55"/>
      <c r="S81">
        <f>ROUND((Source!FX70/100)*((ROUND(Source!AF70*Source!I70, 2)+ROUND(Source!AE70*Source!I70, 2))), 2)</f>
        <v>0</v>
      </c>
      <c r="T81">
        <f>Source!X70</f>
        <v>0</v>
      </c>
      <c r="U81">
        <f>ROUND((Source!FY70/100)*((ROUND(Source!AF70*Source!I70, 2)+ROUND(Source!AE70*Source!I70, 2))), 2)</f>
        <v>0</v>
      </c>
      <c r="V81">
        <f>Source!Y70</f>
        <v>0</v>
      </c>
    </row>
    <row r="82" spans="1:26" ht="15" x14ac:dyDescent="0.25">
      <c r="G82" s="81">
        <f>H81</f>
        <v>258.72000000000003</v>
      </c>
      <c r="H82" s="81"/>
      <c r="J82" s="81">
        <f>K81</f>
        <v>2067.17</v>
      </c>
      <c r="K82" s="81"/>
      <c r="L82" s="54">
        <f>Source!U70</f>
        <v>0</v>
      </c>
      <c r="O82" s="28">
        <f>G82</f>
        <v>258.72000000000003</v>
      </c>
      <c r="P82" s="28">
        <f>J82</f>
        <v>2067.17</v>
      </c>
      <c r="Q82" s="28">
        <f>L82</f>
        <v>0</v>
      </c>
      <c r="W82">
        <f>IF(Source!BI70&lt;=1,H81, 0)</f>
        <v>258.72000000000003</v>
      </c>
      <c r="X82">
        <f>IF(Source!BI70=2,H81, 0)</f>
        <v>0</v>
      </c>
      <c r="Y82">
        <f>IF(Source!BI70=3,H81, 0)</f>
        <v>0</v>
      </c>
      <c r="Z82">
        <f>IF(Source!BI70=4,H81, 0)</f>
        <v>0</v>
      </c>
    </row>
    <row r="83" spans="1:26" ht="42.75" x14ac:dyDescent="0.2">
      <c r="A83" s="21">
        <v>9</v>
      </c>
      <c r="B83" s="21" t="str">
        <f>Source!F71</f>
        <v>46-03-017-02</v>
      </c>
      <c r="C83" s="21" t="str">
        <f>Source!G71</f>
        <v>Заделка отверстий, гнезд и борозд: в перекрытиях железобетонных площадью до 0,2 м2</v>
      </c>
      <c r="D83" s="23" t="str">
        <f>Source!H71</f>
        <v>м3</v>
      </c>
      <c r="E83" s="13">
        <f>Source!I71</f>
        <v>0.04</v>
      </c>
      <c r="F83" s="14">
        <f>Source!AL71+Source!AM71+Source!AO71</f>
        <v>812.59</v>
      </c>
      <c r="G83" s="24"/>
      <c r="H83" s="14"/>
      <c r="I83" s="24" t="str">
        <f>Source!BO71</f>
        <v/>
      </c>
      <c r="J83" s="24"/>
      <c r="K83" s="14"/>
      <c r="L83" s="51"/>
      <c r="S83">
        <f>ROUND((Source!FX71/100)*((ROUND(Source!AF71*Source!I71, 2)+ROUND(Source!AE71*Source!I71, 2))), 2)</f>
        <v>15</v>
      </c>
      <c r="T83">
        <f>Source!X71</f>
        <v>419.11</v>
      </c>
      <c r="U83">
        <f>ROUND((Source!FY71/100)*((ROUND(Source!AF71*Source!I71, 2)+ROUND(Source!AE71*Source!I71, 2))), 2)</f>
        <v>8.59</v>
      </c>
      <c r="V83">
        <f>Source!Y71</f>
        <v>240.07</v>
      </c>
    </row>
    <row r="84" spans="1:26" ht="14.25" x14ac:dyDescent="0.2">
      <c r="A84" s="21"/>
      <c r="B84" s="21"/>
      <c r="C84" s="21" t="s">
        <v>627</v>
      </c>
      <c r="D84" s="23"/>
      <c r="E84" s="13"/>
      <c r="F84" s="14">
        <f>Source!AO71</f>
        <v>361.3</v>
      </c>
      <c r="G84" s="24" t="str">
        <f>Source!DG71</f>
        <v/>
      </c>
      <c r="H84" s="14">
        <f>ROUND(Source!AF71*Source!I71, 2)</f>
        <v>14.45</v>
      </c>
      <c r="I84" s="24"/>
      <c r="J84" s="24">
        <f>IF(Source!BA71&lt;&gt; 0, Source!BA71, 1)</f>
        <v>27.94</v>
      </c>
      <c r="K84" s="14">
        <f>Source!S71</f>
        <v>403.79</v>
      </c>
      <c r="L84" s="51"/>
      <c r="R84">
        <f>H84</f>
        <v>14.45</v>
      </c>
    </row>
    <row r="85" spans="1:26" ht="14.25" x14ac:dyDescent="0.2">
      <c r="A85" s="21"/>
      <c r="B85" s="21"/>
      <c r="C85" s="21" t="s">
        <v>92</v>
      </c>
      <c r="D85" s="23"/>
      <c r="E85" s="13"/>
      <c r="F85" s="14">
        <f>Source!AM71</f>
        <v>16.600000000000001</v>
      </c>
      <c r="G85" s="24" t="str">
        <f>Source!DE71</f>
        <v/>
      </c>
      <c r="H85" s="14">
        <f>ROUND((((Source!ET71)-(Source!EU71))+Source!AE71)*Source!I71, 2)</f>
        <v>0.66</v>
      </c>
      <c r="I85" s="24"/>
      <c r="J85" s="24">
        <f>IF(Source!BB71&lt;&gt; 0, Source!BB71, 1)</f>
        <v>11.05</v>
      </c>
      <c r="K85" s="14">
        <f>Source!Q71</f>
        <v>7.34</v>
      </c>
      <c r="L85" s="51"/>
    </row>
    <row r="86" spans="1:26" ht="14.25" x14ac:dyDescent="0.2">
      <c r="A86" s="21"/>
      <c r="B86" s="21"/>
      <c r="C86" s="21" t="s">
        <v>628</v>
      </c>
      <c r="D86" s="23"/>
      <c r="E86" s="13"/>
      <c r="F86" s="14">
        <f>Source!AN71</f>
        <v>2.78</v>
      </c>
      <c r="G86" s="24" t="str">
        <f>Source!DF71</f>
        <v/>
      </c>
      <c r="H86" s="25">
        <f>ROUND(Source!AE71*Source!I71, 2)</f>
        <v>0.11</v>
      </c>
      <c r="I86" s="24"/>
      <c r="J86" s="24">
        <f>IF(Source!BS71&lt;&gt; 0, Source!BS71, 1)</f>
        <v>27.94</v>
      </c>
      <c r="K86" s="25">
        <f>Source!R71</f>
        <v>3.11</v>
      </c>
      <c r="L86" s="51"/>
      <c r="R86">
        <f>H86</f>
        <v>0.11</v>
      </c>
    </row>
    <row r="87" spans="1:26" ht="14.25" x14ac:dyDescent="0.2">
      <c r="A87" s="21"/>
      <c r="B87" s="21"/>
      <c r="C87" s="21" t="s">
        <v>630</v>
      </c>
      <c r="D87" s="23"/>
      <c r="E87" s="13"/>
      <c r="F87" s="14">
        <f>Source!AL71</f>
        <v>434.69</v>
      </c>
      <c r="G87" s="24" t="str">
        <f>Source!DD71</f>
        <v/>
      </c>
      <c r="H87" s="14">
        <f>ROUND(Source!AC71*Source!I71, 2)</f>
        <v>17.39</v>
      </c>
      <c r="I87" s="24"/>
      <c r="J87" s="24">
        <f>IF(Source!BC71&lt;&gt; 0, Source!BC71, 1)</f>
        <v>7.99</v>
      </c>
      <c r="K87" s="14">
        <f>Source!P71</f>
        <v>138.93</v>
      </c>
      <c r="L87" s="51"/>
    </row>
    <row r="88" spans="1:26" ht="14.25" x14ac:dyDescent="0.2">
      <c r="A88" s="21"/>
      <c r="B88" s="21"/>
      <c r="C88" s="21" t="s">
        <v>586</v>
      </c>
      <c r="D88" s="23" t="s">
        <v>587</v>
      </c>
      <c r="E88" s="13">
        <f>Source!BZ71</f>
        <v>103</v>
      </c>
      <c r="F88" s="58"/>
      <c r="G88" s="24"/>
      <c r="H88" s="14">
        <f>SUM(S83:S90)</f>
        <v>15</v>
      </c>
      <c r="I88" s="52"/>
      <c r="J88" s="22">
        <f>Source!AT71</f>
        <v>103</v>
      </c>
      <c r="K88" s="14">
        <f>SUM(T83:T90)</f>
        <v>419.11</v>
      </c>
      <c r="L88" s="51"/>
    </row>
    <row r="89" spans="1:26" ht="14.25" x14ac:dyDescent="0.2">
      <c r="A89" s="21"/>
      <c r="B89" s="21"/>
      <c r="C89" s="21" t="s">
        <v>588</v>
      </c>
      <c r="D89" s="23" t="s">
        <v>587</v>
      </c>
      <c r="E89" s="13">
        <f>Source!CA71</f>
        <v>59</v>
      </c>
      <c r="F89" s="58"/>
      <c r="G89" s="24"/>
      <c r="H89" s="14">
        <f>SUM(U83:U90)</f>
        <v>8.59</v>
      </c>
      <c r="I89" s="52"/>
      <c r="J89" s="22">
        <f>Source!AU71</f>
        <v>59</v>
      </c>
      <c r="K89" s="14">
        <f>SUM(V83:V90)</f>
        <v>240.07</v>
      </c>
      <c r="L89" s="51"/>
    </row>
    <row r="90" spans="1:26" ht="14.25" x14ac:dyDescent="0.2">
      <c r="A90" s="29"/>
      <c r="B90" s="29"/>
      <c r="C90" s="29" t="s">
        <v>629</v>
      </c>
      <c r="D90" s="30" t="s">
        <v>590</v>
      </c>
      <c r="E90" s="31">
        <f>Source!AQ71</f>
        <v>44.66</v>
      </c>
      <c r="F90" s="32"/>
      <c r="G90" s="33" t="str">
        <f>Source!DI71</f>
        <v/>
      </c>
      <c r="H90" s="32"/>
      <c r="I90" s="33"/>
      <c r="J90" s="33"/>
      <c r="K90" s="32"/>
      <c r="L90" s="53">
        <f>Source!U71</f>
        <v>1.7864</v>
      </c>
    </row>
    <row r="91" spans="1:26" ht="15" x14ac:dyDescent="0.25">
      <c r="G91" s="81">
        <f>H84+H85+H87+H88+H89</f>
        <v>56.09</v>
      </c>
      <c r="H91" s="81"/>
      <c r="J91" s="81">
        <f>K84+K85+K87+K88+K89</f>
        <v>1209.24</v>
      </c>
      <c r="K91" s="81"/>
      <c r="L91" s="54">
        <f>Source!U71</f>
        <v>1.7864</v>
      </c>
      <c r="O91" s="28">
        <f>G91</f>
        <v>56.09</v>
      </c>
      <c r="P91" s="28">
        <f>J91</f>
        <v>1209.24</v>
      </c>
      <c r="Q91" s="28">
        <f>L91</f>
        <v>1.7864</v>
      </c>
      <c r="W91">
        <f>IF(Source!BI71&lt;=1,H84+H85+H87+H88+H89, 0)</f>
        <v>56.09</v>
      </c>
      <c r="X91">
        <f>IF(Source!BI71=2,H84+H85+H87+H88+H89, 0)</f>
        <v>0</v>
      </c>
      <c r="Y91">
        <f>IF(Source!BI71=3,H84+H85+H87+H88+H89, 0)</f>
        <v>0</v>
      </c>
      <c r="Z91">
        <f>IF(Source!BI71=4,H84+H85+H87+H88+H89, 0)</f>
        <v>0</v>
      </c>
    </row>
    <row r="92" spans="1:26" ht="42.75" x14ac:dyDescent="0.2">
      <c r="A92" s="29">
        <v>10</v>
      </c>
      <c r="B92" s="29" t="str">
        <f>Source!F72</f>
        <v>Цена поставщика</v>
      </c>
      <c r="C92" s="29" t="s">
        <v>595</v>
      </c>
      <c r="D92" s="30" t="str">
        <f>Source!H72</f>
        <v>м3</v>
      </c>
      <c r="E92" s="31">
        <f>Source!I72</f>
        <v>4.1599999999999998E-2</v>
      </c>
      <c r="F92" s="32">
        <f>Source!AL72</f>
        <v>453.25</v>
      </c>
      <c r="G92" s="33" t="str">
        <f>Source!DD72</f>
        <v/>
      </c>
      <c r="H92" s="32">
        <f>ROUND(Source!AC72*Source!I72, 2)</f>
        <v>18.86</v>
      </c>
      <c r="I92" s="33" t="str">
        <f>Source!BO72</f>
        <v/>
      </c>
      <c r="J92" s="33">
        <f>IF(Source!BC72&lt;&gt; 0, Source!BC72, 1)</f>
        <v>7.99</v>
      </c>
      <c r="K92" s="32">
        <f>Source!P72</f>
        <v>150.65</v>
      </c>
      <c r="L92" s="55"/>
      <c r="S92">
        <f>ROUND((Source!FX72/100)*((ROUND(Source!AF72*Source!I72, 2)+ROUND(Source!AE72*Source!I72, 2))), 2)</f>
        <v>0</v>
      </c>
      <c r="T92">
        <f>Source!X72</f>
        <v>0</v>
      </c>
      <c r="U92">
        <f>ROUND((Source!FY72/100)*((ROUND(Source!AF72*Source!I72, 2)+ROUND(Source!AE72*Source!I72, 2))), 2)</f>
        <v>0</v>
      </c>
      <c r="V92">
        <f>Source!Y72</f>
        <v>0</v>
      </c>
    </row>
    <row r="93" spans="1:26" ht="15" x14ac:dyDescent="0.25">
      <c r="G93" s="81">
        <f>H92</f>
        <v>18.86</v>
      </c>
      <c r="H93" s="81"/>
      <c r="J93" s="81">
        <f>K92</f>
        <v>150.65</v>
      </c>
      <c r="K93" s="81"/>
      <c r="L93" s="54">
        <f>Source!U72</f>
        <v>0</v>
      </c>
      <c r="O93" s="28">
        <f>G93</f>
        <v>18.86</v>
      </c>
      <c r="P93" s="28">
        <f>J93</f>
        <v>150.65</v>
      </c>
      <c r="Q93" s="28">
        <f>L93</f>
        <v>0</v>
      </c>
      <c r="W93">
        <f>IF(Source!BI72&lt;=1,H92, 0)</f>
        <v>18.86</v>
      </c>
      <c r="X93">
        <f>IF(Source!BI72=2,H92, 0)</f>
        <v>0</v>
      </c>
      <c r="Y93">
        <f>IF(Source!BI72=3,H92, 0)</f>
        <v>0</v>
      </c>
      <c r="Z93">
        <f>IF(Source!BI72=4,H92, 0)</f>
        <v>0</v>
      </c>
    </row>
    <row r="94" spans="1:26" ht="42.75" x14ac:dyDescent="0.2">
      <c r="A94" s="21">
        <v>11</v>
      </c>
      <c r="B94" s="21" t="str">
        <f>Source!F73</f>
        <v>22-03-002-01</v>
      </c>
      <c r="C94" s="21" t="str">
        <f>Source!G73</f>
        <v>Установка полиэтиленовых фасонных частей: отводов, колен, патрубков, переходов // Прим. к дождеприемнику</v>
      </c>
      <c r="D94" s="23" t="str">
        <f>Source!H73</f>
        <v>10 ШТ</v>
      </c>
      <c r="E94" s="13">
        <f>Source!I73</f>
        <v>1.2</v>
      </c>
      <c r="F94" s="14">
        <f>Source!AL73+Source!AM73+Source!AO73</f>
        <v>263.58</v>
      </c>
      <c r="G94" s="24"/>
      <c r="H94" s="14"/>
      <c r="I94" s="24" t="str">
        <f>Source!BO73</f>
        <v/>
      </c>
      <c r="J94" s="24"/>
      <c r="K94" s="14"/>
      <c r="L94" s="51"/>
      <c r="S94">
        <f>ROUND((Source!FX73/100)*((ROUND(Source!AF73*Source!I73, 2)+ROUND(Source!AE73*Source!I73, 2))), 2)</f>
        <v>136.97999999999999</v>
      </c>
      <c r="T94">
        <f>Source!X73</f>
        <v>3827.46</v>
      </c>
      <c r="U94">
        <f>ROUND((Source!FY73/100)*((ROUND(Source!AF73*Source!I73, 2)+ROUND(Source!AE73*Source!I73, 2))), 2)</f>
        <v>73.64</v>
      </c>
      <c r="V94">
        <f>Source!Y73</f>
        <v>2057.67</v>
      </c>
    </row>
    <row r="95" spans="1:26" x14ac:dyDescent="0.2">
      <c r="C95" s="34" t="str">
        <f>"Объем: "&amp;Source!I73&amp;"=12/"&amp;"10"</f>
        <v>Объем: 1,2=12/10</v>
      </c>
    </row>
    <row r="96" spans="1:26" ht="14.25" x14ac:dyDescent="0.2">
      <c r="A96" s="21"/>
      <c r="B96" s="21"/>
      <c r="C96" s="21" t="s">
        <v>627</v>
      </c>
      <c r="D96" s="23"/>
      <c r="E96" s="13"/>
      <c r="F96" s="14">
        <f>Source!AO73</f>
        <v>37.549999999999997</v>
      </c>
      <c r="G96" s="24" t="str">
        <f>Source!DG73</f>
        <v>)*1,15)*1,2</v>
      </c>
      <c r="H96" s="14">
        <f>ROUND(Source!AF73*Source!I73, 2)</f>
        <v>62.18</v>
      </c>
      <c r="I96" s="24"/>
      <c r="J96" s="24">
        <f>IF(Source!BA73&lt;&gt; 0, Source!BA73, 1)</f>
        <v>27.94</v>
      </c>
      <c r="K96" s="14">
        <f>Source!S73</f>
        <v>1737.42</v>
      </c>
      <c r="L96" s="51"/>
      <c r="R96">
        <f>H96</f>
        <v>62.18</v>
      </c>
    </row>
    <row r="97" spans="1:26" ht="14.25" x14ac:dyDescent="0.2">
      <c r="A97" s="21"/>
      <c r="B97" s="21"/>
      <c r="C97" s="21" t="s">
        <v>92</v>
      </c>
      <c r="D97" s="23"/>
      <c r="E97" s="13"/>
      <c r="F97" s="14">
        <f>Source!AM73</f>
        <v>226.03</v>
      </c>
      <c r="G97" s="24" t="str">
        <f>Source!DE73</f>
        <v>)*1,25)*1,2</v>
      </c>
      <c r="H97" s="14">
        <f>ROUND((((((Source!ET73*1.25)*1.2))-(((Source!EU73*1.25)*1.2)))+Source!AE73)*Source!I73, 2)</f>
        <v>406.85</v>
      </c>
      <c r="I97" s="24"/>
      <c r="J97" s="24">
        <f>IF(Source!BB73&lt;&gt; 0, Source!BB73, 1)</f>
        <v>11.05</v>
      </c>
      <c r="K97" s="14">
        <f>Source!Q73</f>
        <v>4495.74</v>
      </c>
      <c r="L97" s="51"/>
    </row>
    <row r="98" spans="1:26" ht="14.25" x14ac:dyDescent="0.2">
      <c r="A98" s="21"/>
      <c r="B98" s="21"/>
      <c r="C98" s="21" t="s">
        <v>628</v>
      </c>
      <c r="D98" s="23"/>
      <c r="E98" s="13"/>
      <c r="F98" s="14">
        <f>Source!AN73</f>
        <v>30.5</v>
      </c>
      <c r="G98" s="24" t="str">
        <f>Source!DF73</f>
        <v>)*1,25)*1,2</v>
      </c>
      <c r="H98" s="25">
        <f>ROUND(Source!AE73*Source!I73, 2)</f>
        <v>54.9</v>
      </c>
      <c r="I98" s="24"/>
      <c r="J98" s="24">
        <f>IF(Source!BS73&lt;&gt; 0, Source!BS73, 1)</f>
        <v>27.94</v>
      </c>
      <c r="K98" s="25">
        <f>Source!R73</f>
        <v>1533.91</v>
      </c>
      <c r="L98" s="51"/>
      <c r="R98">
        <f>H98</f>
        <v>54.9</v>
      </c>
    </row>
    <row r="99" spans="1:26" ht="14.25" x14ac:dyDescent="0.2">
      <c r="A99" s="21"/>
      <c r="B99" s="21"/>
      <c r="C99" s="21" t="s">
        <v>586</v>
      </c>
      <c r="D99" s="23" t="s">
        <v>587</v>
      </c>
      <c r="E99" s="13">
        <f>Source!BZ73</f>
        <v>117</v>
      </c>
      <c r="F99" s="58"/>
      <c r="G99" s="24"/>
      <c r="H99" s="14">
        <f>SUM(S94:S101)</f>
        <v>136.97999999999999</v>
      </c>
      <c r="I99" s="52"/>
      <c r="J99" s="22">
        <f>Source!AT73</f>
        <v>117</v>
      </c>
      <c r="K99" s="14">
        <f>SUM(T94:T101)</f>
        <v>3827.46</v>
      </c>
      <c r="L99" s="51"/>
    </row>
    <row r="100" spans="1:26" ht="14.25" x14ac:dyDescent="0.2">
      <c r="A100" s="21"/>
      <c r="B100" s="21"/>
      <c r="C100" s="21" t="s">
        <v>588</v>
      </c>
      <c r="D100" s="23" t="s">
        <v>587</v>
      </c>
      <c r="E100" s="13">
        <f>Source!CA73</f>
        <v>74</v>
      </c>
      <c r="F100" s="76" t="str">
        <f>CONCATENATE(" )", Source!DM73, Source!FU73, "=", Source!FY73)</f>
        <v xml:space="preserve"> )*0.85=62,9</v>
      </c>
      <c r="G100" s="73"/>
      <c r="H100" s="14">
        <f>SUM(U94:U101)</f>
        <v>73.64</v>
      </c>
      <c r="I100" s="52"/>
      <c r="J100" s="22">
        <f>Source!AU73</f>
        <v>62.9</v>
      </c>
      <c r="K100" s="14">
        <f>SUM(V94:V101)</f>
        <v>2057.67</v>
      </c>
      <c r="L100" s="51"/>
    </row>
    <row r="101" spans="1:26" ht="14.25" x14ac:dyDescent="0.2">
      <c r="A101" s="29"/>
      <c r="B101" s="29"/>
      <c r="C101" s="29" t="s">
        <v>629</v>
      </c>
      <c r="D101" s="30" t="s">
        <v>590</v>
      </c>
      <c r="E101" s="31">
        <f>Source!AQ73</f>
        <v>4.1399999999999997</v>
      </c>
      <c r="F101" s="32"/>
      <c r="G101" s="33" t="str">
        <f>Source!DI73</f>
        <v>)*1,15)*1,2</v>
      </c>
      <c r="H101" s="32"/>
      <c r="I101" s="33"/>
      <c r="J101" s="33"/>
      <c r="K101" s="32"/>
      <c r="L101" s="53">
        <f>Source!U73</f>
        <v>6.8558399999999979</v>
      </c>
    </row>
    <row r="102" spans="1:26" ht="15" x14ac:dyDescent="0.25">
      <c r="G102" s="81">
        <f>H96+H97+H99+H100</f>
        <v>679.65</v>
      </c>
      <c r="H102" s="81"/>
      <c r="J102" s="81">
        <f>K96+K97+K99+K100</f>
        <v>12118.289999999999</v>
      </c>
      <c r="K102" s="81"/>
      <c r="L102" s="54">
        <f>Source!U73</f>
        <v>6.8558399999999979</v>
      </c>
      <c r="O102" s="28">
        <f>G102</f>
        <v>679.65</v>
      </c>
      <c r="P102" s="28">
        <f>J102</f>
        <v>12118.289999999999</v>
      </c>
      <c r="Q102" s="28">
        <f>L102</f>
        <v>6.8558399999999979</v>
      </c>
      <c r="W102">
        <f>IF(Source!BI73&lt;=1,H96+H97+H99+H100, 0)</f>
        <v>679.65</v>
      </c>
      <c r="X102">
        <f>IF(Source!BI73=2,H96+H97+H99+H100, 0)</f>
        <v>0</v>
      </c>
      <c r="Y102">
        <f>IF(Source!BI73=3,H96+H97+H99+H100, 0)</f>
        <v>0</v>
      </c>
      <c r="Z102">
        <f>IF(Source!BI73=4,H96+H97+H99+H100, 0)</f>
        <v>0</v>
      </c>
    </row>
    <row r="103" spans="1:26" ht="54" x14ac:dyDescent="0.2">
      <c r="A103" s="29">
        <v>12</v>
      </c>
      <c r="B103" s="29" t="str">
        <f>Source!F74</f>
        <v>Цена поставщика</v>
      </c>
      <c r="C103" s="29" t="s">
        <v>596</v>
      </c>
      <c r="D103" s="30" t="str">
        <f>Source!H74</f>
        <v>ШТ</v>
      </c>
      <c r="E103" s="31">
        <f>Source!I74</f>
        <v>2</v>
      </c>
      <c r="F103" s="32">
        <f>Source!AL74</f>
        <v>85.18</v>
      </c>
      <c r="G103" s="33" t="str">
        <f>Source!DD74</f>
        <v/>
      </c>
      <c r="H103" s="32">
        <f>ROUND(Source!AC74*Source!I74, 2)</f>
        <v>170.36</v>
      </c>
      <c r="I103" s="33" t="str">
        <f>Source!BO74</f>
        <v/>
      </c>
      <c r="J103" s="33">
        <f>IF(Source!BC74&lt;&gt; 0, Source!BC74, 1)</f>
        <v>7.99</v>
      </c>
      <c r="K103" s="32">
        <f>Source!P74</f>
        <v>1361.18</v>
      </c>
      <c r="L103" s="55"/>
      <c r="S103">
        <f>ROUND((Source!FX74/100)*((ROUND(Source!AF74*Source!I74, 2)+ROUND(Source!AE74*Source!I74, 2))), 2)</f>
        <v>0</v>
      </c>
      <c r="T103">
        <f>Source!X74</f>
        <v>0</v>
      </c>
      <c r="U103">
        <f>ROUND((Source!FY74/100)*((ROUND(Source!AF74*Source!I74, 2)+ROUND(Source!AE74*Source!I74, 2))), 2)</f>
        <v>0</v>
      </c>
      <c r="V103">
        <f>Source!Y74</f>
        <v>0</v>
      </c>
    </row>
    <row r="104" spans="1:26" ht="15" x14ac:dyDescent="0.25">
      <c r="G104" s="81">
        <f>H103</f>
        <v>170.36</v>
      </c>
      <c r="H104" s="81"/>
      <c r="J104" s="81">
        <f>K103</f>
        <v>1361.18</v>
      </c>
      <c r="K104" s="81"/>
      <c r="L104" s="54">
        <f>Source!U74</f>
        <v>0</v>
      </c>
      <c r="O104" s="28">
        <f>G104</f>
        <v>170.36</v>
      </c>
      <c r="P104" s="28">
        <f>J104</f>
        <v>1361.18</v>
      </c>
      <c r="Q104" s="28">
        <f>L104</f>
        <v>0</v>
      </c>
      <c r="W104">
        <f>IF(Source!BI74&lt;=1,H103, 0)</f>
        <v>170.36</v>
      </c>
      <c r="X104">
        <f>IF(Source!BI74=2,H103, 0)</f>
        <v>0</v>
      </c>
      <c r="Y104">
        <f>IF(Source!BI74=3,H103, 0)</f>
        <v>0</v>
      </c>
      <c r="Z104">
        <f>IF(Source!BI74=4,H103, 0)</f>
        <v>0</v>
      </c>
    </row>
    <row r="105" spans="1:26" ht="42.75" x14ac:dyDescent="0.2">
      <c r="A105" s="21">
        <v>13</v>
      </c>
      <c r="B105" s="21" t="str">
        <f>Source!F75</f>
        <v>27-02-005-01</v>
      </c>
      <c r="C105" s="21" t="str">
        <f>Source!G75</f>
        <v>Устройство водосбросных сооружений с проезжей части из продольных лотков из сборного бетона // Прим.</v>
      </c>
      <c r="D105" s="23" t="str">
        <f>Source!H75</f>
        <v>100 м3</v>
      </c>
      <c r="E105" s="13">
        <f>Source!I75</f>
        <v>0.02</v>
      </c>
      <c r="F105" s="14">
        <f>Source!AL75+Source!AM75+Source!AO75</f>
        <v>35617.200000000004</v>
      </c>
      <c r="G105" s="24"/>
      <c r="H105" s="14"/>
      <c r="I105" s="24" t="str">
        <f>Source!BO75</f>
        <v/>
      </c>
      <c r="J105" s="24"/>
      <c r="K105" s="14"/>
      <c r="L105" s="51"/>
      <c r="S105">
        <f>ROUND((Source!FX75/100)*((ROUND(Source!AF75*Source!I75, 2)+ROUND(Source!AE75*Source!I75, 2))), 2)</f>
        <v>184.78</v>
      </c>
      <c r="T105">
        <f>Source!X75</f>
        <v>5162.79</v>
      </c>
      <c r="U105">
        <f>ROUND((Source!FY75/100)*((ROUND(Source!AF75*Source!I75, 2)+ROUND(Source!AE75*Source!I75, 2))), 2)</f>
        <v>143.16999999999999</v>
      </c>
      <c r="V105">
        <f>Source!Y75</f>
        <v>4000.28</v>
      </c>
    </row>
    <row r="106" spans="1:26" ht="14.25" x14ac:dyDescent="0.2">
      <c r="A106" s="21"/>
      <c r="B106" s="21"/>
      <c r="C106" s="21" t="s">
        <v>627</v>
      </c>
      <c r="D106" s="23"/>
      <c r="E106" s="13"/>
      <c r="F106" s="14">
        <f>Source!AO75</f>
        <v>2790.72</v>
      </c>
      <c r="G106" s="24" t="str">
        <f>Source!DG75</f>
        <v>)*1,15)*1,2</v>
      </c>
      <c r="H106" s="14">
        <f>ROUND(Source!AF75*Source!I75, 2)</f>
        <v>77.02</v>
      </c>
      <c r="I106" s="24"/>
      <c r="J106" s="24">
        <f>IF(Source!BA75&lt;&gt; 0, Source!BA75, 1)</f>
        <v>27.94</v>
      </c>
      <c r="K106" s="14">
        <f>Source!S75</f>
        <v>2152.04</v>
      </c>
      <c r="L106" s="51"/>
      <c r="R106">
        <f>H106</f>
        <v>77.02</v>
      </c>
    </row>
    <row r="107" spans="1:26" ht="14.25" x14ac:dyDescent="0.2">
      <c r="A107" s="21"/>
      <c r="B107" s="21"/>
      <c r="C107" s="21" t="s">
        <v>92</v>
      </c>
      <c r="D107" s="23"/>
      <c r="E107" s="13"/>
      <c r="F107" s="14">
        <f>Source!AM75</f>
        <v>13395.62</v>
      </c>
      <c r="G107" s="24" t="str">
        <f>Source!DE75</f>
        <v>)*1,25)*1,2</v>
      </c>
      <c r="H107" s="14">
        <f>ROUND((((((Source!ET75*1.25)*1.2))-(((Source!EU75*1.25)*1.2)))+Source!AE75)*Source!I75, 2)</f>
        <v>401.87</v>
      </c>
      <c r="I107" s="24"/>
      <c r="J107" s="24">
        <f>IF(Source!BB75&lt;&gt; 0, Source!BB75, 1)</f>
        <v>11.05</v>
      </c>
      <c r="K107" s="14">
        <f>Source!Q75</f>
        <v>4440.6499999999996</v>
      </c>
      <c r="L107" s="51"/>
    </row>
    <row r="108" spans="1:26" ht="14.25" x14ac:dyDescent="0.2">
      <c r="A108" s="21"/>
      <c r="B108" s="21"/>
      <c r="C108" s="21" t="s">
        <v>628</v>
      </c>
      <c r="D108" s="23"/>
      <c r="E108" s="13"/>
      <c r="F108" s="14">
        <f>Source!AN75</f>
        <v>1622.6</v>
      </c>
      <c r="G108" s="24" t="str">
        <f>Source!DF75</f>
        <v>)*1,25)*1,2</v>
      </c>
      <c r="H108" s="25">
        <f>ROUND(Source!AE75*Source!I75, 2)</f>
        <v>48.68</v>
      </c>
      <c r="I108" s="24"/>
      <c r="J108" s="24">
        <f>IF(Source!BS75&lt;&gt; 0, Source!BS75, 1)</f>
        <v>27.94</v>
      </c>
      <c r="K108" s="25">
        <f>Source!R75</f>
        <v>1360.06</v>
      </c>
      <c r="L108" s="51"/>
      <c r="R108">
        <f>H108</f>
        <v>48.68</v>
      </c>
    </row>
    <row r="109" spans="1:26" ht="14.25" x14ac:dyDescent="0.2">
      <c r="A109" s="21"/>
      <c r="B109" s="21"/>
      <c r="C109" s="21" t="s">
        <v>630</v>
      </c>
      <c r="D109" s="23"/>
      <c r="E109" s="13"/>
      <c r="F109" s="14">
        <f>Source!AL75</f>
        <v>19430.86</v>
      </c>
      <c r="G109" s="24" t="str">
        <f>Source!DD75</f>
        <v/>
      </c>
      <c r="H109" s="14">
        <f>ROUND(Source!AC75*Source!I75, 2)</f>
        <v>388.62</v>
      </c>
      <c r="I109" s="24"/>
      <c r="J109" s="24">
        <f>IF(Source!BC75&lt;&gt; 0, Source!BC75, 1)</f>
        <v>7.99</v>
      </c>
      <c r="K109" s="14">
        <f>Source!P75</f>
        <v>3105.05</v>
      </c>
      <c r="L109" s="51"/>
    </row>
    <row r="110" spans="1:26" ht="14.25" x14ac:dyDescent="0.2">
      <c r="A110" s="21"/>
      <c r="B110" s="21"/>
      <c r="C110" s="21" t="s">
        <v>586</v>
      </c>
      <c r="D110" s="23" t="s">
        <v>587</v>
      </c>
      <c r="E110" s="13">
        <f>Source!BZ75</f>
        <v>147</v>
      </c>
      <c r="F110" s="58"/>
      <c r="G110" s="24"/>
      <c r="H110" s="14">
        <f>SUM(S105:S113)</f>
        <v>184.78</v>
      </c>
      <c r="I110" s="52"/>
      <c r="J110" s="22">
        <f>Source!AT75</f>
        <v>147</v>
      </c>
      <c r="K110" s="14">
        <f>SUM(T105:T113)</f>
        <v>5162.79</v>
      </c>
      <c r="L110" s="51"/>
    </row>
    <row r="111" spans="1:26" ht="14.25" x14ac:dyDescent="0.2">
      <c r="A111" s="21"/>
      <c r="B111" s="21"/>
      <c r="C111" s="21" t="s">
        <v>588</v>
      </c>
      <c r="D111" s="23" t="s">
        <v>587</v>
      </c>
      <c r="E111" s="13">
        <f>Source!CA75</f>
        <v>134</v>
      </c>
      <c r="F111" s="76" t="str">
        <f>CONCATENATE(" )", Source!DM75, Source!FU75, "=", Source!FY75)</f>
        <v xml:space="preserve"> )*0.85=113,9</v>
      </c>
      <c r="G111" s="73"/>
      <c r="H111" s="14">
        <f>SUM(U105:U113)</f>
        <v>143.16999999999999</v>
      </c>
      <c r="I111" s="52"/>
      <c r="J111" s="22">
        <f>Source!AU75</f>
        <v>113.9</v>
      </c>
      <c r="K111" s="14">
        <f>SUM(V105:V113)</f>
        <v>4000.28</v>
      </c>
      <c r="L111" s="51"/>
    </row>
    <row r="112" spans="1:26" ht="14.25" x14ac:dyDescent="0.2">
      <c r="A112" s="21"/>
      <c r="B112" s="21"/>
      <c r="C112" s="21" t="s">
        <v>629</v>
      </c>
      <c r="D112" s="23" t="s">
        <v>590</v>
      </c>
      <c r="E112" s="13">
        <f>Source!AQ75</f>
        <v>323</v>
      </c>
      <c r="F112" s="14"/>
      <c r="G112" s="24" t="str">
        <f>Source!DI75</f>
        <v>)*1,15)*1,2</v>
      </c>
      <c r="H112" s="14"/>
      <c r="I112" s="24"/>
      <c r="J112" s="24"/>
      <c r="K112" s="14"/>
      <c r="L112" s="56">
        <f>Source!U75</f>
        <v>8.9147999999999996</v>
      </c>
    </row>
    <row r="113" spans="1:26" ht="42.75" x14ac:dyDescent="0.2">
      <c r="A113" s="29">
        <v>13.1</v>
      </c>
      <c r="B113" s="29" t="str">
        <f>Source!F76</f>
        <v>14.5.04.01-0011</v>
      </c>
      <c r="C113" s="29" t="str">
        <f>Source!G76</f>
        <v>Мастика бутилкаучуковая строительная для герметизации швов цементобетонных покрытий</v>
      </c>
      <c r="D113" s="30" t="str">
        <f>Source!H76</f>
        <v>кг</v>
      </c>
      <c r="E113" s="31">
        <f>Source!I76</f>
        <v>-38.6</v>
      </c>
      <c r="F113" s="32">
        <f>Source!AL76+Source!AM76+Source!AO76</f>
        <v>7.59</v>
      </c>
      <c r="G113" s="57" t="s">
        <v>3</v>
      </c>
      <c r="H113" s="32">
        <f>ROUND(Source!AC76*Source!I76, 2)+ROUND((((Source!ET76)-(Source!EU76))+Source!AE76)*Source!I76, 2)+ROUND(Source!AF76*Source!I76, 2)</f>
        <v>-292.97000000000003</v>
      </c>
      <c r="I113" s="33"/>
      <c r="J113" s="33">
        <f>IF(Source!BC76&lt;&gt; 0, Source!BC76, 1)</f>
        <v>7.99</v>
      </c>
      <c r="K113" s="32">
        <f>Source!O76</f>
        <v>-2340.86</v>
      </c>
      <c r="L113" s="55"/>
      <c r="S113">
        <f>ROUND((Source!FX76/100)*((ROUND(Source!AF76*Source!I76, 2)+ROUND(Source!AE76*Source!I76, 2))), 2)</f>
        <v>0</v>
      </c>
      <c r="T113">
        <f>Source!X76</f>
        <v>0</v>
      </c>
      <c r="U113">
        <f>ROUND((Source!FY76/100)*((ROUND(Source!AF76*Source!I76, 2)+ROUND(Source!AE76*Source!I76, 2))), 2)</f>
        <v>0</v>
      </c>
      <c r="V113">
        <f>Source!Y76</f>
        <v>0</v>
      </c>
      <c r="W113">
        <f>IF(Source!BI76&lt;=1,H113, 0)</f>
        <v>-292.97000000000003</v>
      </c>
      <c r="X113">
        <f>IF(Source!BI76=2,H113, 0)</f>
        <v>0</v>
      </c>
      <c r="Y113">
        <f>IF(Source!BI76=3,H113, 0)</f>
        <v>0</v>
      </c>
      <c r="Z113">
        <f>IF(Source!BI76=4,H113, 0)</f>
        <v>0</v>
      </c>
    </row>
    <row r="114" spans="1:26" ht="15" x14ac:dyDescent="0.25">
      <c r="G114" s="81">
        <f>H106+H107+H109+H110+H111+SUM(H113:H113)</f>
        <v>902.49</v>
      </c>
      <c r="H114" s="81"/>
      <c r="J114" s="81">
        <f>K106+K107+K109+K110+K111+SUM(K113:K113)</f>
        <v>16519.949999999997</v>
      </c>
      <c r="K114" s="81"/>
      <c r="L114" s="54">
        <f>Source!U75</f>
        <v>8.9147999999999996</v>
      </c>
      <c r="O114" s="28">
        <f>G114</f>
        <v>902.49</v>
      </c>
      <c r="P114" s="28">
        <f>J114</f>
        <v>16519.949999999997</v>
      </c>
      <c r="Q114" s="28">
        <f>L114</f>
        <v>8.9147999999999996</v>
      </c>
      <c r="W114">
        <f>IF(Source!BI75&lt;=1,H106+H107+H109+H110+H111, 0)</f>
        <v>1195.46</v>
      </c>
      <c r="X114">
        <f>IF(Source!BI75=2,H106+H107+H109+H110+H111, 0)</f>
        <v>0</v>
      </c>
      <c r="Y114">
        <f>IF(Source!BI75=3,H106+H107+H109+H110+H111, 0)</f>
        <v>0</v>
      </c>
      <c r="Z114">
        <f>IF(Source!BI75=4,H106+H107+H109+H110+H111, 0)</f>
        <v>0</v>
      </c>
    </row>
    <row r="115" spans="1:26" ht="42.75" x14ac:dyDescent="0.2">
      <c r="A115" s="29">
        <v>14</v>
      </c>
      <c r="B115" s="29" t="str">
        <f>Source!F77</f>
        <v>Цена поставщика</v>
      </c>
      <c r="C115" s="29" t="s">
        <v>597</v>
      </c>
      <c r="D115" s="30" t="str">
        <f>Source!H77</f>
        <v>ШТ</v>
      </c>
      <c r="E115" s="31">
        <f>Source!I77</f>
        <v>50</v>
      </c>
      <c r="F115" s="32">
        <f>Source!AL77</f>
        <v>22.79</v>
      </c>
      <c r="G115" s="33" t="str">
        <f>Source!DD77</f>
        <v/>
      </c>
      <c r="H115" s="32">
        <f>ROUND(Source!AC77*Source!I77, 2)</f>
        <v>1139.5</v>
      </c>
      <c r="I115" s="33" t="str">
        <f>Source!BO77</f>
        <v/>
      </c>
      <c r="J115" s="33">
        <f>IF(Source!BC77&lt;&gt; 0, Source!BC77, 1)</f>
        <v>7.99</v>
      </c>
      <c r="K115" s="32">
        <f>Source!P77</f>
        <v>9104.61</v>
      </c>
      <c r="L115" s="55"/>
      <c r="S115">
        <f>ROUND((Source!FX77/100)*((ROUND(Source!AF77*Source!I77, 2)+ROUND(Source!AE77*Source!I77, 2))), 2)</f>
        <v>0</v>
      </c>
      <c r="T115">
        <f>Source!X77</f>
        <v>0</v>
      </c>
      <c r="U115">
        <f>ROUND((Source!FY77/100)*((ROUND(Source!AF77*Source!I77, 2)+ROUND(Source!AE77*Source!I77, 2))), 2)</f>
        <v>0</v>
      </c>
      <c r="V115">
        <f>Source!Y77</f>
        <v>0</v>
      </c>
    </row>
    <row r="116" spans="1:26" ht="15" x14ac:dyDescent="0.25">
      <c r="G116" s="81">
        <f>H115</f>
        <v>1139.5</v>
      </c>
      <c r="H116" s="81"/>
      <c r="J116" s="81">
        <f>K115</f>
        <v>9104.61</v>
      </c>
      <c r="K116" s="81"/>
      <c r="L116" s="54">
        <f>Source!U77</f>
        <v>0</v>
      </c>
      <c r="O116" s="28">
        <f>G116</f>
        <v>1139.5</v>
      </c>
      <c r="P116" s="28">
        <f>J116</f>
        <v>9104.61</v>
      </c>
      <c r="Q116" s="28">
        <f>L116</f>
        <v>0</v>
      </c>
      <c r="W116">
        <f>IF(Source!BI77&lt;=1,H115, 0)</f>
        <v>1139.5</v>
      </c>
      <c r="X116">
        <f>IF(Source!BI77=2,H115, 0)</f>
        <v>0</v>
      </c>
      <c r="Y116">
        <f>IF(Source!BI77=3,H115, 0)</f>
        <v>0</v>
      </c>
      <c r="Z116">
        <f>IF(Source!BI77=4,H115, 0)</f>
        <v>0</v>
      </c>
    </row>
    <row r="117" spans="1:26" ht="42.75" x14ac:dyDescent="0.2">
      <c r="A117" s="21">
        <v>15</v>
      </c>
      <c r="B117" s="21" t="str">
        <f>Source!F78</f>
        <v>15-01-045-01</v>
      </c>
      <c r="C117" s="21" t="str">
        <f>Source!G78</f>
        <v>Облицовка ступеней керамогранитными плитками толщиной до 15 мм</v>
      </c>
      <c r="D117" s="23" t="str">
        <f>Source!H78</f>
        <v>100 м2</v>
      </c>
      <c r="E117" s="13">
        <f>Source!I78</f>
        <v>0.41299999999999998</v>
      </c>
      <c r="F117" s="14">
        <f>Source!AL78+Source!AM78+Source!AO78</f>
        <v>3682.3199999999997</v>
      </c>
      <c r="G117" s="24"/>
      <c r="H117" s="14"/>
      <c r="I117" s="24" t="str">
        <f>Source!BO78</f>
        <v/>
      </c>
      <c r="J117" s="24"/>
      <c r="K117" s="14"/>
      <c r="L117" s="51"/>
      <c r="S117">
        <f>ROUND((Source!FX78/100)*((ROUND(Source!AF78*Source!I78, 2)+ROUND(Source!AE78*Source!I78, 2))), 2)</f>
        <v>1994</v>
      </c>
      <c r="T117">
        <f>Source!X78</f>
        <v>55712.51</v>
      </c>
      <c r="U117">
        <f>ROUND((Source!FY78/100)*((ROUND(Source!AF78*Source!I78, 2)+ROUND(Source!AE78*Source!I78, 2))), 2)</f>
        <v>830.5</v>
      </c>
      <c r="V117">
        <f>Source!Y78</f>
        <v>23204.26</v>
      </c>
    </row>
    <row r="118" spans="1:26" ht="14.25" x14ac:dyDescent="0.2">
      <c r="A118" s="21"/>
      <c r="B118" s="21"/>
      <c r="C118" s="21" t="s">
        <v>627</v>
      </c>
      <c r="D118" s="23"/>
      <c r="E118" s="13"/>
      <c r="F118" s="14">
        <f>Source!AO78</f>
        <v>3471.6</v>
      </c>
      <c r="G118" s="24" t="str">
        <f>Source!DG78</f>
        <v>)*1,15)*1,2</v>
      </c>
      <c r="H118" s="14">
        <f>ROUND(Source!AF78*Source!I78, 2)</f>
        <v>1978.6</v>
      </c>
      <c r="I118" s="24"/>
      <c r="J118" s="24">
        <f>IF(Source!BA78&lt;&gt; 0, Source!BA78, 1)</f>
        <v>27.94</v>
      </c>
      <c r="K118" s="14">
        <f>Source!S78</f>
        <v>55282.21</v>
      </c>
      <c r="L118" s="51"/>
      <c r="R118">
        <f>H118</f>
        <v>1978.6</v>
      </c>
    </row>
    <row r="119" spans="1:26" ht="14.25" x14ac:dyDescent="0.2">
      <c r="A119" s="21"/>
      <c r="B119" s="21"/>
      <c r="C119" s="21" t="s">
        <v>92</v>
      </c>
      <c r="D119" s="23"/>
      <c r="E119" s="13"/>
      <c r="F119" s="14">
        <f>Source!AM78</f>
        <v>72.849999999999994</v>
      </c>
      <c r="G119" s="24" t="str">
        <f>Source!DE78</f>
        <v>)*1,25)*1,2</v>
      </c>
      <c r="H119" s="14">
        <f>ROUND((((((Source!ET78*1.25)*1.2))-(((Source!EU78*1.25)*1.2)))+Source!AE78)*Source!I78, 2)</f>
        <v>45.13</v>
      </c>
      <c r="I119" s="24"/>
      <c r="J119" s="24">
        <f>IF(Source!BB78&lt;&gt; 0, Source!BB78, 1)</f>
        <v>11.05</v>
      </c>
      <c r="K119" s="14">
        <f>Source!Q78</f>
        <v>498.69</v>
      </c>
      <c r="L119" s="51"/>
    </row>
    <row r="120" spans="1:26" ht="14.25" x14ac:dyDescent="0.2">
      <c r="A120" s="21"/>
      <c r="B120" s="21"/>
      <c r="C120" s="21" t="s">
        <v>628</v>
      </c>
      <c r="D120" s="23"/>
      <c r="E120" s="13"/>
      <c r="F120" s="14">
        <f>Source!AN78</f>
        <v>24.86</v>
      </c>
      <c r="G120" s="24" t="str">
        <f>Source!DF78</f>
        <v>)*1,25)*1,2</v>
      </c>
      <c r="H120" s="25">
        <f>ROUND(Source!AE78*Source!I78, 2)</f>
        <v>15.4</v>
      </c>
      <c r="I120" s="24"/>
      <c r="J120" s="24">
        <f>IF(Source!BS78&lt;&gt; 0, Source!BS78, 1)</f>
        <v>27.94</v>
      </c>
      <c r="K120" s="25">
        <f>Source!R78</f>
        <v>430.3</v>
      </c>
      <c r="L120" s="51"/>
      <c r="R120">
        <f>H120</f>
        <v>15.4</v>
      </c>
    </row>
    <row r="121" spans="1:26" ht="14.25" x14ac:dyDescent="0.2">
      <c r="A121" s="21"/>
      <c r="B121" s="21"/>
      <c r="C121" s="21" t="s">
        <v>630</v>
      </c>
      <c r="D121" s="23"/>
      <c r="E121" s="13"/>
      <c r="F121" s="14">
        <f>Source!AL78</f>
        <v>137.87</v>
      </c>
      <c r="G121" s="24" t="str">
        <f>Source!DD78</f>
        <v/>
      </c>
      <c r="H121" s="14">
        <f>ROUND(Source!AC78*Source!I78, 2)</f>
        <v>56.94</v>
      </c>
      <c r="I121" s="24"/>
      <c r="J121" s="24">
        <f>IF(Source!BC78&lt;&gt; 0, Source!BC78, 1)</f>
        <v>7.99</v>
      </c>
      <c r="K121" s="14">
        <f>Source!P78</f>
        <v>454.95</v>
      </c>
      <c r="L121" s="51"/>
    </row>
    <row r="122" spans="1:26" ht="14.25" x14ac:dyDescent="0.2">
      <c r="A122" s="21"/>
      <c r="B122" s="21"/>
      <c r="C122" s="21" t="s">
        <v>586</v>
      </c>
      <c r="D122" s="23" t="s">
        <v>587</v>
      </c>
      <c r="E122" s="13">
        <f>Source!BZ78</f>
        <v>100</v>
      </c>
      <c r="F122" s="58"/>
      <c r="G122" s="24"/>
      <c r="H122" s="14">
        <f>SUM(S117:S124)</f>
        <v>1994</v>
      </c>
      <c r="I122" s="52"/>
      <c r="J122" s="22">
        <f>Source!AT78</f>
        <v>100</v>
      </c>
      <c r="K122" s="14">
        <f>SUM(T117:T124)</f>
        <v>55712.51</v>
      </c>
      <c r="L122" s="51"/>
    </row>
    <row r="123" spans="1:26" ht="14.25" x14ac:dyDescent="0.2">
      <c r="A123" s="21"/>
      <c r="B123" s="21"/>
      <c r="C123" s="21" t="s">
        <v>588</v>
      </c>
      <c r="D123" s="23" t="s">
        <v>587</v>
      </c>
      <c r="E123" s="13">
        <f>Source!CA78</f>
        <v>49</v>
      </c>
      <c r="F123" s="76" t="str">
        <f>CONCATENATE(" )", Source!DM78, Source!FU78, "=", Source!FY78)</f>
        <v xml:space="preserve"> )*0.85=41,65</v>
      </c>
      <c r="G123" s="73"/>
      <c r="H123" s="14">
        <f>SUM(U117:U124)</f>
        <v>830.5</v>
      </c>
      <c r="I123" s="52"/>
      <c r="J123" s="22">
        <f>Source!AU78</f>
        <v>41.65</v>
      </c>
      <c r="K123" s="14">
        <f>SUM(V117:V124)</f>
        <v>23204.26</v>
      </c>
      <c r="L123" s="51"/>
    </row>
    <row r="124" spans="1:26" ht="14.25" x14ac:dyDescent="0.2">
      <c r="A124" s="29"/>
      <c r="B124" s="29"/>
      <c r="C124" s="29" t="s">
        <v>629</v>
      </c>
      <c r="D124" s="30" t="s">
        <v>590</v>
      </c>
      <c r="E124" s="31">
        <f>Source!AQ78</f>
        <v>378.17</v>
      </c>
      <c r="F124" s="32"/>
      <c r="G124" s="33" t="str">
        <f>Source!DI78</f>
        <v>)*1,15)*1,2</v>
      </c>
      <c r="H124" s="32"/>
      <c r="I124" s="33"/>
      <c r="J124" s="33"/>
      <c r="K124" s="32"/>
      <c r="L124" s="53">
        <f>Source!U78</f>
        <v>215.53420979999999</v>
      </c>
    </row>
    <row r="125" spans="1:26" ht="15" x14ac:dyDescent="0.25">
      <c r="G125" s="81">
        <f>H118+H119+H121+H122+H123</f>
        <v>4905.17</v>
      </c>
      <c r="H125" s="81"/>
      <c r="J125" s="81">
        <f>K118+K119+K121+K122+K123</f>
        <v>135152.62</v>
      </c>
      <c r="K125" s="81"/>
      <c r="L125" s="54">
        <f>Source!U78</f>
        <v>215.53420979999999</v>
      </c>
      <c r="O125" s="28">
        <f>G125</f>
        <v>4905.17</v>
      </c>
      <c r="P125" s="28">
        <f>J125</f>
        <v>135152.62</v>
      </c>
      <c r="Q125" s="28">
        <f>L125</f>
        <v>215.53420979999999</v>
      </c>
      <c r="W125">
        <f>IF(Source!BI78&lt;=1,H118+H119+H121+H122+H123, 0)</f>
        <v>4905.17</v>
      </c>
      <c r="X125">
        <f>IF(Source!BI78=2,H118+H119+H121+H122+H123, 0)</f>
        <v>0</v>
      </c>
      <c r="Y125">
        <f>IF(Source!BI78=3,H118+H119+H121+H122+H123, 0)</f>
        <v>0</v>
      </c>
      <c r="Z125">
        <f>IF(Source!BI78=4,H118+H119+H121+H122+H123, 0)</f>
        <v>0</v>
      </c>
    </row>
    <row r="126" spans="1:26" ht="54" x14ac:dyDescent="0.2">
      <c r="A126" s="29">
        <v>16</v>
      </c>
      <c r="B126" s="29" t="str">
        <f>Source!F79</f>
        <v>Цена поставщика</v>
      </c>
      <c r="C126" s="29" t="s">
        <v>598</v>
      </c>
      <c r="D126" s="30" t="str">
        <f>Source!H79</f>
        <v>м2</v>
      </c>
      <c r="E126" s="31">
        <f>Source!I79</f>
        <v>15.708</v>
      </c>
      <c r="F126" s="32">
        <f>Source!AL79</f>
        <v>162.19</v>
      </c>
      <c r="G126" s="33" t="str">
        <f>Source!DD79</f>
        <v/>
      </c>
      <c r="H126" s="32">
        <f>ROUND(Source!AC79*Source!I79, 2)</f>
        <v>2547.6799999999998</v>
      </c>
      <c r="I126" s="33" t="str">
        <f>Source!BO79</f>
        <v/>
      </c>
      <c r="J126" s="33">
        <f>IF(Source!BC79&lt;&gt; 0, Source!BC79, 1)</f>
        <v>7.99</v>
      </c>
      <c r="K126" s="32">
        <f>Source!P79</f>
        <v>20355.97</v>
      </c>
      <c r="L126" s="55"/>
      <c r="S126">
        <f>ROUND((Source!FX79/100)*((ROUND(Source!AF79*Source!I79, 2)+ROUND(Source!AE79*Source!I79, 2))), 2)</f>
        <v>0</v>
      </c>
      <c r="T126">
        <f>Source!X79</f>
        <v>0</v>
      </c>
      <c r="U126">
        <f>ROUND((Source!FY79/100)*((ROUND(Source!AF79*Source!I79, 2)+ROUND(Source!AE79*Source!I79, 2))), 2)</f>
        <v>0</v>
      </c>
      <c r="V126">
        <f>Source!Y79</f>
        <v>0</v>
      </c>
    </row>
    <row r="127" spans="1:26" ht="15" x14ac:dyDescent="0.25">
      <c r="G127" s="81">
        <f>H126</f>
        <v>2547.6799999999998</v>
      </c>
      <c r="H127" s="81"/>
      <c r="J127" s="81">
        <f>K126</f>
        <v>20355.97</v>
      </c>
      <c r="K127" s="81"/>
      <c r="L127" s="54">
        <f>Source!U79</f>
        <v>0</v>
      </c>
      <c r="O127" s="28">
        <f>G127</f>
        <v>2547.6799999999998</v>
      </c>
      <c r="P127" s="28">
        <f>J127</f>
        <v>20355.97</v>
      </c>
      <c r="Q127" s="28">
        <f>L127</f>
        <v>0</v>
      </c>
      <c r="W127">
        <f>IF(Source!BI79&lt;=1,H126, 0)</f>
        <v>2547.6799999999998</v>
      </c>
      <c r="X127">
        <f>IF(Source!BI79=2,H126, 0)</f>
        <v>0</v>
      </c>
      <c r="Y127">
        <f>IF(Source!BI79=3,H126, 0)</f>
        <v>0</v>
      </c>
      <c r="Z127">
        <f>IF(Source!BI79=4,H126, 0)</f>
        <v>0</v>
      </c>
    </row>
    <row r="128" spans="1:26" ht="68.25" x14ac:dyDescent="0.2">
      <c r="A128" s="29">
        <v>17</v>
      </c>
      <c r="B128" s="29" t="str">
        <f>Source!F80</f>
        <v>Цена поставщика</v>
      </c>
      <c r="C128" s="29" t="s">
        <v>599</v>
      </c>
      <c r="D128" s="30" t="str">
        <f>Source!H80</f>
        <v>м2</v>
      </c>
      <c r="E128" s="31">
        <f>Source!I80</f>
        <v>17.646000000000001</v>
      </c>
      <c r="F128" s="32">
        <f>Source!AL80</f>
        <v>162.19</v>
      </c>
      <c r="G128" s="33" t="str">
        <f>Source!DD80</f>
        <v/>
      </c>
      <c r="H128" s="32">
        <f>ROUND(Source!AC80*Source!I80, 2)</f>
        <v>2862</v>
      </c>
      <c r="I128" s="33" t="str">
        <f>Source!BO80</f>
        <v/>
      </c>
      <c r="J128" s="33">
        <f>IF(Source!BC80&lt;&gt; 0, Source!BC80, 1)</f>
        <v>7.99</v>
      </c>
      <c r="K128" s="32">
        <f>Source!P80</f>
        <v>22867.42</v>
      </c>
      <c r="L128" s="55"/>
      <c r="S128">
        <f>ROUND((Source!FX80/100)*((ROUND(Source!AF80*Source!I80, 2)+ROUND(Source!AE80*Source!I80, 2))), 2)</f>
        <v>0</v>
      </c>
      <c r="T128">
        <f>Source!X80</f>
        <v>0</v>
      </c>
      <c r="U128">
        <f>ROUND((Source!FY80/100)*((ROUND(Source!AF80*Source!I80, 2)+ROUND(Source!AE80*Source!I80, 2))), 2)</f>
        <v>0</v>
      </c>
      <c r="V128">
        <f>Source!Y80</f>
        <v>0</v>
      </c>
    </row>
    <row r="129" spans="1:26" ht="15" x14ac:dyDescent="0.25">
      <c r="G129" s="81">
        <f>H128</f>
        <v>2862</v>
      </c>
      <c r="H129" s="81"/>
      <c r="J129" s="81">
        <f>K128</f>
        <v>22867.42</v>
      </c>
      <c r="K129" s="81"/>
      <c r="L129" s="54">
        <f>Source!U80</f>
        <v>0</v>
      </c>
      <c r="O129" s="28">
        <f>G129</f>
        <v>2862</v>
      </c>
      <c r="P129" s="28">
        <f>J129</f>
        <v>22867.42</v>
      </c>
      <c r="Q129" s="28">
        <f>L129</f>
        <v>0</v>
      </c>
      <c r="W129">
        <f>IF(Source!BI80&lt;=1,H128, 0)</f>
        <v>2862</v>
      </c>
      <c r="X129">
        <f>IF(Source!BI80=2,H128, 0)</f>
        <v>0</v>
      </c>
      <c r="Y129">
        <f>IF(Source!BI80=3,H128, 0)</f>
        <v>0</v>
      </c>
      <c r="Z129">
        <f>IF(Source!BI80=4,H128, 0)</f>
        <v>0</v>
      </c>
    </row>
    <row r="130" spans="1:26" ht="54" x14ac:dyDescent="0.2">
      <c r="A130" s="29">
        <v>18</v>
      </c>
      <c r="B130" s="29" t="str">
        <f>Source!F81</f>
        <v>Цена поставщика</v>
      </c>
      <c r="C130" s="29" t="s">
        <v>600</v>
      </c>
      <c r="D130" s="30" t="str">
        <f>Source!H81</f>
        <v>м2</v>
      </c>
      <c r="E130" s="31">
        <f>Source!I81</f>
        <v>8.7720000000000002</v>
      </c>
      <c r="F130" s="32">
        <f>Source!AL81</f>
        <v>263.12</v>
      </c>
      <c r="G130" s="33" t="str">
        <f>Source!DD81</f>
        <v/>
      </c>
      <c r="H130" s="32">
        <f>ROUND(Source!AC81*Source!I81, 2)</f>
        <v>2308.09</v>
      </c>
      <c r="I130" s="33" t="str">
        <f>Source!BO81</f>
        <v/>
      </c>
      <c r="J130" s="33">
        <f>IF(Source!BC81&lt;&gt; 0, Source!BC81, 1)</f>
        <v>7.99</v>
      </c>
      <c r="K130" s="32">
        <f>Source!P81</f>
        <v>18441.63</v>
      </c>
      <c r="L130" s="55"/>
      <c r="S130">
        <f>ROUND((Source!FX81/100)*((ROUND(Source!AF81*Source!I81, 2)+ROUND(Source!AE81*Source!I81, 2))), 2)</f>
        <v>0</v>
      </c>
      <c r="T130">
        <f>Source!X81</f>
        <v>0</v>
      </c>
      <c r="U130">
        <f>ROUND((Source!FY81/100)*((ROUND(Source!AF81*Source!I81, 2)+ROUND(Source!AE81*Source!I81, 2))), 2)</f>
        <v>0</v>
      </c>
      <c r="V130">
        <f>Source!Y81</f>
        <v>0</v>
      </c>
    </row>
    <row r="131" spans="1:26" ht="15" x14ac:dyDescent="0.25">
      <c r="G131" s="81">
        <f>H130</f>
        <v>2308.09</v>
      </c>
      <c r="H131" s="81"/>
      <c r="J131" s="81">
        <f>K130</f>
        <v>18441.63</v>
      </c>
      <c r="K131" s="81"/>
      <c r="L131" s="54">
        <f>Source!U81</f>
        <v>0</v>
      </c>
      <c r="O131" s="28">
        <f>G131</f>
        <v>2308.09</v>
      </c>
      <c r="P131" s="28">
        <f>J131</f>
        <v>18441.63</v>
      </c>
      <c r="Q131" s="28">
        <f>L131</f>
        <v>0</v>
      </c>
      <c r="W131">
        <f>IF(Source!BI81&lt;=1,H130, 0)</f>
        <v>2308.09</v>
      </c>
      <c r="X131">
        <f>IF(Source!BI81=2,H130, 0)</f>
        <v>0</v>
      </c>
      <c r="Y131">
        <f>IF(Source!BI81=3,H130, 0)</f>
        <v>0</v>
      </c>
      <c r="Z131">
        <f>IF(Source!BI81=4,H130, 0)</f>
        <v>0</v>
      </c>
    </row>
    <row r="132" spans="1:26" ht="42.75" x14ac:dyDescent="0.2">
      <c r="A132" s="29">
        <v>19</v>
      </c>
      <c r="B132" s="29" t="str">
        <f>Source!F82</f>
        <v>Цена поставщика</v>
      </c>
      <c r="C132" s="29" t="s">
        <v>601</v>
      </c>
      <c r="D132" s="30" t="str">
        <f>Source!H82</f>
        <v>кг</v>
      </c>
      <c r="E132" s="31">
        <f>Source!I82</f>
        <v>495.6</v>
      </c>
      <c r="F132" s="32">
        <f>Source!AL82</f>
        <v>5.08</v>
      </c>
      <c r="G132" s="33" t="str">
        <f>Source!DD82</f>
        <v/>
      </c>
      <c r="H132" s="32">
        <f>ROUND(Source!AC82*Source!I82, 2)</f>
        <v>2517.65</v>
      </c>
      <c r="I132" s="33" t="str">
        <f>Source!BO82</f>
        <v/>
      </c>
      <c r="J132" s="33">
        <f>IF(Source!BC82&lt;&gt; 0, Source!BC82, 1)</f>
        <v>7.99</v>
      </c>
      <c r="K132" s="32">
        <f>Source!P82</f>
        <v>20116.009999999998</v>
      </c>
      <c r="L132" s="55"/>
      <c r="S132">
        <f>ROUND((Source!FX82/100)*((ROUND(Source!AF82*Source!I82, 2)+ROUND(Source!AE82*Source!I82, 2))), 2)</f>
        <v>0</v>
      </c>
      <c r="T132">
        <f>Source!X82</f>
        <v>0</v>
      </c>
      <c r="U132">
        <f>ROUND((Source!FY82/100)*((ROUND(Source!AF82*Source!I82, 2)+ROUND(Source!AE82*Source!I82, 2))), 2)</f>
        <v>0</v>
      </c>
      <c r="V132">
        <f>Source!Y82</f>
        <v>0</v>
      </c>
    </row>
    <row r="133" spans="1:26" ht="15" x14ac:dyDescent="0.25">
      <c r="G133" s="81">
        <f>H132</f>
        <v>2517.65</v>
      </c>
      <c r="H133" s="81"/>
      <c r="J133" s="81">
        <f>K132</f>
        <v>20116.009999999998</v>
      </c>
      <c r="K133" s="81"/>
      <c r="L133" s="54">
        <f>Source!U82</f>
        <v>0</v>
      </c>
      <c r="O133" s="28">
        <f>G133</f>
        <v>2517.65</v>
      </c>
      <c r="P133" s="28">
        <f>J133</f>
        <v>20116.009999999998</v>
      </c>
      <c r="Q133" s="28">
        <f>L133</f>
        <v>0</v>
      </c>
      <c r="W133">
        <f>IF(Source!BI82&lt;=1,H132, 0)</f>
        <v>2517.65</v>
      </c>
      <c r="X133">
        <f>IF(Source!BI82=2,H132, 0)</f>
        <v>0</v>
      </c>
      <c r="Y133">
        <f>IF(Source!BI82=3,H132, 0)</f>
        <v>0</v>
      </c>
      <c r="Z133">
        <f>IF(Source!BI82=4,H132, 0)</f>
        <v>0</v>
      </c>
    </row>
    <row r="134" spans="1:26" ht="28.5" x14ac:dyDescent="0.2">
      <c r="A134" s="21">
        <v>20</v>
      </c>
      <c r="B134" s="21" t="str">
        <f>Source!F83</f>
        <v>08-02-007-03</v>
      </c>
      <c r="C134" s="21" t="str">
        <f>Source!G83</f>
        <v>Установка металлических решеток приямков</v>
      </c>
      <c r="D134" s="23" t="str">
        <f>Source!H83</f>
        <v>т</v>
      </c>
      <c r="E134" s="13">
        <f>Source!I83</f>
        <v>1.4999999999999999E-2</v>
      </c>
      <c r="F134" s="14">
        <f>Source!AL83+Source!AM83+Source!AO83</f>
        <v>1314.04</v>
      </c>
      <c r="G134" s="24"/>
      <c r="H134" s="14"/>
      <c r="I134" s="24" t="str">
        <f>Source!BO83</f>
        <v/>
      </c>
      <c r="J134" s="24"/>
      <c r="K134" s="14"/>
      <c r="L134" s="51"/>
      <c r="S134">
        <f>ROUND((Source!FX83/100)*((ROUND(Source!AF83*Source!I83, 2)+ROUND(Source!AE83*Source!I83, 2))), 2)</f>
        <v>9.24</v>
      </c>
      <c r="T134">
        <f>Source!X83</f>
        <v>258.12</v>
      </c>
      <c r="U134">
        <f>ROUND((Source!FY83/100)*((ROUND(Source!AF83*Source!I83, 2)+ROUND(Source!AE83*Source!I83, 2))), 2)</f>
        <v>4.93</v>
      </c>
      <c r="V134">
        <f>Source!Y83</f>
        <v>137.62</v>
      </c>
    </row>
    <row r="135" spans="1:26" ht="14.25" x14ac:dyDescent="0.2">
      <c r="A135" s="21"/>
      <c r="B135" s="21"/>
      <c r="C135" s="21" t="s">
        <v>627</v>
      </c>
      <c r="D135" s="23"/>
      <c r="E135" s="13"/>
      <c r="F135" s="14">
        <f>Source!AO83</f>
        <v>374.78</v>
      </c>
      <c r="G135" s="24" t="str">
        <f>Source!DG83</f>
        <v>)*1,15)*1,2</v>
      </c>
      <c r="H135" s="14">
        <f>ROUND(Source!AF83*Source!I83, 2)</f>
        <v>7.76</v>
      </c>
      <c r="I135" s="24"/>
      <c r="J135" s="24">
        <f>IF(Source!BA83&lt;&gt; 0, Source!BA83, 1)</f>
        <v>27.94</v>
      </c>
      <c r="K135" s="14">
        <f>Source!S83</f>
        <v>216.76</v>
      </c>
      <c r="L135" s="51"/>
      <c r="R135">
        <f>H135</f>
        <v>7.76</v>
      </c>
    </row>
    <row r="136" spans="1:26" ht="14.25" x14ac:dyDescent="0.2">
      <c r="A136" s="21"/>
      <c r="B136" s="21"/>
      <c r="C136" s="21" t="s">
        <v>92</v>
      </c>
      <c r="D136" s="23"/>
      <c r="E136" s="13"/>
      <c r="F136" s="14">
        <f>Source!AM83</f>
        <v>168.04</v>
      </c>
      <c r="G136" s="24" t="str">
        <f>Source!DE83</f>
        <v>)*1,25)*1,2</v>
      </c>
      <c r="H136" s="14">
        <f>ROUND((((((Source!ET83*1.25)*1.2))-(((Source!EU83*1.25)*1.2)))+Source!AE83)*Source!I83, 2)</f>
        <v>3.78</v>
      </c>
      <c r="I136" s="24"/>
      <c r="J136" s="24">
        <f>IF(Source!BB83&lt;&gt; 0, Source!BB83, 1)</f>
        <v>11.05</v>
      </c>
      <c r="K136" s="14">
        <f>Source!Q83</f>
        <v>41.78</v>
      </c>
      <c r="L136" s="51"/>
    </row>
    <row r="137" spans="1:26" ht="14.25" x14ac:dyDescent="0.2">
      <c r="A137" s="21"/>
      <c r="B137" s="21"/>
      <c r="C137" s="21" t="s">
        <v>628</v>
      </c>
      <c r="D137" s="23"/>
      <c r="E137" s="13"/>
      <c r="F137" s="14">
        <f>Source!AN83</f>
        <v>28.46</v>
      </c>
      <c r="G137" s="24" t="str">
        <f>Source!DF83</f>
        <v>)*1,25)*1,2</v>
      </c>
      <c r="H137" s="25">
        <f>ROUND(Source!AE83*Source!I83, 2)</f>
        <v>0.64</v>
      </c>
      <c r="I137" s="24"/>
      <c r="J137" s="24">
        <f>IF(Source!BS83&lt;&gt; 0, Source!BS83, 1)</f>
        <v>27.94</v>
      </c>
      <c r="K137" s="25">
        <f>Source!R83</f>
        <v>17.89</v>
      </c>
      <c r="L137" s="51"/>
      <c r="R137">
        <f>H137</f>
        <v>0.64</v>
      </c>
    </row>
    <row r="138" spans="1:26" ht="14.25" x14ac:dyDescent="0.2">
      <c r="A138" s="21"/>
      <c r="B138" s="21"/>
      <c r="C138" s="21" t="s">
        <v>630</v>
      </c>
      <c r="D138" s="23"/>
      <c r="E138" s="13"/>
      <c r="F138" s="14">
        <f>Source!AL83</f>
        <v>771.22</v>
      </c>
      <c r="G138" s="24" t="str">
        <f>Source!DD83</f>
        <v/>
      </c>
      <c r="H138" s="14">
        <f>ROUND(Source!AC83*Source!I83, 2)</f>
        <v>11.57</v>
      </c>
      <c r="I138" s="24"/>
      <c r="J138" s="24">
        <f>IF(Source!BC83&lt;&gt; 0, Source!BC83, 1)</f>
        <v>7.99</v>
      </c>
      <c r="K138" s="14">
        <f>Source!P83</f>
        <v>92.43</v>
      </c>
      <c r="L138" s="51"/>
    </row>
    <row r="139" spans="1:26" ht="14.25" x14ac:dyDescent="0.2">
      <c r="A139" s="21"/>
      <c r="B139" s="21"/>
      <c r="C139" s="21" t="s">
        <v>586</v>
      </c>
      <c r="D139" s="23" t="s">
        <v>587</v>
      </c>
      <c r="E139" s="13">
        <f>Source!BZ83</f>
        <v>110</v>
      </c>
      <c r="F139" s="58"/>
      <c r="G139" s="24"/>
      <c r="H139" s="14">
        <f>SUM(S134:S141)</f>
        <v>9.24</v>
      </c>
      <c r="I139" s="52"/>
      <c r="J139" s="22">
        <f>Source!AT83</f>
        <v>110</v>
      </c>
      <c r="K139" s="14">
        <f>SUM(T134:T141)</f>
        <v>258.12</v>
      </c>
      <c r="L139" s="51"/>
    </row>
    <row r="140" spans="1:26" ht="14.25" x14ac:dyDescent="0.2">
      <c r="A140" s="21"/>
      <c r="B140" s="21"/>
      <c r="C140" s="21" t="s">
        <v>588</v>
      </c>
      <c r="D140" s="23" t="s">
        <v>587</v>
      </c>
      <c r="E140" s="13">
        <f>Source!CA83</f>
        <v>69</v>
      </c>
      <c r="F140" s="76" t="str">
        <f>CONCATENATE(" )", Source!DM83, Source!FU83, "=", Source!FY83)</f>
        <v xml:space="preserve"> )*0.85=58,65</v>
      </c>
      <c r="G140" s="73"/>
      <c r="H140" s="14">
        <f>SUM(U134:U141)</f>
        <v>4.93</v>
      </c>
      <c r="I140" s="52"/>
      <c r="J140" s="22">
        <f>Source!AU83</f>
        <v>58.65</v>
      </c>
      <c r="K140" s="14">
        <f>SUM(V134:V141)</f>
        <v>137.62</v>
      </c>
      <c r="L140" s="51"/>
    </row>
    <row r="141" spans="1:26" ht="14.25" x14ac:dyDescent="0.2">
      <c r="A141" s="29"/>
      <c r="B141" s="29"/>
      <c r="C141" s="29" t="s">
        <v>629</v>
      </c>
      <c r="D141" s="30" t="s">
        <v>590</v>
      </c>
      <c r="E141" s="31">
        <f>Source!AQ83</f>
        <v>42.3</v>
      </c>
      <c r="F141" s="32"/>
      <c r="G141" s="33" t="str">
        <f>Source!DI83</f>
        <v>)*1,15)*1,2</v>
      </c>
      <c r="H141" s="32"/>
      <c r="I141" s="33"/>
      <c r="J141" s="33"/>
      <c r="K141" s="32"/>
      <c r="L141" s="53">
        <f>Source!U83</f>
        <v>0.87560999999999989</v>
      </c>
    </row>
    <row r="142" spans="1:26" ht="15" x14ac:dyDescent="0.25">
      <c r="G142" s="81">
        <f>H135+H136+H138+H139+H140</f>
        <v>37.28</v>
      </c>
      <c r="H142" s="81"/>
      <c r="J142" s="81">
        <f>K135+K136+K138+K139+K140</f>
        <v>746.70999999999992</v>
      </c>
      <c r="K142" s="81"/>
      <c r="L142" s="54">
        <f>Source!U83</f>
        <v>0.87560999999999989</v>
      </c>
      <c r="O142" s="28">
        <f>G142</f>
        <v>37.28</v>
      </c>
      <c r="P142" s="28">
        <f>J142</f>
        <v>746.70999999999992</v>
      </c>
      <c r="Q142" s="28">
        <f>L142</f>
        <v>0.87560999999999989</v>
      </c>
      <c r="W142">
        <f>IF(Source!BI83&lt;=1,H135+H136+H138+H139+H140, 0)</f>
        <v>37.28</v>
      </c>
      <c r="X142">
        <f>IF(Source!BI83=2,H135+H136+H138+H139+H140, 0)</f>
        <v>0</v>
      </c>
      <c r="Y142">
        <f>IF(Source!BI83=3,H135+H136+H138+H139+H140, 0)</f>
        <v>0</v>
      </c>
      <c r="Z142">
        <f>IF(Source!BI83=4,H135+H136+H138+H139+H140, 0)</f>
        <v>0</v>
      </c>
    </row>
    <row r="143" spans="1:26" ht="54" x14ac:dyDescent="0.2">
      <c r="A143" s="29">
        <v>21</v>
      </c>
      <c r="B143" s="29" t="str">
        <f>Source!F84</f>
        <v>Цена поставщика</v>
      </c>
      <c r="C143" s="29" t="s">
        <v>602</v>
      </c>
      <c r="D143" s="30" t="str">
        <f>Source!H84</f>
        <v>ШТ</v>
      </c>
      <c r="E143" s="31">
        <f>Source!I84</f>
        <v>3</v>
      </c>
      <c r="F143" s="32">
        <f>Source!AL84</f>
        <v>496.18000000000006</v>
      </c>
      <c r="G143" s="33" t="str">
        <f>Source!DD84</f>
        <v/>
      </c>
      <c r="H143" s="32">
        <f>ROUND(Source!AC84*Source!I84, 2)</f>
        <v>1488.54</v>
      </c>
      <c r="I143" s="33" t="str">
        <f>Source!BO84</f>
        <v/>
      </c>
      <c r="J143" s="33">
        <f>IF(Source!BC84&lt;&gt; 0, Source!BC84, 1)</f>
        <v>7.99</v>
      </c>
      <c r="K143" s="32">
        <f>Source!P84</f>
        <v>11893.43</v>
      </c>
      <c r="L143" s="55"/>
      <c r="S143">
        <f>ROUND((Source!FX84/100)*((ROUND(Source!AF84*Source!I84, 2)+ROUND(Source!AE84*Source!I84, 2))), 2)</f>
        <v>0</v>
      </c>
      <c r="T143">
        <f>Source!X84</f>
        <v>0</v>
      </c>
      <c r="U143">
        <f>ROUND((Source!FY84/100)*((ROUND(Source!AF84*Source!I84, 2)+ROUND(Source!AE84*Source!I84, 2))), 2)</f>
        <v>0</v>
      </c>
      <c r="V143">
        <f>Source!Y84</f>
        <v>0</v>
      </c>
    </row>
    <row r="144" spans="1:26" ht="15" x14ac:dyDescent="0.25">
      <c r="G144" s="81">
        <f>H143</f>
        <v>1488.54</v>
      </c>
      <c r="H144" s="81"/>
      <c r="J144" s="81">
        <f>K143</f>
        <v>11893.43</v>
      </c>
      <c r="K144" s="81"/>
      <c r="L144" s="54">
        <f>Source!U84</f>
        <v>0</v>
      </c>
      <c r="O144" s="28">
        <f>G144</f>
        <v>1488.54</v>
      </c>
      <c r="P144" s="28">
        <f>J144</f>
        <v>11893.43</v>
      </c>
      <c r="Q144" s="28">
        <f>L144</f>
        <v>0</v>
      </c>
      <c r="W144">
        <f>IF(Source!BI84&lt;=1,H143, 0)</f>
        <v>1488.54</v>
      </c>
      <c r="X144">
        <f>IF(Source!BI84=2,H143, 0)</f>
        <v>0</v>
      </c>
      <c r="Y144">
        <f>IF(Source!BI84=3,H143, 0)</f>
        <v>0</v>
      </c>
      <c r="Z144">
        <f>IF(Source!BI84=4,H143, 0)</f>
        <v>0</v>
      </c>
    </row>
    <row r="145" spans="1:26" ht="57" x14ac:dyDescent="0.2">
      <c r="A145" s="21">
        <v>22</v>
      </c>
      <c r="B145" s="21" t="str">
        <f>Source!F85</f>
        <v>58-19-2</v>
      </c>
      <c r="C145" s="21" t="str">
        <f>Source!G85</f>
        <v>Смена мелких покрытий из листовой стали в кровлях из рулонных и штучных материалов: настенных желобов</v>
      </c>
      <c r="D145" s="23" t="str">
        <f>Source!H85</f>
        <v>100 м</v>
      </c>
      <c r="E145" s="13">
        <f>Source!I85</f>
        <v>0.193</v>
      </c>
      <c r="F145" s="14">
        <f>Source!AL85+Source!AM85+Source!AO85</f>
        <v>1479.48</v>
      </c>
      <c r="G145" s="24"/>
      <c r="H145" s="14"/>
      <c r="I145" s="24" t="str">
        <f>Source!BO85</f>
        <v/>
      </c>
      <c r="J145" s="24"/>
      <c r="K145" s="14"/>
      <c r="L145" s="51"/>
      <c r="S145">
        <f>ROUND((Source!FX85/100)*((ROUND(Source!AF85*Source!I85, 2)+ROUND(Source!AE85*Source!I85, 2))), 2)</f>
        <v>123.62</v>
      </c>
      <c r="T145">
        <f>Source!X85</f>
        <v>3453.81</v>
      </c>
      <c r="U145">
        <f>ROUND((Source!FY85/100)*((ROUND(Source!AF85*Source!I85, 2)+ROUND(Source!AE85*Source!I85, 2))), 2)</f>
        <v>63.19</v>
      </c>
      <c r="V145">
        <f>Source!Y85</f>
        <v>1765.28</v>
      </c>
    </row>
    <row r="146" spans="1:26" ht="14.25" x14ac:dyDescent="0.2">
      <c r="A146" s="21"/>
      <c r="B146" s="21"/>
      <c r="C146" s="21" t="s">
        <v>627</v>
      </c>
      <c r="D146" s="23"/>
      <c r="E146" s="13"/>
      <c r="F146" s="14">
        <f>Source!AO85</f>
        <v>708.42</v>
      </c>
      <c r="G146" s="24" t="str">
        <f>Source!DG85</f>
        <v/>
      </c>
      <c r="H146" s="14">
        <f>ROUND(Source!AF85*Source!I85, 2)</f>
        <v>136.72999999999999</v>
      </c>
      <c r="I146" s="24"/>
      <c r="J146" s="24">
        <f>IF(Source!BA85&lt;&gt; 0, Source!BA85, 1)</f>
        <v>27.94</v>
      </c>
      <c r="K146" s="14">
        <f>Source!S85</f>
        <v>3820.1</v>
      </c>
      <c r="L146" s="51"/>
      <c r="R146">
        <f>H146</f>
        <v>136.72999999999999</v>
      </c>
    </row>
    <row r="147" spans="1:26" ht="14.25" x14ac:dyDescent="0.2">
      <c r="A147" s="21"/>
      <c r="B147" s="21"/>
      <c r="C147" s="21" t="s">
        <v>92</v>
      </c>
      <c r="D147" s="23"/>
      <c r="E147" s="13"/>
      <c r="F147" s="14">
        <f>Source!AM85</f>
        <v>10.23</v>
      </c>
      <c r="G147" s="24" t="str">
        <f>Source!DE85</f>
        <v/>
      </c>
      <c r="H147" s="14">
        <f>ROUND((((Source!ET85)-(Source!EU85))+Source!AE85)*Source!I85, 2)</f>
        <v>1.97</v>
      </c>
      <c r="I147" s="24"/>
      <c r="J147" s="24">
        <f>IF(Source!BB85&lt;&gt; 0, Source!BB85, 1)</f>
        <v>11.05</v>
      </c>
      <c r="K147" s="14">
        <f>Source!Q85</f>
        <v>21.82</v>
      </c>
      <c r="L147" s="51"/>
    </row>
    <row r="148" spans="1:26" ht="14.25" x14ac:dyDescent="0.2">
      <c r="A148" s="21"/>
      <c r="B148" s="21"/>
      <c r="C148" s="21" t="s">
        <v>628</v>
      </c>
      <c r="D148" s="23"/>
      <c r="E148" s="13"/>
      <c r="F148" s="14">
        <f>Source!AN85</f>
        <v>3.24</v>
      </c>
      <c r="G148" s="24" t="str">
        <f>Source!DF85</f>
        <v/>
      </c>
      <c r="H148" s="25">
        <f>ROUND(Source!AE85*Source!I85, 2)</f>
        <v>0.63</v>
      </c>
      <c r="I148" s="24"/>
      <c r="J148" s="24">
        <f>IF(Source!BS85&lt;&gt; 0, Source!BS85, 1)</f>
        <v>27.94</v>
      </c>
      <c r="K148" s="25">
        <f>Source!R85</f>
        <v>17.47</v>
      </c>
      <c r="L148" s="51"/>
      <c r="R148">
        <f>H148</f>
        <v>0.63</v>
      </c>
    </row>
    <row r="149" spans="1:26" ht="14.25" x14ac:dyDescent="0.2">
      <c r="A149" s="21"/>
      <c r="B149" s="21"/>
      <c r="C149" s="21" t="s">
        <v>630</v>
      </c>
      <c r="D149" s="23"/>
      <c r="E149" s="13"/>
      <c r="F149" s="14">
        <f>Source!AL85</f>
        <v>760.83</v>
      </c>
      <c r="G149" s="24" t="str">
        <f>Source!DD85</f>
        <v/>
      </c>
      <c r="H149" s="14">
        <f>ROUND(Source!AC85*Source!I85, 2)</f>
        <v>146.84</v>
      </c>
      <c r="I149" s="24"/>
      <c r="J149" s="24">
        <f>IF(Source!BC85&lt;&gt; 0, Source!BC85, 1)</f>
        <v>7.99</v>
      </c>
      <c r="K149" s="14">
        <f>Source!P85</f>
        <v>1173.25</v>
      </c>
      <c r="L149" s="51"/>
    </row>
    <row r="150" spans="1:26" ht="14.25" x14ac:dyDescent="0.2">
      <c r="A150" s="21"/>
      <c r="B150" s="21"/>
      <c r="C150" s="21" t="s">
        <v>586</v>
      </c>
      <c r="D150" s="23" t="s">
        <v>587</v>
      </c>
      <c r="E150" s="13">
        <f>Source!BZ85</f>
        <v>90</v>
      </c>
      <c r="F150" s="58"/>
      <c r="G150" s="24"/>
      <c r="H150" s="14">
        <f>SUM(S145:S152)</f>
        <v>123.62</v>
      </c>
      <c r="I150" s="52"/>
      <c r="J150" s="22">
        <f>Source!AT85</f>
        <v>90</v>
      </c>
      <c r="K150" s="14">
        <f>SUM(T145:T152)</f>
        <v>3453.81</v>
      </c>
      <c r="L150" s="51"/>
    </row>
    <row r="151" spans="1:26" ht="14.25" x14ac:dyDescent="0.2">
      <c r="A151" s="21"/>
      <c r="B151" s="21"/>
      <c r="C151" s="21" t="s">
        <v>588</v>
      </c>
      <c r="D151" s="23" t="s">
        <v>587</v>
      </c>
      <c r="E151" s="13">
        <f>Source!CA85</f>
        <v>46</v>
      </c>
      <c r="F151" s="58"/>
      <c r="G151" s="24"/>
      <c r="H151" s="14">
        <f>SUM(U145:U152)</f>
        <v>63.19</v>
      </c>
      <c r="I151" s="52"/>
      <c r="J151" s="22">
        <f>Source!AU85</f>
        <v>46</v>
      </c>
      <c r="K151" s="14">
        <f>SUM(V145:V152)</f>
        <v>1765.28</v>
      </c>
      <c r="L151" s="51"/>
    </row>
    <row r="152" spans="1:26" ht="14.25" x14ac:dyDescent="0.2">
      <c r="A152" s="29"/>
      <c r="B152" s="29"/>
      <c r="C152" s="29" t="s">
        <v>629</v>
      </c>
      <c r="D152" s="30" t="s">
        <v>590</v>
      </c>
      <c r="E152" s="31">
        <f>Source!AQ85</f>
        <v>86.71</v>
      </c>
      <c r="F152" s="32"/>
      <c r="G152" s="33" t="str">
        <f>Source!DI85</f>
        <v/>
      </c>
      <c r="H152" s="32"/>
      <c r="I152" s="33"/>
      <c r="J152" s="33"/>
      <c r="K152" s="32"/>
      <c r="L152" s="53">
        <f>Source!U85</f>
        <v>16.735029999999998</v>
      </c>
    </row>
    <row r="153" spans="1:26" ht="15" x14ac:dyDescent="0.25">
      <c r="G153" s="81">
        <f>H146+H147+H149+H150+H151</f>
        <v>472.34999999999997</v>
      </c>
      <c r="H153" s="81"/>
      <c r="J153" s="81">
        <f>K146+K147+K149+K150+K151</f>
        <v>10234.26</v>
      </c>
      <c r="K153" s="81"/>
      <c r="L153" s="54">
        <f>Source!U85</f>
        <v>16.735029999999998</v>
      </c>
      <c r="O153" s="28">
        <f>G153</f>
        <v>472.34999999999997</v>
      </c>
      <c r="P153" s="28">
        <f>J153</f>
        <v>10234.26</v>
      </c>
      <c r="Q153" s="28">
        <f>L153</f>
        <v>16.735029999999998</v>
      </c>
      <c r="W153">
        <f>IF(Source!BI85&lt;=1,H146+H147+H149+H150+H151, 0)</f>
        <v>472.34999999999997</v>
      </c>
      <c r="X153">
        <f>IF(Source!BI85=2,H146+H147+H149+H150+H151, 0)</f>
        <v>0</v>
      </c>
      <c r="Y153">
        <f>IF(Source!BI85=3,H146+H147+H149+H150+H151, 0)</f>
        <v>0</v>
      </c>
      <c r="Z153">
        <f>IF(Source!BI85=4,H146+H147+H149+H150+H151, 0)</f>
        <v>0</v>
      </c>
    </row>
    <row r="154" spans="1:26" ht="54" x14ac:dyDescent="0.2">
      <c r="A154" s="29">
        <v>23</v>
      </c>
      <c r="B154" s="29" t="str">
        <f>Source!F86</f>
        <v>Цена поставщика</v>
      </c>
      <c r="C154" s="29" t="s">
        <v>603</v>
      </c>
      <c r="D154" s="30" t="str">
        <f>Source!H86</f>
        <v>м</v>
      </c>
      <c r="E154" s="31">
        <f>Source!I86</f>
        <v>19.3</v>
      </c>
      <c r="F154" s="32">
        <f>Source!AL86</f>
        <v>27.03</v>
      </c>
      <c r="G154" s="33" t="str">
        <f>Source!DD86</f>
        <v/>
      </c>
      <c r="H154" s="32">
        <f>ROUND(Source!AC86*Source!I86, 2)</f>
        <v>521.67999999999995</v>
      </c>
      <c r="I154" s="33" t="str">
        <f>Source!BO86</f>
        <v/>
      </c>
      <c r="J154" s="33">
        <f>IF(Source!BC86&lt;&gt; 0, Source!BC86, 1)</f>
        <v>7.99</v>
      </c>
      <c r="K154" s="32">
        <f>Source!P86</f>
        <v>4168.22</v>
      </c>
      <c r="L154" s="55"/>
      <c r="S154">
        <f>ROUND((Source!FX86/100)*((ROUND(Source!AF86*Source!I86, 2)+ROUND(Source!AE86*Source!I86, 2))), 2)</f>
        <v>0</v>
      </c>
      <c r="T154">
        <f>Source!X86</f>
        <v>0</v>
      </c>
      <c r="U154">
        <f>ROUND((Source!FY86/100)*((ROUND(Source!AF86*Source!I86, 2)+ROUND(Source!AE86*Source!I86, 2))), 2)</f>
        <v>0</v>
      </c>
      <c r="V154">
        <f>Source!Y86</f>
        <v>0</v>
      </c>
    </row>
    <row r="155" spans="1:26" ht="15" x14ac:dyDescent="0.25">
      <c r="G155" s="81">
        <f>H154</f>
        <v>521.67999999999995</v>
      </c>
      <c r="H155" s="81"/>
      <c r="J155" s="81">
        <f>K154</f>
        <v>4168.22</v>
      </c>
      <c r="K155" s="81"/>
      <c r="L155" s="54">
        <f>Source!U86</f>
        <v>0</v>
      </c>
      <c r="O155" s="28">
        <f>G155</f>
        <v>521.67999999999995</v>
      </c>
      <c r="P155" s="28">
        <f>J155</f>
        <v>4168.22</v>
      </c>
      <c r="Q155" s="28">
        <f>L155</f>
        <v>0</v>
      </c>
      <c r="W155">
        <f>IF(Source!BI86&lt;=1,H154, 0)</f>
        <v>521.67999999999995</v>
      </c>
      <c r="X155">
        <f>IF(Source!BI86=2,H154, 0)</f>
        <v>0</v>
      </c>
      <c r="Y155">
        <f>IF(Source!BI86=3,H154, 0)</f>
        <v>0</v>
      </c>
      <c r="Z155">
        <f>IF(Source!BI86=4,H154, 0)</f>
        <v>0</v>
      </c>
    </row>
    <row r="156" spans="1:26" ht="42.75" x14ac:dyDescent="0.2">
      <c r="A156" s="29">
        <v>24</v>
      </c>
      <c r="B156" s="29" t="str">
        <f>Source!F87</f>
        <v>Цена поставщика</v>
      </c>
      <c r="C156" s="29" t="s">
        <v>604</v>
      </c>
      <c r="D156" s="30" t="str">
        <f>Source!H87</f>
        <v>ШТ</v>
      </c>
      <c r="E156" s="31">
        <f>Source!I87</f>
        <v>2</v>
      </c>
      <c r="F156" s="32">
        <f>Source!AL87</f>
        <v>9.2799999999999994</v>
      </c>
      <c r="G156" s="33" t="str">
        <f>Source!DD87</f>
        <v/>
      </c>
      <c r="H156" s="32">
        <f>ROUND(Source!AC87*Source!I87, 2)</f>
        <v>18.559999999999999</v>
      </c>
      <c r="I156" s="33" t="str">
        <f>Source!BO87</f>
        <v/>
      </c>
      <c r="J156" s="33">
        <f>IF(Source!BC87&lt;&gt; 0, Source!BC87, 1)</f>
        <v>7.99</v>
      </c>
      <c r="K156" s="32">
        <f>Source!P87</f>
        <v>148.29</v>
      </c>
      <c r="L156" s="55"/>
      <c r="S156">
        <f>ROUND((Source!FX87/100)*((ROUND(Source!AF87*Source!I87, 2)+ROUND(Source!AE87*Source!I87, 2))), 2)</f>
        <v>0</v>
      </c>
      <c r="T156">
        <f>Source!X87</f>
        <v>0</v>
      </c>
      <c r="U156">
        <f>ROUND((Source!FY87/100)*((ROUND(Source!AF87*Source!I87, 2)+ROUND(Source!AE87*Source!I87, 2))), 2)</f>
        <v>0</v>
      </c>
      <c r="V156">
        <f>Source!Y87</f>
        <v>0</v>
      </c>
    </row>
    <row r="157" spans="1:26" ht="15" x14ac:dyDescent="0.25">
      <c r="G157" s="81">
        <f>H156</f>
        <v>18.559999999999999</v>
      </c>
      <c r="H157" s="81"/>
      <c r="J157" s="81">
        <f>K156</f>
        <v>148.29</v>
      </c>
      <c r="K157" s="81"/>
      <c r="L157" s="54">
        <f>Source!U87</f>
        <v>0</v>
      </c>
      <c r="O157" s="28">
        <f>G157</f>
        <v>18.559999999999999</v>
      </c>
      <c r="P157" s="28">
        <f>J157</f>
        <v>148.29</v>
      </c>
      <c r="Q157" s="28">
        <f>L157</f>
        <v>0</v>
      </c>
      <c r="W157">
        <f>IF(Source!BI87&lt;=1,H156, 0)</f>
        <v>18.559999999999999</v>
      </c>
      <c r="X157">
        <f>IF(Source!BI87=2,H156, 0)</f>
        <v>0</v>
      </c>
      <c r="Y157">
        <f>IF(Source!BI87=3,H156, 0)</f>
        <v>0</v>
      </c>
      <c r="Z157">
        <f>IF(Source!BI87=4,H156, 0)</f>
        <v>0</v>
      </c>
    </row>
    <row r="158" spans="1:26" ht="28.5" x14ac:dyDescent="0.2">
      <c r="A158" s="21">
        <v>25</v>
      </c>
      <c r="B158" s="21" t="str">
        <f>Source!F88</f>
        <v>58-10-1</v>
      </c>
      <c r="C158" s="21" t="str">
        <f>Source!G88</f>
        <v>Смена: прямых звеньев водосточных труб с земли, лестниц или подмостей</v>
      </c>
      <c r="D158" s="23" t="str">
        <f>Source!H88</f>
        <v>100 м</v>
      </c>
      <c r="E158" s="13">
        <f>Source!I88</f>
        <v>0.14000000000000001</v>
      </c>
      <c r="F158" s="14">
        <f>Source!AL88+Source!AM88+Source!AO88</f>
        <v>324.66999999999996</v>
      </c>
      <c r="G158" s="24"/>
      <c r="H158" s="14"/>
      <c r="I158" s="24" t="str">
        <f>Source!BO88</f>
        <v/>
      </c>
      <c r="J158" s="24"/>
      <c r="K158" s="14"/>
      <c r="L158" s="51"/>
      <c r="S158">
        <f>ROUND((Source!FX88/100)*((ROUND(Source!AF88*Source!I88, 2)+ROUND(Source!AE88*Source!I88, 2))), 2)</f>
        <v>39.74</v>
      </c>
      <c r="T158">
        <f>Source!X88</f>
        <v>1110.3800000000001</v>
      </c>
      <c r="U158">
        <f>ROUND((Source!FY88/100)*((ROUND(Source!AF88*Source!I88, 2)+ROUND(Source!AE88*Source!I88, 2))), 2)</f>
        <v>20.309999999999999</v>
      </c>
      <c r="V158">
        <f>Source!Y88</f>
        <v>567.53</v>
      </c>
    </row>
    <row r="159" spans="1:26" x14ac:dyDescent="0.2">
      <c r="C159" s="34" t="str">
        <f>"Объем: "&amp;Source!I88&amp;"=14/"&amp;"100"</f>
        <v>Объем: 0,14=14/100</v>
      </c>
    </row>
    <row r="160" spans="1:26" ht="14.25" x14ac:dyDescent="0.2">
      <c r="A160" s="21"/>
      <c r="B160" s="21"/>
      <c r="C160" s="21" t="s">
        <v>627</v>
      </c>
      <c r="D160" s="23"/>
      <c r="E160" s="13"/>
      <c r="F160" s="14">
        <f>Source!AO88</f>
        <v>313.89999999999998</v>
      </c>
      <c r="G160" s="24" t="str">
        <f>Source!DG88</f>
        <v/>
      </c>
      <c r="H160" s="14">
        <f>ROUND(Source!AF88*Source!I88, 2)</f>
        <v>43.95</v>
      </c>
      <c r="I160" s="24"/>
      <c r="J160" s="24">
        <f>IF(Source!BA88&lt;&gt; 0, Source!BA88, 1)</f>
        <v>27.94</v>
      </c>
      <c r="K160" s="14">
        <f>Source!S88</f>
        <v>1227.8499999999999</v>
      </c>
      <c r="L160" s="51"/>
      <c r="R160">
        <f>H160</f>
        <v>43.95</v>
      </c>
    </row>
    <row r="161" spans="1:26" ht="14.25" x14ac:dyDescent="0.2">
      <c r="A161" s="21"/>
      <c r="B161" s="21"/>
      <c r="C161" s="21" t="s">
        <v>92</v>
      </c>
      <c r="D161" s="23"/>
      <c r="E161" s="13"/>
      <c r="F161" s="14">
        <f>Source!AM88</f>
        <v>8.5399999999999991</v>
      </c>
      <c r="G161" s="24" t="str">
        <f>Source!DE88</f>
        <v/>
      </c>
      <c r="H161" s="14">
        <f>ROUND((((Source!ET88)-(Source!EU88))+Source!AE88)*Source!I88, 2)</f>
        <v>1.2</v>
      </c>
      <c r="I161" s="24"/>
      <c r="J161" s="24">
        <f>IF(Source!BB88&lt;&gt; 0, Source!BB88, 1)</f>
        <v>11.05</v>
      </c>
      <c r="K161" s="14">
        <f>Source!Q88</f>
        <v>13.21</v>
      </c>
      <c r="L161" s="51"/>
    </row>
    <row r="162" spans="1:26" ht="14.25" x14ac:dyDescent="0.2">
      <c r="A162" s="21"/>
      <c r="B162" s="21"/>
      <c r="C162" s="21" t="s">
        <v>628</v>
      </c>
      <c r="D162" s="23"/>
      <c r="E162" s="13"/>
      <c r="F162" s="14">
        <f>Source!AN88</f>
        <v>1.51</v>
      </c>
      <c r="G162" s="24" t="str">
        <f>Source!DF88</f>
        <v/>
      </c>
      <c r="H162" s="25">
        <f>ROUND(Source!AE88*Source!I88, 2)</f>
        <v>0.21</v>
      </c>
      <c r="I162" s="24"/>
      <c r="J162" s="24">
        <f>IF(Source!BS88&lt;&gt; 0, Source!BS88, 1)</f>
        <v>27.94</v>
      </c>
      <c r="K162" s="25">
        <f>Source!R88</f>
        <v>5.91</v>
      </c>
      <c r="L162" s="51"/>
      <c r="R162">
        <f>H162</f>
        <v>0.21</v>
      </c>
    </row>
    <row r="163" spans="1:26" ht="14.25" x14ac:dyDescent="0.2">
      <c r="A163" s="21"/>
      <c r="B163" s="21"/>
      <c r="C163" s="21" t="s">
        <v>630</v>
      </c>
      <c r="D163" s="23"/>
      <c r="E163" s="13"/>
      <c r="F163" s="14">
        <f>Source!AL88</f>
        <v>2.23</v>
      </c>
      <c r="G163" s="24" t="str">
        <f>Source!DD88</f>
        <v/>
      </c>
      <c r="H163" s="14">
        <f>ROUND(Source!AC88*Source!I88, 2)</f>
        <v>0.31</v>
      </c>
      <c r="I163" s="24"/>
      <c r="J163" s="24">
        <f>IF(Source!BC88&lt;&gt; 0, Source!BC88, 1)</f>
        <v>7.99</v>
      </c>
      <c r="K163" s="14">
        <f>Source!P88</f>
        <v>2.4900000000000002</v>
      </c>
      <c r="L163" s="51"/>
    </row>
    <row r="164" spans="1:26" ht="14.25" x14ac:dyDescent="0.2">
      <c r="A164" s="21"/>
      <c r="B164" s="21"/>
      <c r="C164" s="21" t="s">
        <v>586</v>
      </c>
      <c r="D164" s="23" t="s">
        <v>587</v>
      </c>
      <c r="E164" s="13">
        <f>Source!BZ88</f>
        <v>90</v>
      </c>
      <c r="F164" s="58"/>
      <c r="G164" s="24"/>
      <c r="H164" s="14">
        <f>SUM(S158:S166)</f>
        <v>39.74</v>
      </c>
      <c r="I164" s="52"/>
      <c r="J164" s="22">
        <f>Source!AT88</f>
        <v>90</v>
      </c>
      <c r="K164" s="14">
        <f>SUM(T158:T166)</f>
        <v>1110.3800000000001</v>
      </c>
      <c r="L164" s="51"/>
    </row>
    <row r="165" spans="1:26" ht="14.25" x14ac:dyDescent="0.2">
      <c r="A165" s="21"/>
      <c r="B165" s="21"/>
      <c r="C165" s="21" t="s">
        <v>588</v>
      </c>
      <c r="D165" s="23" t="s">
        <v>587</v>
      </c>
      <c r="E165" s="13">
        <f>Source!CA88</f>
        <v>46</v>
      </c>
      <c r="F165" s="58"/>
      <c r="G165" s="24"/>
      <c r="H165" s="14">
        <f>SUM(U158:U166)</f>
        <v>20.309999999999999</v>
      </c>
      <c r="I165" s="52"/>
      <c r="J165" s="22">
        <f>Source!AU88</f>
        <v>46</v>
      </c>
      <c r="K165" s="14">
        <f>SUM(V158:V166)</f>
        <v>567.53</v>
      </c>
      <c r="L165" s="51"/>
    </row>
    <row r="166" spans="1:26" ht="14.25" x14ac:dyDescent="0.2">
      <c r="A166" s="29"/>
      <c r="B166" s="29"/>
      <c r="C166" s="29" t="s">
        <v>629</v>
      </c>
      <c r="D166" s="30" t="s">
        <v>590</v>
      </c>
      <c r="E166" s="31">
        <f>Source!AQ88</f>
        <v>36.799999999999997</v>
      </c>
      <c r="F166" s="32"/>
      <c r="G166" s="33" t="str">
        <f>Source!DI88</f>
        <v/>
      </c>
      <c r="H166" s="32"/>
      <c r="I166" s="33"/>
      <c r="J166" s="33"/>
      <c r="K166" s="32"/>
      <c r="L166" s="53">
        <f>Source!U88</f>
        <v>5.1520000000000001</v>
      </c>
    </row>
    <row r="167" spans="1:26" ht="15" x14ac:dyDescent="0.25">
      <c r="G167" s="81">
        <f>H160+H161+H163+H164+H165</f>
        <v>105.51000000000002</v>
      </c>
      <c r="H167" s="81"/>
      <c r="J167" s="81">
        <f>K160+K161+K163+K164+K165</f>
        <v>2921.46</v>
      </c>
      <c r="K167" s="81"/>
      <c r="L167" s="54">
        <f>Source!U88</f>
        <v>5.1520000000000001</v>
      </c>
      <c r="O167" s="28">
        <f>G167</f>
        <v>105.51000000000002</v>
      </c>
      <c r="P167" s="28">
        <f>J167</f>
        <v>2921.46</v>
      </c>
      <c r="Q167" s="28">
        <f>L167</f>
        <v>5.1520000000000001</v>
      </c>
      <c r="W167">
        <f>IF(Source!BI88&lt;=1,H160+H161+H163+H164+H165, 0)</f>
        <v>105.51000000000002</v>
      </c>
      <c r="X167">
        <f>IF(Source!BI88=2,H160+H161+H163+H164+H165, 0)</f>
        <v>0</v>
      </c>
      <c r="Y167">
        <f>IF(Source!BI88=3,H160+H161+H163+H164+H165, 0)</f>
        <v>0</v>
      </c>
      <c r="Z167">
        <f>IF(Source!BI88=4,H160+H161+H163+H164+H165, 0)</f>
        <v>0</v>
      </c>
    </row>
    <row r="168" spans="1:26" ht="54" x14ac:dyDescent="0.2">
      <c r="A168" s="29">
        <v>26</v>
      </c>
      <c r="B168" s="29" t="str">
        <f>Source!F89</f>
        <v>Цена поставщика</v>
      </c>
      <c r="C168" s="29" t="s">
        <v>605</v>
      </c>
      <c r="D168" s="30" t="str">
        <f>Source!H89</f>
        <v>м</v>
      </c>
      <c r="E168" s="31">
        <f>Source!I89</f>
        <v>16.03</v>
      </c>
      <c r="F168" s="32">
        <f>Source!AL89</f>
        <v>35.01</v>
      </c>
      <c r="G168" s="33" t="str">
        <f>Source!DD89</f>
        <v/>
      </c>
      <c r="H168" s="32">
        <f>ROUND(Source!AC89*Source!I89, 2)</f>
        <v>561.21</v>
      </c>
      <c r="I168" s="33" t="str">
        <f>Source!BO89</f>
        <v/>
      </c>
      <c r="J168" s="33">
        <f>IF(Source!BC89&lt;&gt; 0, Source!BC89, 1)</f>
        <v>7.99</v>
      </c>
      <c r="K168" s="32">
        <f>Source!P89</f>
        <v>4484.07</v>
      </c>
      <c r="L168" s="55"/>
      <c r="S168">
        <f>ROUND((Source!FX89/100)*((ROUND(Source!AF89*Source!I89, 2)+ROUND(Source!AE89*Source!I89, 2))), 2)</f>
        <v>0</v>
      </c>
      <c r="T168">
        <f>Source!X89</f>
        <v>0</v>
      </c>
      <c r="U168">
        <f>ROUND((Source!FY89/100)*((ROUND(Source!AF89*Source!I89, 2)+ROUND(Source!AE89*Source!I89, 2))), 2)</f>
        <v>0</v>
      </c>
      <c r="V168">
        <f>Source!Y89</f>
        <v>0</v>
      </c>
    </row>
    <row r="169" spans="1:26" ht="15" x14ac:dyDescent="0.25">
      <c r="G169" s="81">
        <f>H168</f>
        <v>561.21</v>
      </c>
      <c r="H169" s="81"/>
      <c r="J169" s="81">
        <f>K168</f>
        <v>4484.07</v>
      </c>
      <c r="K169" s="81"/>
      <c r="L169" s="54">
        <f>Source!U89</f>
        <v>0</v>
      </c>
      <c r="O169" s="28">
        <f>G169</f>
        <v>561.21</v>
      </c>
      <c r="P169" s="28">
        <f>J169</f>
        <v>4484.07</v>
      </c>
      <c r="Q169" s="28">
        <f>L169</f>
        <v>0</v>
      </c>
      <c r="W169">
        <f>IF(Source!BI89&lt;=1,H168, 0)</f>
        <v>561.21</v>
      </c>
      <c r="X169">
        <f>IF(Source!BI89=2,H168, 0)</f>
        <v>0</v>
      </c>
      <c r="Y169">
        <f>IF(Source!BI89=3,H168, 0)</f>
        <v>0</v>
      </c>
      <c r="Z169">
        <f>IF(Source!BI89=4,H168, 0)</f>
        <v>0</v>
      </c>
    </row>
    <row r="170" spans="1:26" ht="28.5" x14ac:dyDescent="0.2">
      <c r="A170" s="21">
        <v>27</v>
      </c>
      <c r="B170" s="21" t="str">
        <f>Source!F90</f>
        <v>58-10-3</v>
      </c>
      <c r="C170" s="21" t="str">
        <f>Source!G90</f>
        <v>Смена: колен водосточных труб с земли, лестниц и подмостей</v>
      </c>
      <c r="D170" s="23" t="str">
        <f>Source!H90</f>
        <v>100 ШТ</v>
      </c>
      <c r="E170" s="13">
        <f>Source!I90</f>
        <v>0.04</v>
      </c>
      <c r="F170" s="14">
        <f>Source!AL90+Source!AM90+Source!AO90</f>
        <v>628</v>
      </c>
      <c r="G170" s="24"/>
      <c r="H170" s="14"/>
      <c r="I170" s="24" t="str">
        <f>Source!BO90</f>
        <v/>
      </c>
      <c r="J170" s="24"/>
      <c r="K170" s="14"/>
      <c r="L170" s="51"/>
      <c r="S170">
        <f>ROUND((Source!FX90/100)*((ROUND(Source!AF90*Source!I90, 2)+ROUND(Source!AE90*Source!I90, 2))), 2)</f>
        <v>16.5</v>
      </c>
      <c r="T170">
        <f>Source!X90</f>
        <v>460.82</v>
      </c>
      <c r="U170">
        <f>ROUND((Source!FY90/100)*((ROUND(Source!AF90*Source!I90, 2)+ROUND(Source!AE90*Source!I90, 2))), 2)</f>
        <v>8.43</v>
      </c>
      <c r="V170">
        <f>Source!Y90</f>
        <v>235.53</v>
      </c>
    </row>
    <row r="171" spans="1:26" x14ac:dyDescent="0.2">
      <c r="C171" s="34" t="str">
        <f>"Объем: "&amp;Source!I90&amp;"=4/"&amp;"100"</f>
        <v>Объем: 0,04=4/100</v>
      </c>
    </row>
    <row r="172" spans="1:26" ht="14.25" x14ac:dyDescent="0.2">
      <c r="A172" s="21"/>
      <c r="B172" s="21"/>
      <c r="C172" s="21" t="s">
        <v>627</v>
      </c>
      <c r="D172" s="23"/>
      <c r="E172" s="13"/>
      <c r="F172" s="14">
        <f>Source!AO90</f>
        <v>457.21</v>
      </c>
      <c r="G172" s="24" t="str">
        <f>Source!DG90</f>
        <v/>
      </c>
      <c r="H172" s="14">
        <f>ROUND(Source!AF90*Source!I90, 2)</f>
        <v>18.29</v>
      </c>
      <c r="I172" s="24"/>
      <c r="J172" s="24">
        <f>IF(Source!BA90&lt;&gt; 0, Source!BA90, 1)</f>
        <v>27.94</v>
      </c>
      <c r="K172" s="14">
        <f>Source!S90</f>
        <v>510.98</v>
      </c>
      <c r="L172" s="51"/>
      <c r="R172">
        <f>H172</f>
        <v>18.29</v>
      </c>
    </row>
    <row r="173" spans="1:26" ht="14.25" x14ac:dyDescent="0.2">
      <c r="A173" s="21"/>
      <c r="B173" s="21"/>
      <c r="C173" s="21" t="s">
        <v>92</v>
      </c>
      <c r="D173" s="23"/>
      <c r="E173" s="13"/>
      <c r="F173" s="14">
        <f>Source!AM90</f>
        <v>5.26</v>
      </c>
      <c r="G173" s="24" t="str">
        <f>Source!DE90</f>
        <v/>
      </c>
      <c r="H173" s="14">
        <f>ROUND((((Source!ET90)-(Source!EU90))+Source!AE90)*Source!I90, 2)</f>
        <v>0.21</v>
      </c>
      <c r="I173" s="24"/>
      <c r="J173" s="24">
        <f>IF(Source!BB90&lt;&gt; 0, Source!BB90, 1)</f>
        <v>11.05</v>
      </c>
      <c r="K173" s="14">
        <f>Source!Q90</f>
        <v>2.3199999999999998</v>
      </c>
      <c r="L173" s="51"/>
    </row>
    <row r="174" spans="1:26" ht="14.25" x14ac:dyDescent="0.2">
      <c r="A174" s="21"/>
      <c r="B174" s="21"/>
      <c r="C174" s="21" t="s">
        <v>628</v>
      </c>
      <c r="D174" s="23"/>
      <c r="E174" s="13"/>
      <c r="F174" s="14">
        <f>Source!AN90</f>
        <v>0.93</v>
      </c>
      <c r="G174" s="24" t="str">
        <f>Source!DF90</f>
        <v/>
      </c>
      <c r="H174" s="25">
        <f>ROUND(Source!AE90*Source!I90, 2)</f>
        <v>0.04</v>
      </c>
      <c r="I174" s="24"/>
      <c r="J174" s="24">
        <f>IF(Source!BS90&lt;&gt; 0, Source!BS90, 1)</f>
        <v>27.94</v>
      </c>
      <c r="K174" s="25">
        <f>Source!R90</f>
        <v>1.04</v>
      </c>
      <c r="L174" s="51"/>
      <c r="R174">
        <f>H174</f>
        <v>0.04</v>
      </c>
    </row>
    <row r="175" spans="1:26" ht="14.25" x14ac:dyDescent="0.2">
      <c r="A175" s="21"/>
      <c r="B175" s="21"/>
      <c r="C175" s="21" t="s">
        <v>630</v>
      </c>
      <c r="D175" s="23"/>
      <c r="E175" s="13"/>
      <c r="F175" s="14">
        <f>Source!AL90</f>
        <v>165.53</v>
      </c>
      <c r="G175" s="24" t="str">
        <f>Source!DD90</f>
        <v/>
      </c>
      <c r="H175" s="14">
        <f>ROUND(Source!AC90*Source!I90, 2)</f>
        <v>6.62</v>
      </c>
      <c r="I175" s="24"/>
      <c r="J175" s="24">
        <f>IF(Source!BC90&lt;&gt; 0, Source!BC90, 1)</f>
        <v>7.99</v>
      </c>
      <c r="K175" s="14">
        <f>Source!P90</f>
        <v>52.9</v>
      </c>
      <c r="L175" s="51"/>
    </row>
    <row r="176" spans="1:26" ht="14.25" x14ac:dyDescent="0.2">
      <c r="A176" s="21"/>
      <c r="B176" s="21"/>
      <c r="C176" s="21" t="s">
        <v>586</v>
      </c>
      <c r="D176" s="23" t="s">
        <v>587</v>
      </c>
      <c r="E176" s="13">
        <f>Source!BZ90</f>
        <v>90</v>
      </c>
      <c r="F176" s="58"/>
      <c r="G176" s="24"/>
      <c r="H176" s="14">
        <f>SUM(S170:S178)</f>
        <v>16.5</v>
      </c>
      <c r="I176" s="52"/>
      <c r="J176" s="22">
        <f>Source!AT90</f>
        <v>90</v>
      </c>
      <c r="K176" s="14">
        <f>SUM(T170:T178)</f>
        <v>460.82</v>
      </c>
      <c r="L176" s="51"/>
    </row>
    <row r="177" spans="1:26" ht="14.25" x14ac:dyDescent="0.2">
      <c r="A177" s="21"/>
      <c r="B177" s="21"/>
      <c r="C177" s="21" t="s">
        <v>588</v>
      </c>
      <c r="D177" s="23" t="s">
        <v>587</v>
      </c>
      <c r="E177" s="13">
        <f>Source!CA90</f>
        <v>46</v>
      </c>
      <c r="F177" s="58"/>
      <c r="G177" s="24"/>
      <c r="H177" s="14">
        <f>SUM(U170:U178)</f>
        <v>8.43</v>
      </c>
      <c r="I177" s="52"/>
      <c r="J177" s="22">
        <f>Source!AU90</f>
        <v>46</v>
      </c>
      <c r="K177" s="14">
        <f>SUM(V170:V178)</f>
        <v>235.53</v>
      </c>
      <c r="L177" s="51"/>
    </row>
    <row r="178" spans="1:26" ht="14.25" x14ac:dyDescent="0.2">
      <c r="A178" s="29"/>
      <c r="B178" s="29"/>
      <c r="C178" s="29" t="s">
        <v>629</v>
      </c>
      <c r="D178" s="30" t="s">
        <v>590</v>
      </c>
      <c r="E178" s="31">
        <f>Source!AQ90</f>
        <v>53.6</v>
      </c>
      <c r="F178" s="32"/>
      <c r="G178" s="33" t="str">
        <f>Source!DI90</f>
        <v/>
      </c>
      <c r="H178" s="32"/>
      <c r="I178" s="33"/>
      <c r="J178" s="33"/>
      <c r="K178" s="32"/>
      <c r="L178" s="53">
        <f>Source!U90</f>
        <v>2.1440000000000001</v>
      </c>
    </row>
    <row r="179" spans="1:26" ht="15" x14ac:dyDescent="0.25">
      <c r="G179" s="81">
        <f>H172+H173+H175+H176+H177</f>
        <v>50.050000000000004</v>
      </c>
      <c r="H179" s="81"/>
      <c r="J179" s="81">
        <f>K172+K173+K175+K176+K177</f>
        <v>1262.55</v>
      </c>
      <c r="K179" s="81"/>
      <c r="L179" s="54">
        <f>Source!U90</f>
        <v>2.1440000000000001</v>
      </c>
      <c r="O179" s="28">
        <f>G179</f>
        <v>50.050000000000004</v>
      </c>
      <c r="P179" s="28">
        <f>J179</f>
        <v>1262.55</v>
      </c>
      <c r="Q179" s="28">
        <f>L179</f>
        <v>2.1440000000000001</v>
      </c>
      <c r="W179">
        <f>IF(Source!BI90&lt;=1,H172+H173+H175+H176+H177, 0)</f>
        <v>50.050000000000004</v>
      </c>
      <c r="X179">
        <f>IF(Source!BI90=2,H172+H173+H175+H176+H177, 0)</f>
        <v>0</v>
      </c>
      <c r="Y179">
        <f>IF(Source!BI90=3,H172+H173+H175+H176+H177, 0)</f>
        <v>0</v>
      </c>
      <c r="Z179">
        <f>IF(Source!BI90=4,H172+H173+H175+H176+H177, 0)</f>
        <v>0</v>
      </c>
    </row>
    <row r="180" spans="1:26" ht="54" x14ac:dyDescent="0.2">
      <c r="A180" s="29">
        <v>28</v>
      </c>
      <c r="B180" s="29" t="str">
        <f>Source!F91</f>
        <v>Цена поставщика</v>
      </c>
      <c r="C180" s="29" t="s">
        <v>606</v>
      </c>
      <c r="D180" s="30" t="str">
        <f>Source!H91</f>
        <v>ШТ</v>
      </c>
      <c r="E180" s="31">
        <f>Source!I91</f>
        <v>4</v>
      </c>
      <c r="F180" s="32">
        <f>Source!AL91</f>
        <v>9.2899999999999991</v>
      </c>
      <c r="G180" s="33" t="str">
        <f>Source!DD91</f>
        <v/>
      </c>
      <c r="H180" s="32">
        <f>ROUND(Source!AC91*Source!I91, 2)</f>
        <v>37.159999999999997</v>
      </c>
      <c r="I180" s="33" t="str">
        <f>Source!BO91</f>
        <v/>
      </c>
      <c r="J180" s="33">
        <f>IF(Source!BC91&lt;&gt; 0, Source!BC91, 1)</f>
        <v>7.99</v>
      </c>
      <c r="K180" s="32">
        <f>Source!P91</f>
        <v>296.91000000000003</v>
      </c>
      <c r="L180" s="55"/>
      <c r="S180">
        <f>ROUND((Source!FX91/100)*((ROUND(Source!AF91*Source!I91, 2)+ROUND(Source!AE91*Source!I91, 2))), 2)</f>
        <v>0</v>
      </c>
      <c r="T180">
        <f>Source!X91</f>
        <v>0</v>
      </c>
      <c r="U180">
        <f>ROUND((Source!FY91/100)*((ROUND(Source!AF91*Source!I91, 2)+ROUND(Source!AE91*Source!I91, 2))), 2)</f>
        <v>0</v>
      </c>
      <c r="V180">
        <f>Source!Y91</f>
        <v>0</v>
      </c>
    </row>
    <row r="181" spans="1:26" ht="15" x14ac:dyDescent="0.25">
      <c r="G181" s="81">
        <f>H180</f>
        <v>37.159999999999997</v>
      </c>
      <c r="H181" s="81"/>
      <c r="J181" s="81">
        <f>K180</f>
        <v>296.91000000000003</v>
      </c>
      <c r="K181" s="81"/>
      <c r="L181" s="54">
        <f>Source!U91</f>
        <v>0</v>
      </c>
      <c r="O181" s="28">
        <f>G181</f>
        <v>37.159999999999997</v>
      </c>
      <c r="P181" s="28">
        <f>J181</f>
        <v>296.91000000000003</v>
      </c>
      <c r="Q181" s="28">
        <f>L181</f>
        <v>0</v>
      </c>
      <c r="W181">
        <f>IF(Source!BI91&lt;=1,H180, 0)</f>
        <v>37.159999999999997</v>
      </c>
      <c r="X181">
        <f>IF(Source!BI91=2,H180, 0)</f>
        <v>0</v>
      </c>
      <c r="Y181">
        <f>IF(Source!BI91=3,H180, 0)</f>
        <v>0</v>
      </c>
      <c r="Z181">
        <f>IF(Source!BI91=4,H180, 0)</f>
        <v>0</v>
      </c>
    </row>
    <row r="182" spans="1:26" ht="28.5" x14ac:dyDescent="0.2">
      <c r="A182" s="21">
        <v>29</v>
      </c>
      <c r="B182" s="21" t="str">
        <f>Source!F92</f>
        <v>13-06-003-01</v>
      </c>
      <c r="C182" s="21" t="str">
        <f>Source!G92</f>
        <v>Очистка поверхности щетками</v>
      </c>
      <c r="D182" s="23" t="str">
        <f>Source!H92</f>
        <v>м2</v>
      </c>
      <c r="E182" s="13">
        <f>Source!I92</f>
        <v>25.7</v>
      </c>
      <c r="F182" s="14">
        <f>Source!AL92+Source!AM92+Source!AO92</f>
        <v>7.68</v>
      </c>
      <c r="G182" s="24"/>
      <c r="H182" s="14"/>
      <c r="I182" s="24" t="str">
        <f>Source!BO92</f>
        <v/>
      </c>
      <c r="J182" s="24"/>
      <c r="K182" s="14"/>
      <c r="L182" s="51"/>
      <c r="S182">
        <f>ROUND((Source!FX92/100)*((ROUND(Source!AF92*Source!I92, 2)+ROUND(Source!AE92*Source!I92, 2))), 2)</f>
        <v>256.07</v>
      </c>
      <c r="T182">
        <f>Source!X92</f>
        <v>7154.73</v>
      </c>
      <c r="U182">
        <f>ROUND((Source!FY92/100)*((ROUND(Source!AF92*Source!I92, 2)+ROUND(Source!AE92*Source!I92, 2))), 2)</f>
        <v>118.09</v>
      </c>
      <c r="V182">
        <f>Source!Y92</f>
        <v>3299.55</v>
      </c>
    </row>
    <row r="183" spans="1:26" ht="14.25" x14ac:dyDescent="0.2">
      <c r="A183" s="21"/>
      <c r="B183" s="21"/>
      <c r="C183" s="21" t="s">
        <v>627</v>
      </c>
      <c r="D183" s="23"/>
      <c r="E183" s="13"/>
      <c r="F183" s="14">
        <f>Source!AO92</f>
        <v>7.68</v>
      </c>
      <c r="G183" s="24" t="str">
        <f>Source!DG92</f>
        <v>)*1,15)*1,2</v>
      </c>
      <c r="H183" s="14">
        <f>ROUND(Source!AF92*Source!I92, 2)</f>
        <v>272.42</v>
      </c>
      <c r="I183" s="24"/>
      <c r="J183" s="24">
        <f>IF(Source!BA92&lt;&gt; 0, Source!BA92, 1)</f>
        <v>27.94</v>
      </c>
      <c r="K183" s="14">
        <f>Source!S92</f>
        <v>7611.41</v>
      </c>
      <c r="L183" s="51"/>
      <c r="R183">
        <f>H183</f>
        <v>272.42</v>
      </c>
    </row>
    <row r="184" spans="1:26" ht="14.25" x14ac:dyDescent="0.2">
      <c r="A184" s="21"/>
      <c r="B184" s="21"/>
      <c r="C184" s="21" t="s">
        <v>586</v>
      </c>
      <c r="D184" s="23" t="s">
        <v>587</v>
      </c>
      <c r="E184" s="13">
        <f>Source!BZ92</f>
        <v>94</v>
      </c>
      <c r="F184" s="58"/>
      <c r="G184" s="24"/>
      <c r="H184" s="14">
        <f>SUM(S182:S186)</f>
        <v>256.07</v>
      </c>
      <c r="I184" s="52"/>
      <c r="J184" s="22">
        <f>Source!AT92</f>
        <v>94</v>
      </c>
      <c r="K184" s="14">
        <f>SUM(T182:T186)</f>
        <v>7154.73</v>
      </c>
      <c r="L184" s="51"/>
    </row>
    <row r="185" spans="1:26" ht="14.25" x14ac:dyDescent="0.2">
      <c r="A185" s="21"/>
      <c r="B185" s="21"/>
      <c r="C185" s="21" t="s">
        <v>588</v>
      </c>
      <c r="D185" s="23" t="s">
        <v>587</v>
      </c>
      <c r="E185" s="13">
        <f>Source!CA92</f>
        <v>51</v>
      </c>
      <c r="F185" s="76" t="str">
        <f>CONCATENATE(" )", Source!DM92, Source!FU92, "=", Source!FY92)</f>
        <v xml:space="preserve"> )*0.85=43,35</v>
      </c>
      <c r="G185" s="73"/>
      <c r="H185" s="14">
        <f>SUM(U182:U186)</f>
        <v>118.09</v>
      </c>
      <c r="I185" s="52"/>
      <c r="J185" s="22">
        <f>Source!AU92</f>
        <v>43.35</v>
      </c>
      <c r="K185" s="14">
        <f>SUM(V182:V186)</f>
        <v>3299.55</v>
      </c>
      <c r="L185" s="51"/>
    </row>
    <row r="186" spans="1:26" ht="14.25" x14ac:dyDescent="0.2">
      <c r="A186" s="29"/>
      <c r="B186" s="29"/>
      <c r="C186" s="29" t="s">
        <v>629</v>
      </c>
      <c r="D186" s="30" t="s">
        <v>590</v>
      </c>
      <c r="E186" s="31">
        <f>Source!AQ92</f>
        <v>0.9</v>
      </c>
      <c r="F186" s="32"/>
      <c r="G186" s="33" t="str">
        <f>Source!DI92</f>
        <v>)*1,15)*1,2</v>
      </c>
      <c r="H186" s="32"/>
      <c r="I186" s="33"/>
      <c r="J186" s="33"/>
      <c r="K186" s="32"/>
      <c r="L186" s="53">
        <f>Source!U92</f>
        <v>31.919399999999992</v>
      </c>
    </row>
    <row r="187" spans="1:26" ht="15" x14ac:dyDescent="0.25">
      <c r="G187" s="81">
        <f>H183+H184+H185</f>
        <v>646.58000000000004</v>
      </c>
      <c r="H187" s="81"/>
      <c r="J187" s="81">
        <f>K183+K184+K185</f>
        <v>18065.689999999999</v>
      </c>
      <c r="K187" s="81"/>
      <c r="L187" s="54">
        <f>Source!U92</f>
        <v>31.919399999999992</v>
      </c>
      <c r="O187" s="28">
        <f>G187</f>
        <v>646.58000000000004</v>
      </c>
      <c r="P187" s="28">
        <f>J187</f>
        <v>18065.689999999999</v>
      </c>
      <c r="Q187" s="28">
        <f>L187</f>
        <v>31.919399999999992</v>
      </c>
      <c r="W187">
        <f>IF(Source!BI92&lt;=1,H183+H184+H185, 0)</f>
        <v>646.58000000000004</v>
      </c>
      <c r="X187">
        <f>IF(Source!BI92=2,H183+H184+H185, 0)</f>
        <v>0</v>
      </c>
      <c r="Y187">
        <f>IF(Source!BI92=3,H183+H184+H185, 0)</f>
        <v>0</v>
      </c>
      <c r="Z187">
        <f>IF(Source!BI92=4,H183+H184+H185, 0)</f>
        <v>0</v>
      </c>
    </row>
    <row r="188" spans="1:26" ht="28.5" x14ac:dyDescent="0.2">
      <c r="A188" s="21">
        <v>30</v>
      </c>
      <c r="B188" s="21" t="str">
        <f>Source!F93</f>
        <v>13-06-004-01</v>
      </c>
      <c r="C188" s="21" t="str">
        <f>Source!G93</f>
        <v>Обеспыливание поверхности</v>
      </c>
      <c r="D188" s="23" t="str">
        <f>Source!H93</f>
        <v>м2</v>
      </c>
      <c r="E188" s="13">
        <f>Source!I93</f>
        <v>25.7</v>
      </c>
      <c r="F188" s="14">
        <f>Source!AL93+Source!AM93+Source!AO93</f>
        <v>0.92999999999999994</v>
      </c>
      <c r="G188" s="24"/>
      <c r="H188" s="14"/>
      <c r="I188" s="24" t="str">
        <f>Source!BO93</f>
        <v/>
      </c>
      <c r="J188" s="24"/>
      <c r="K188" s="14"/>
      <c r="L188" s="51"/>
      <c r="S188">
        <f>ROUND((Source!FX93/100)*((ROUND(Source!AF93*Source!I93, 2)+ROUND(Source!AE93*Source!I93, 2))), 2)</f>
        <v>20.05</v>
      </c>
      <c r="T188">
        <f>Source!X93</f>
        <v>560.23</v>
      </c>
      <c r="U188">
        <f>ROUND((Source!FY93/100)*((ROUND(Source!AF93*Source!I93, 2)+ROUND(Source!AE93*Source!I93, 2))), 2)</f>
        <v>9.25</v>
      </c>
      <c r="V188">
        <f>Source!Y93</f>
        <v>258.36</v>
      </c>
    </row>
    <row r="189" spans="1:26" ht="14.25" x14ac:dyDescent="0.2">
      <c r="A189" s="21"/>
      <c r="B189" s="21"/>
      <c r="C189" s="21" t="s">
        <v>627</v>
      </c>
      <c r="D189" s="23"/>
      <c r="E189" s="13"/>
      <c r="F189" s="14">
        <f>Source!AO93</f>
        <v>0.6</v>
      </c>
      <c r="G189" s="24" t="str">
        <f>Source!DG93</f>
        <v>)*1,15)*1,2</v>
      </c>
      <c r="H189" s="14">
        <f>ROUND(Source!AF93*Source!I93, 2)</f>
        <v>21.33</v>
      </c>
      <c r="I189" s="24"/>
      <c r="J189" s="24">
        <f>IF(Source!BA93&lt;&gt; 0, Source!BA93, 1)</f>
        <v>27.94</v>
      </c>
      <c r="K189" s="14">
        <f>Source!S93</f>
        <v>595.99</v>
      </c>
      <c r="L189" s="51"/>
      <c r="R189">
        <f>H189</f>
        <v>21.33</v>
      </c>
    </row>
    <row r="190" spans="1:26" ht="14.25" x14ac:dyDescent="0.2">
      <c r="A190" s="21"/>
      <c r="B190" s="21"/>
      <c r="C190" s="21" t="s">
        <v>92</v>
      </c>
      <c r="D190" s="23"/>
      <c r="E190" s="13"/>
      <c r="F190" s="14">
        <f>Source!AM93</f>
        <v>0.33</v>
      </c>
      <c r="G190" s="24" t="str">
        <f>Source!DE93</f>
        <v>)*1,25)*1,2</v>
      </c>
      <c r="H190" s="14">
        <f>ROUND((((((Source!ET93*1.25)*1.2))-(((Source!EU93*1.25)*1.2)))+Source!AE93)*Source!I93, 2)</f>
        <v>12.72</v>
      </c>
      <c r="I190" s="24"/>
      <c r="J190" s="24">
        <f>IF(Source!BB93&lt;&gt; 0, Source!BB93, 1)</f>
        <v>11.05</v>
      </c>
      <c r="K190" s="14">
        <f>Source!Q93</f>
        <v>140.57</v>
      </c>
      <c r="L190" s="51"/>
    </row>
    <row r="191" spans="1:26" ht="14.25" x14ac:dyDescent="0.2">
      <c r="A191" s="21"/>
      <c r="B191" s="21"/>
      <c r="C191" s="21" t="s">
        <v>586</v>
      </c>
      <c r="D191" s="23" t="s">
        <v>587</v>
      </c>
      <c r="E191" s="13">
        <f>Source!BZ93</f>
        <v>94</v>
      </c>
      <c r="F191" s="58"/>
      <c r="G191" s="24"/>
      <c r="H191" s="14">
        <f>SUM(S188:S193)</f>
        <v>20.05</v>
      </c>
      <c r="I191" s="52"/>
      <c r="J191" s="22">
        <f>Source!AT93</f>
        <v>94</v>
      </c>
      <c r="K191" s="14">
        <f>SUM(T188:T193)</f>
        <v>560.23</v>
      </c>
      <c r="L191" s="51"/>
    </row>
    <row r="192" spans="1:26" ht="14.25" x14ac:dyDescent="0.2">
      <c r="A192" s="21"/>
      <c r="B192" s="21"/>
      <c r="C192" s="21" t="s">
        <v>588</v>
      </c>
      <c r="D192" s="23" t="s">
        <v>587</v>
      </c>
      <c r="E192" s="13">
        <f>Source!CA93</f>
        <v>51</v>
      </c>
      <c r="F192" s="76" t="str">
        <f>CONCATENATE(" )", Source!DM93, Source!FU93, "=", Source!FY93)</f>
        <v xml:space="preserve"> )*0.85=43,35</v>
      </c>
      <c r="G192" s="73"/>
      <c r="H192" s="14">
        <f>SUM(U188:U193)</f>
        <v>9.25</v>
      </c>
      <c r="I192" s="52"/>
      <c r="J192" s="22">
        <f>Source!AU93</f>
        <v>43.35</v>
      </c>
      <c r="K192" s="14">
        <f>SUM(V188:V193)</f>
        <v>258.36</v>
      </c>
      <c r="L192" s="51"/>
    </row>
    <row r="193" spans="1:26" ht="14.25" x14ac:dyDescent="0.2">
      <c r="A193" s="29"/>
      <c r="B193" s="29"/>
      <c r="C193" s="29" t="s">
        <v>629</v>
      </c>
      <c r="D193" s="30" t="s">
        <v>590</v>
      </c>
      <c r="E193" s="31">
        <f>Source!AQ93</f>
        <v>7.0000000000000007E-2</v>
      </c>
      <c r="F193" s="32"/>
      <c r="G193" s="33" t="str">
        <f>Source!DI93</f>
        <v>)*1,15)*1,2</v>
      </c>
      <c r="H193" s="32"/>
      <c r="I193" s="33"/>
      <c r="J193" s="33"/>
      <c r="K193" s="32"/>
      <c r="L193" s="53">
        <f>Source!U93</f>
        <v>2.4826200000000003</v>
      </c>
    </row>
    <row r="194" spans="1:26" ht="15" x14ac:dyDescent="0.25">
      <c r="G194" s="81">
        <f>H189+H190+H191+H192</f>
        <v>63.349999999999994</v>
      </c>
      <c r="H194" s="81"/>
      <c r="J194" s="81">
        <f>K189+K190+K191+K192</f>
        <v>1555.15</v>
      </c>
      <c r="K194" s="81"/>
      <c r="L194" s="54">
        <f>Source!U93</f>
        <v>2.4826200000000003</v>
      </c>
      <c r="O194" s="28">
        <f>G194</f>
        <v>63.349999999999994</v>
      </c>
      <c r="P194" s="28">
        <f>J194</f>
        <v>1555.15</v>
      </c>
      <c r="Q194" s="28">
        <f>L194</f>
        <v>2.4826200000000003</v>
      </c>
      <c r="W194">
        <f>IF(Source!BI93&lt;=1,H189+H190+H191+H192, 0)</f>
        <v>63.349999999999994</v>
      </c>
      <c r="X194">
        <f>IF(Source!BI93=2,H189+H190+H191+H192, 0)</f>
        <v>0</v>
      </c>
      <c r="Y194">
        <f>IF(Source!BI93=3,H189+H190+H191+H192, 0)</f>
        <v>0</v>
      </c>
      <c r="Z194">
        <f>IF(Source!BI93=4,H189+H190+H191+H192, 0)</f>
        <v>0</v>
      </c>
    </row>
    <row r="195" spans="1:26" ht="42.75" x14ac:dyDescent="0.2">
      <c r="A195" s="21">
        <v>31</v>
      </c>
      <c r="B195" s="21" t="str">
        <f>Source!F94</f>
        <v>13-03-002-04</v>
      </c>
      <c r="C195" s="21" t="str">
        <f>Source!G94</f>
        <v>Огрунтовка металлических поверхностей за один раз: грунтовкой ГФ-021</v>
      </c>
      <c r="D195" s="23" t="str">
        <f>Source!H94</f>
        <v>100 м2</v>
      </c>
      <c r="E195" s="13">
        <f>Source!I94</f>
        <v>0.25700000000000001</v>
      </c>
      <c r="F195" s="14">
        <f>Source!AL94+Source!AM94+Source!AO94</f>
        <v>217.81</v>
      </c>
      <c r="G195" s="24"/>
      <c r="H195" s="14"/>
      <c r="I195" s="24" t="str">
        <f>Source!BO94</f>
        <v/>
      </c>
      <c r="J195" s="24"/>
      <c r="K195" s="14"/>
      <c r="L195" s="51"/>
      <c r="S195">
        <f>ROUND((Source!FX94/100)*((ROUND(Source!AF94*Source!I94, 2)+ROUND(Source!AE94*Source!I94, 2))), 2)</f>
        <v>20.81</v>
      </c>
      <c r="T195">
        <f>Source!X94</f>
        <v>581.63</v>
      </c>
      <c r="U195">
        <f>ROUND((Source!FY94/100)*((ROUND(Source!AF94*Source!I94, 2)+ROUND(Source!AE94*Source!I94, 2))), 2)</f>
        <v>9.6</v>
      </c>
      <c r="V195">
        <f>Source!Y94</f>
        <v>268.23</v>
      </c>
    </row>
    <row r="196" spans="1:26" ht="28.5" x14ac:dyDescent="0.2">
      <c r="A196" s="21"/>
      <c r="B196" s="21"/>
      <c r="C196" s="21" t="s">
        <v>627</v>
      </c>
      <c r="D196" s="23"/>
      <c r="E196" s="13"/>
      <c r="F196" s="14">
        <f>Source!AO94</f>
        <v>56.55</v>
      </c>
      <c r="G196" s="24" t="str">
        <f>Source!DG94</f>
        <v>)*1,15)*1,2)*1,1</v>
      </c>
      <c r="H196" s="14">
        <f>ROUND(Source!AF94*Source!I94, 2)</f>
        <v>22.06</v>
      </c>
      <c r="I196" s="24"/>
      <c r="J196" s="24">
        <f>IF(Source!BA94&lt;&gt; 0, Source!BA94, 1)</f>
        <v>27.94</v>
      </c>
      <c r="K196" s="14">
        <f>Source!S94</f>
        <v>616.38</v>
      </c>
      <c r="L196" s="51"/>
      <c r="R196">
        <f>H196</f>
        <v>22.06</v>
      </c>
    </row>
    <row r="197" spans="1:26" ht="14.25" x14ac:dyDescent="0.2">
      <c r="A197" s="21"/>
      <c r="B197" s="21"/>
      <c r="C197" s="21" t="s">
        <v>92</v>
      </c>
      <c r="D197" s="23"/>
      <c r="E197" s="13"/>
      <c r="F197" s="14">
        <f>Source!AM94</f>
        <v>9.2200000000000006</v>
      </c>
      <c r="G197" s="24" t="str">
        <f>Source!DE94</f>
        <v>)*1,25)*1,2</v>
      </c>
      <c r="H197" s="14">
        <f>ROUND((((((Source!ET94*1.25)*1.2))-(((Source!EU94*1.25)*1.2)))+Source!AE94)*Source!I94, 2)</f>
        <v>3.55</v>
      </c>
      <c r="I197" s="24"/>
      <c r="J197" s="24">
        <f>IF(Source!BB94&lt;&gt; 0, Source!BB94, 1)</f>
        <v>11.05</v>
      </c>
      <c r="K197" s="14">
        <f>Source!Q94</f>
        <v>39.28</v>
      </c>
      <c r="L197" s="51"/>
    </row>
    <row r="198" spans="1:26" ht="14.25" x14ac:dyDescent="0.2">
      <c r="A198" s="21"/>
      <c r="B198" s="21"/>
      <c r="C198" s="21" t="s">
        <v>628</v>
      </c>
      <c r="D198" s="23"/>
      <c r="E198" s="13"/>
      <c r="F198" s="14">
        <f>Source!AN94</f>
        <v>0.22</v>
      </c>
      <c r="G198" s="24" t="str">
        <f>Source!DF94</f>
        <v>)*1,25)*1,2</v>
      </c>
      <c r="H198" s="25">
        <f>ROUND(Source!AE94*Source!I94, 2)</f>
        <v>0.08</v>
      </c>
      <c r="I198" s="24"/>
      <c r="J198" s="24">
        <f>IF(Source!BS94&lt;&gt; 0, Source!BS94, 1)</f>
        <v>27.94</v>
      </c>
      <c r="K198" s="25">
        <f>Source!R94</f>
        <v>2.37</v>
      </c>
      <c r="L198" s="51"/>
      <c r="R198">
        <f>H198</f>
        <v>0.08</v>
      </c>
    </row>
    <row r="199" spans="1:26" ht="14.25" x14ac:dyDescent="0.2">
      <c r="A199" s="21"/>
      <c r="B199" s="21"/>
      <c r="C199" s="21" t="s">
        <v>630</v>
      </c>
      <c r="D199" s="23"/>
      <c r="E199" s="13"/>
      <c r="F199" s="14">
        <f>Source!AL94</f>
        <v>152.04</v>
      </c>
      <c r="G199" s="24" t="str">
        <f>Source!DD94</f>
        <v/>
      </c>
      <c r="H199" s="14">
        <f>ROUND(Source!AC94*Source!I94, 2)</f>
        <v>39.07</v>
      </c>
      <c r="I199" s="24"/>
      <c r="J199" s="24">
        <f>IF(Source!BC94&lt;&gt; 0, Source!BC94, 1)</f>
        <v>7.99</v>
      </c>
      <c r="K199" s="14">
        <f>Source!P94</f>
        <v>312.2</v>
      </c>
      <c r="L199" s="51"/>
    </row>
    <row r="200" spans="1:26" ht="14.25" x14ac:dyDescent="0.2">
      <c r="A200" s="21"/>
      <c r="B200" s="21"/>
      <c r="C200" s="21" t="s">
        <v>586</v>
      </c>
      <c r="D200" s="23" t="s">
        <v>587</v>
      </c>
      <c r="E200" s="13">
        <f>Source!BZ94</f>
        <v>94</v>
      </c>
      <c r="F200" s="58"/>
      <c r="G200" s="24"/>
      <c r="H200" s="14">
        <f>SUM(S195:S202)</f>
        <v>20.81</v>
      </c>
      <c r="I200" s="52"/>
      <c r="J200" s="22">
        <f>Source!AT94</f>
        <v>94</v>
      </c>
      <c r="K200" s="14">
        <f>SUM(T195:T202)</f>
        <v>581.63</v>
      </c>
      <c r="L200" s="51"/>
    </row>
    <row r="201" spans="1:26" ht="14.25" x14ac:dyDescent="0.2">
      <c r="A201" s="21"/>
      <c r="B201" s="21"/>
      <c r="C201" s="21" t="s">
        <v>588</v>
      </c>
      <c r="D201" s="23" t="s">
        <v>587</v>
      </c>
      <c r="E201" s="13">
        <f>Source!CA94</f>
        <v>51</v>
      </c>
      <c r="F201" s="76" t="str">
        <f>CONCATENATE(" )", Source!DM94, Source!FU94, "=", Source!FY94)</f>
        <v xml:space="preserve"> )*0.85=43,35</v>
      </c>
      <c r="G201" s="73"/>
      <c r="H201" s="14">
        <f>SUM(U195:U202)</f>
        <v>9.6</v>
      </c>
      <c r="I201" s="52"/>
      <c r="J201" s="22">
        <f>Source!AU94</f>
        <v>43.35</v>
      </c>
      <c r="K201" s="14">
        <f>SUM(V195:V202)</f>
        <v>268.23</v>
      </c>
      <c r="L201" s="51"/>
    </row>
    <row r="202" spans="1:26" ht="28.5" x14ac:dyDescent="0.2">
      <c r="A202" s="29"/>
      <c r="B202" s="29"/>
      <c r="C202" s="29" t="s">
        <v>629</v>
      </c>
      <c r="D202" s="30" t="s">
        <v>590</v>
      </c>
      <c r="E202" s="31">
        <f>Source!AQ94</f>
        <v>5.31</v>
      </c>
      <c r="F202" s="32"/>
      <c r="G202" s="33" t="str">
        <f>Source!DI94</f>
        <v>)*1,15)*1,2)*1,1</v>
      </c>
      <c r="H202" s="32"/>
      <c r="I202" s="33"/>
      <c r="J202" s="33"/>
      <c r="K202" s="32"/>
      <c r="L202" s="53">
        <f>Source!U94</f>
        <v>2.0715690599999994</v>
      </c>
    </row>
    <row r="203" spans="1:26" ht="15" x14ac:dyDescent="0.25">
      <c r="G203" s="81">
        <f>H196+H197+H199+H200+H201</f>
        <v>95.09</v>
      </c>
      <c r="H203" s="81"/>
      <c r="J203" s="81">
        <f>K196+K197+K199+K200+K201</f>
        <v>1817.7199999999998</v>
      </c>
      <c r="K203" s="81"/>
      <c r="L203" s="54">
        <f>Source!U94</f>
        <v>2.0715690599999994</v>
      </c>
      <c r="O203" s="28">
        <f>G203</f>
        <v>95.09</v>
      </c>
      <c r="P203" s="28">
        <f>J203</f>
        <v>1817.7199999999998</v>
      </c>
      <c r="Q203" s="28">
        <f>L203</f>
        <v>2.0715690599999994</v>
      </c>
      <c r="W203">
        <f>IF(Source!BI94&lt;=1,H196+H197+H199+H200+H201, 0)</f>
        <v>95.09</v>
      </c>
      <c r="X203">
        <f>IF(Source!BI94=2,H196+H197+H199+H200+H201, 0)</f>
        <v>0</v>
      </c>
      <c r="Y203">
        <f>IF(Source!BI94=3,H196+H197+H199+H200+H201, 0)</f>
        <v>0</v>
      </c>
      <c r="Z203">
        <f>IF(Source!BI94=4,H196+H197+H199+H200+H201, 0)</f>
        <v>0</v>
      </c>
    </row>
    <row r="204" spans="1:26" ht="42.75" x14ac:dyDescent="0.2">
      <c r="A204" s="21">
        <v>32</v>
      </c>
      <c r="B204" s="21" t="str">
        <f>Source!F95</f>
        <v>13-03-004-14</v>
      </c>
      <c r="C204" s="21" t="str">
        <f>Source!G95</f>
        <v>Окраска металлических огрунтованных поверхностей: эмалью ЭП-140 // Прим. к молотковой краске</v>
      </c>
      <c r="D204" s="23" t="str">
        <f>Source!H95</f>
        <v>100 м2</v>
      </c>
      <c r="E204" s="13">
        <f>Source!I95</f>
        <v>0.25700000000000001</v>
      </c>
      <c r="F204" s="14">
        <f>Source!AL95+Source!AM95+Source!AO95</f>
        <v>1209.96</v>
      </c>
      <c r="G204" s="24"/>
      <c r="H204" s="14"/>
      <c r="I204" s="24" t="str">
        <f>Source!BO95</f>
        <v/>
      </c>
      <c r="J204" s="24"/>
      <c r="K204" s="14"/>
      <c r="L204" s="51"/>
      <c r="S204">
        <f>ROUND((Source!FX95/100)*((ROUND(Source!AF95*Source!I95, 2)+ROUND(Source!AE95*Source!I95, 2))), 2)</f>
        <v>16.66</v>
      </c>
      <c r="T204">
        <f>Source!X95</f>
        <v>465.33</v>
      </c>
      <c r="U204">
        <f>ROUND((Source!FY95/100)*((ROUND(Source!AF95*Source!I95, 2)+ROUND(Source!AE95*Source!I95, 2))), 2)</f>
        <v>7.68</v>
      </c>
      <c r="V204">
        <f>Source!Y95</f>
        <v>214.6</v>
      </c>
    </row>
    <row r="205" spans="1:26" ht="28.5" x14ac:dyDescent="0.2">
      <c r="A205" s="21"/>
      <c r="B205" s="21"/>
      <c r="C205" s="21" t="s">
        <v>627</v>
      </c>
      <c r="D205" s="23"/>
      <c r="E205" s="13"/>
      <c r="F205" s="14">
        <f>Source!AO95</f>
        <v>22.49</v>
      </c>
      <c r="G205" s="24" t="str">
        <f>Source!DG95</f>
        <v>)*1,15)*1,2)*1,1*2</v>
      </c>
      <c r="H205" s="14">
        <f>ROUND(Source!AF95*Source!I95, 2)</f>
        <v>17.55</v>
      </c>
      <c r="I205" s="24"/>
      <c r="J205" s="24">
        <f>IF(Source!BA95&lt;&gt; 0, Source!BA95, 1)</f>
        <v>27.94</v>
      </c>
      <c r="K205" s="14">
        <f>Source!S95</f>
        <v>490.29</v>
      </c>
      <c r="L205" s="51"/>
      <c r="R205">
        <f>H205</f>
        <v>17.55</v>
      </c>
    </row>
    <row r="206" spans="1:26" ht="28.5" x14ac:dyDescent="0.2">
      <c r="A206" s="21"/>
      <c r="B206" s="21"/>
      <c r="C206" s="21" t="s">
        <v>92</v>
      </c>
      <c r="D206" s="23"/>
      <c r="E206" s="13"/>
      <c r="F206" s="14">
        <f>Source!AM95</f>
        <v>9.2200000000000006</v>
      </c>
      <c r="G206" s="24" t="str">
        <f>Source!DE95</f>
        <v>)*1,25)*1,2*2</v>
      </c>
      <c r="H206" s="14">
        <f>ROUND((((((Source!ET95*1.25)*1.2*2))-(((Source!EU95*1.25)*1.2*2)))+Source!AE95)*Source!I95, 2)</f>
        <v>7.11</v>
      </c>
      <c r="I206" s="24"/>
      <c r="J206" s="24">
        <f>IF(Source!BB95&lt;&gt; 0, Source!BB95, 1)</f>
        <v>11.05</v>
      </c>
      <c r="K206" s="14">
        <f>Source!Q95</f>
        <v>78.55</v>
      </c>
      <c r="L206" s="51"/>
    </row>
    <row r="207" spans="1:26" ht="28.5" x14ac:dyDescent="0.2">
      <c r="A207" s="21"/>
      <c r="B207" s="21"/>
      <c r="C207" s="21" t="s">
        <v>628</v>
      </c>
      <c r="D207" s="23"/>
      <c r="E207" s="13"/>
      <c r="F207" s="14">
        <f>Source!AN95</f>
        <v>0.22</v>
      </c>
      <c r="G207" s="24" t="str">
        <f>Source!DF95</f>
        <v>)*1,25)*1,2*2</v>
      </c>
      <c r="H207" s="25">
        <f>ROUND(Source!AE95*Source!I95, 2)</f>
        <v>0.17</v>
      </c>
      <c r="I207" s="24"/>
      <c r="J207" s="24">
        <f>IF(Source!BS95&lt;&gt; 0, Source!BS95, 1)</f>
        <v>27.94</v>
      </c>
      <c r="K207" s="25">
        <f>Source!R95</f>
        <v>4.74</v>
      </c>
      <c r="L207" s="51"/>
      <c r="R207">
        <f>H207</f>
        <v>0.17</v>
      </c>
    </row>
    <row r="208" spans="1:26" ht="14.25" x14ac:dyDescent="0.2">
      <c r="A208" s="21"/>
      <c r="B208" s="21"/>
      <c r="C208" s="21" t="s">
        <v>630</v>
      </c>
      <c r="D208" s="23"/>
      <c r="E208" s="13"/>
      <c r="F208" s="14">
        <f>Source!AL95</f>
        <v>1178.25</v>
      </c>
      <c r="G208" s="24" t="str">
        <f>Source!DD95</f>
        <v>*2</v>
      </c>
      <c r="H208" s="14">
        <f>ROUND(Source!AC95*Source!I95, 2)</f>
        <v>605.62</v>
      </c>
      <c r="I208" s="24"/>
      <c r="J208" s="24">
        <f>IF(Source!BC95&lt;&gt; 0, Source!BC95, 1)</f>
        <v>7.99</v>
      </c>
      <c r="K208" s="14">
        <f>Source!P95</f>
        <v>4838.91</v>
      </c>
      <c r="L208" s="51"/>
    </row>
    <row r="209" spans="1:26" ht="14.25" x14ac:dyDescent="0.2">
      <c r="A209" s="21"/>
      <c r="B209" s="21"/>
      <c r="C209" s="21" t="s">
        <v>586</v>
      </c>
      <c r="D209" s="23" t="s">
        <v>587</v>
      </c>
      <c r="E209" s="13">
        <f>Source!BZ95</f>
        <v>94</v>
      </c>
      <c r="F209" s="58"/>
      <c r="G209" s="24"/>
      <c r="H209" s="14">
        <f>SUM(S204:S212)</f>
        <v>16.66</v>
      </c>
      <c r="I209" s="52"/>
      <c r="J209" s="22">
        <f>Source!AT95</f>
        <v>94</v>
      </c>
      <c r="K209" s="14">
        <f>SUM(T204:T212)</f>
        <v>465.33</v>
      </c>
      <c r="L209" s="51"/>
    </row>
    <row r="210" spans="1:26" ht="14.25" x14ac:dyDescent="0.2">
      <c r="A210" s="21"/>
      <c r="B210" s="21"/>
      <c r="C210" s="21" t="s">
        <v>588</v>
      </c>
      <c r="D210" s="23" t="s">
        <v>587</v>
      </c>
      <c r="E210" s="13">
        <f>Source!CA95</f>
        <v>51</v>
      </c>
      <c r="F210" s="76" t="str">
        <f>CONCATENATE(" )", Source!DM95, Source!FU95, "=", Source!FY95)</f>
        <v xml:space="preserve"> )*0.85=43,35</v>
      </c>
      <c r="G210" s="73"/>
      <c r="H210" s="14">
        <f>SUM(U204:U212)</f>
        <v>7.68</v>
      </c>
      <c r="I210" s="52"/>
      <c r="J210" s="22">
        <f>Source!AU95</f>
        <v>43.35</v>
      </c>
      <c r="K210" s="14">
        <f>SUM(V204:V212)</f>
        <v>214.6</v>
      </c>
      <c r="L210" s="51"/>
    </row>
    <row r="211" spans="1:26" ht="28.5" x14ac:dyDescent="0.2">
      <c r="A211" s="21"/>
      <c r="B211" s="21"/>
      <c r="C211" s="21" t="s">
        <v>629</v>
      </c>
      <c r="D211" s="23" t="s">
        <v>590</v>
      </c>
      <c r="E211" s="13">
        <f>Source!AQ95</f>
        <v>2.48</v>
      </c>
      <c r="F211" s="14"/>
      <c r="G211" s="24" t="str">
        <f>Source!DI95</f>
        <v>)*1,15)*1,2)*1,1*2</v>
      </c>
      <c r="H211" s="14"/>
      <c r="I211" s="24"/>
      <c r="J211" s="24"/>
      <c r="K211" s="14"/>
      <c r="L211" s="56">
        <f>Source!U95</f>
        <v>1.93502496</v>
      </c>
    </row>
    <row r="212" spans="1:26" ht="28.5" x14ac:dyDescent="0.2">
      <c r="A212" s="29">
        <v>32.1</v>
      </c>
      <c r="B212" s="29" t="str">
        <f>Source!F96</f>
        <v>14.4.04.12-0008</v>
      </c>
      <c r="C212" s="29" t="str">
        <f>Source!G96</f>
        <v>Эмаль эпоксидная ЭП-140, защитная</v>
      </c>
      <c r="D212" s="30" t="str">
        <f>Source!H96</f>
        <v>т</v>
      </c>
      <c r="E212" s="31">
        <f>Source!I96</f>
        <v>-7.7099999999999998E-3</v>
      </c>
      <c r="F212" s="32">
        <f>Source!AL96+Source!AM96+Source!AO96</f>
        <v>75000</v>
      </c>
      <c r="G212" s="57" t="s">
        <v>607</v>
      </c>
      <c r="H212" s="32">
        <f>ROUND(Source!AC96*Source!I96, 2)+ROUND((((Source!ET96)-(Source!EU96))+Source!AE96)*Source!I96, 2)+ROUND(Source!AF96*Source!I96, 2)</f>
        <v>-578.25</v>
      </c>
      <c r="I212" s="33"/>
      <c r="J212" s="33">
        <f>IF(Source!BC96&lt;&gt; 0, Source!BC96, 1)</f>
        <v>7.99</v>
      </c>
      <c r="K212" s="32">
        <f>Source!O96</f>
        <v>-4620.22</v>
      </c>
      <c r="L212" s="55"/>
      <c r="S212">
        <f>ROUND((Source!FX96/100)*((ROUND(Source!AF96*Source!I96, 2)+ROUND(Source!AE96*Source!I96, 2))), 2)</f>
        <v>0</v>
      </c>
      <c r="T212">
        <f>Source!X96</f>
        <v>0</v>
      </c>
      <c r="U212">
        <f>ROUND((Source!FY96/100)*((ROUND(Source!AF96*Source!I96, 2)+ROUND(Source!AE96*Source!I96, 2))), 2)</f>
        <v>0</v>
      </c>
      <c r="V212">
        <f>Source!Y96</f>
        <v>0</v>
      </c>
      <c r="W212">
        <f>IF(Source!BI96&lt;=1,H212, 0)</f>
        <v>-578.25</v>
      </c>
      <c r="X212">
        <f>IF(Source!BI96=2,H212, 0)</f>
        <v>0</v>
      </c>
      <c r="Y212">
        <f>IF(Source!BI96=3,H212, 0)</f>
        <v>0</v>
      </c>
      <c r="Z212">
        <f>IF(Source!BI96=4,H212, 0)</f>
        <v>0</v>
      </c>
    </row>
    <row r="213" spans="1:26" ht="15" x14ac:dyDescent="0.25">
      <c r="G213" s="81">
        <f>H205+H206+H208+H209+H210+SUM(H212:H212)</f>
        <v>76.369999999999891</v>
      </c>
      <c r="H213" s="81"/>
      <c r="J213" s="81">
        <f>K205+K206+K208+K209+K210+SUM(K212:K212)</f>
        <v>1467.46</v>
      </c>
      <c r="K213" s="81"/>
      <c r="L213" s="54">
        <f>Source!U95</f>
        <v>1.93502496</v>
      </c>
      <c r="O213" s="28">
        <f>G213</f>
        <v>76.369999999999891</v>
      </c>
      <c r="P213" s="28">
        <f>J213</f>
        <v>1467.46</v>
      </c>
      <c r="Q213" s="28">
        <f>L213</f>
        <v>1.93502496</v>
      </c>
      <c r="W213">
        <f>IF(Source!BI95&lt;=1,H205+H206+H208+H209+H210, 0)</f>
        <v>654.61999999999989</v>
      </c>
      <c r="X213">
        <f>IF(Source!BI95=2,H205+H206+H208+H209+H210, 0)</f>
        <v>0</v>
      </c>
      <c r="Y213">
        <f>IF(Source!BI95=3,H205+H206+H208+H209+H210, 0)</f>
        <v>0</v>
      </c>
      <c r="Z213">
        <f>IF(Source!BI95=4,H205+H206+H208+H209+H210, 0)</f>
        <v>0</v>
      </c>
    </row>
    <row r="214" spans="1:26" ht="54" x14ac:dyDescent="0.2">
      <c r="A214" s="29">
        <v>33</v>
      </c>
      <c r="B214" s="29" t="str">
        <f>Source!F97</f>
        <v>Цена поставщика</v>
      </c>
      <c r="C214" s="29" t="s">
        <v>608</v>
      </c>
      <c r="D214" s="30" t="str">
        <f>Source!H97</f>
        <v>л</v>
      </c>
      <c r="E214" s="31">
        <f>Source!I97</f>
        <v>2.57</v>
      </c>
      <c r="F214" s="32">
        <f>Source!AL97</f>
        <v>223.34</v>
      </c>
      <c r="G214" s="33" t="str">
        <f>Source!DD97</f>
        <v/>
      </c>
      <c r="H214" s="32">
        <f>ROUND(Source!AC97*Source!I97, 2)</f>
        <v>573.98</v>
      </c>
      <c r="I214" s="33" t="str">
        <f>Source!BO97</f>
        <v/>
      </c>
      <c r="J214" s="33">
        <f>IF(Source!BC97&lt;&gt; 0, Source!BC97, 1)</f>
        <v>7.99</v>
      </c>
      <c r="K214" s="32">
        <f>Source!P97</f>
        <v>4586.13</v>
      </c>
      <c r="L214" s="55"/>
      <c r="S214">
        <f>ROUND((Source!FX97/100)*((ROUND(Source!AF97*Source!I97, 2)+ROUND(Source!AE97*Source!I97, 2))), 2)</f>
        <v>0</v>
      </c>
      <c r="T214">
        <f>Source!X97</f>
        <v>0</v>
      </c>
      <c r="U214">
        <f>ROUND((Source!FY97/100)*((ROUND(Source!AF97*Source!I97, 2)+ROUND(Source!AE97*Source!I97, 2))), 2)</f>
        <v>0</v>
      </c>
      <c r="V214">
        <f>Source!Y97</f>
        <v>0</v>
      </c>
    </row>
    <row r="215" spans="1:26" ht="15" x14ac:dyDescent="0.25">
      <c r="G215" s="81">
        <f>H214</f>
        <v>573.98</v>
      </c>
      <c r="H215" s="81"/>
      <c r="J215" s="81">
        <f>K214</f>
        <v>4586.13</v>
      </c>
      <c r="K215" s="81"/>
      <c r="L215" s="54">
        <f>Source!U97</f>
        <v>0</v>
      </c>
      <c r="O215" s="28">
        <f>G215</f>
        <v>573.98</v>
      </c>
      <c r="P215" s="28">
        <f>J215</f>
        <v>4586.13</v>
      </c>
      <c r="Q215" s="28">
        <f>L215</f>
        <v>0</v>
      </c>
      <c r="W215">
        <f>IF(Source!BI97&lt;=1,H214, 0)</f>
        <v>573.98</v>
      </c>
      <c r="X215">
        <f>IF(Source!BI97=2,H214, 0)</f>
        <v>0</v>
      </c>
      <c r="Y215">
        <f>IF(Source!BI97=3,H214, 0)</f>
        <v>0</v>
      </c>
      <c r="Z215">
        <f>IF(Source!BI97=4,H214, 0)</f>
        <v>0</v>
      </c>
    </row>
    <row r="216" spans="1:26" ht="71.25" x14ac:dyDescent="0.2">
      <c r="A216" s="21">
        <v>34</v>
      </c>
      <c r="B216" s="21" t="str">
        <f>Source!F98</f>
        <v>09-03-022-04</v>
      </c>
      <c r="C216" s="21" t="str">
        <f>Source!G98</f>
        <v>Монтаж оконных фонарных покрытий из поликарбонатных и акриловых плит с боковыми планками, профилями и резиновыми прокладками // Прим. к навесу крыльца</v>
      </c>
      <c r="D216" s="23" t="str">
        <f>Source!H98</f>
        <v>100 м2</v>
      </c>
      <c r="E216" s="13">
        <f>Source!I98</f>
        <v>0.192</v>
      </c>
      <c r="F216" s="14">
        <f>Source!AL98+Source!AM98+Source!AO98</f>
        <v>3283.4900000000002</v>
      </c>
      <c r="G216" s="24"/>
      <c r="H216" s="14"/>
      <c r="I216" s="24" t="str">
        <f>Source!BO98</f>
        <v/>
      </c>
      <c r="J216" s="24"/>
      <c r="K216" s="14"/>
      <c r="L216" s="51"/>
      <c r="S216">
        <f>ROUND((Source!FX98/100)*((ROUND(Source!AF98*Source!I98, 2)+ROUND(Source!AE98*Source!I98, 2))), 2)</f>
        <v>328.36</v>
      </c>
      <c r="T216">
        <f>Source!X98</f>
        <v>9174.25</v>
      </c>
      <c r="U216">
        <f>ROUND((Source!FY98/100)*((ROUND(Source!AF98*Source!I98, 2)+ROUND(Source!AE98*Source!I98, 2))), 2)</f>
        <v>186.07</v>
      </c>
      <c r="V216">
        <f>Source!Y98</f>
        <v>5198.74</v>
      </c>
    </row>
    <row r="217" spans="1:26" ht="14.25" x14ac:dyDescent="0.2">
      <c r="A217" s="21"/>
      <c r="B217" s="21"/>
      <c r="C217" s="21" t="s">
        <v>627</v>
      </c>
      <c r="D217" s="23"/>
      <c r="E217" s="13"/>
      <c r="F217" s="14">
        <f>Source!AO98</f>
        <v>1062.29</v>
      </c>
      <c r="G217" s="24" t="str">
        <f>Source!DG98</f>
        <v>)*1,15)*1,2</v>
      </c>
      <c r="H217" s="14">
        <f>ROUND(Source!AF98*Source!I98, 2)</f>
        <v>281.45999999999998</v>
      </c>
      <c r="I217" s="24"/>
      <c r="J217" s="24">
        <f>IF(Source!BA98&lt;&gt; 0, Source!BA98, 1)</f>
        <v>27.94</v>
      </c>
      <c r="K217" s="14">
        <f>Source!S98</f>
        <v>7864.11</v>
      </c>
      <c r="L217" s="51"/>
      <c r="R217">
        <f>H217</f>
        <v>281.45999999999998</v>
      </c>
    </row>
    <row r="218" spans="1:26" ht="14.25" x14ac:dyDescent="0.2">
      <c r="A218" s="21"/>
      <c r="B218" s="21"/>
      <c r="C218" s="21" t="s">
        <v>92</v>
      </c>
      <c r="D218" s="23"/>
      <c r="E218" s="13"/>
      <c r="F218" s="14">
        <f>Source!AM98</f>
        <v>2187.15</v>
      </c>
      <c r="G218" s="24" t="str">
        <f>Source!DE98</f>
        <v>)*1,25)*1,2</v>
      </c>
      <c r="H218" s="14">
        <f>ROUND((((((Source!ET98*1.25)*1.2))-(((Source!EU98*1.25)*1.2)))+Source!AE98)*Source!I98, 2)</f>
        <v>629.9</v>
      </c>
      <c r="I218" s="24"/>
      <c r="J218" s="24">
        <f>IF(Source!BB98&lt;&gt; 0, Source!BB98, 1)</f>
        <v>11.05</v>
      </c>
      <c r="K218" s="14">
        <f>Source!Q98</f>
        <v>6960.41</v>
      </c>
      <c r="L218" s="51"/>
    </row>
    <row r="219" spans="1:26" ht="14.25" x14ac:dyDescent="0.2">
      <c r="A219" s="21"/>
      <c r="B219" s="21"/>
      <c r="C219" s="21" t="s">
        <v>628</v>
      </c>
      <c r="D219" s="23"/>
      <c r="E219" s="13"/>
      <c r="F219" s="14">
        <f>Source!AN98</f>
        <v>248.63</v>
      </c>
      <c r="G219" s="24" t="str">
        <f>Source!DF98</f>
        <v>)*1,25)*1,2</v>
      </c>
      <c r="H219" s="25">
        <f>ROUND(Source!AE98*Source!I98, 2)</f>
        <v>71.61</v>
      </c>
      <c r="I219" s="24"/>
      <c r="J219" s="24">
        <f>IF(Source!BS98&lt;&gt; 0, Source!BS98, 1)</f>
        <v>27.94</v>
      </c>
      <c r="K219" s="25">
        <f>Source!R98</f>
        <v>2000.68</v>
      </c>
      <c r="L219" s="51"/>
      <c r="R219">
        <f>H219</f>
        <v>71.61</v>
      </c>
    </row>
    <row r="220" spans="1:26" ht="14.25" x14ac:dyDescent="0.2">
      <c r="A220" s="21"/>
      <c r="B220" s="21"/>
      <c r="C220" s="21" t="s">
        <v>630</v>
      </c>
      <c r="D220" s="23"/>
      <c r="E220" s="13"/>
      <c r="F220" s="14">
        <f>Source!AL98</f>
        <v>34.049999999999997</v>
      </c>
      <c r="G220" s="24" t="str">
        <f>Source!DD98</f>
        <v/>
      </c>
      <c r="H220" s="14">
        <f>ROUND(Source!AC98*Source!I98, 2)</f>
        <v>6.54</v>
      </c>
      <c r="I220" s="24"/>
      <c r="J220" s="24">
        <f>IF(Source!BC98&lt;&gt; 0, Source!BC98, 1)</f>
        <v>7.99</v>
      </c>
      <c r="K220" s="14">
        <f>Source!P98</f>
        <v>52.24</v>
      </c>
      <c r="L220" s="51"/>
    </row>
    <row r="221" spans="1:26" ht="14.25" x14ac:dyDescent="0.2">
      <c r="A221" s="21"/>
      <c r="B221" s="21"/>
      <c r="C221" s="21" t="s">
        <v>586</v>
      </c>
      <c r="D221" s="23" t="s">
        <v>587</v>
      </c>
      <c r="E221" s="13">
        <f>Source!BZ98</f>
        <v>93</v>
      </c>
      <c r="F221" s="58"/>
      <c r="G221" s="24"/>
      <c r="H221" s="14">
        <f>SUM(S216:S223)</f>
        <v>328.36</v>
      </c>
      <c r="I221" s="52"/>
      <c r="J221" s="22">
        <f>Source!AT98</f>
        <v>93</v>
      </c>
      <c r="K221" s="14">
        <f>SUM(T216:T223)</f>
        <v>9174.25</v>
      </c>
      <c r="L221" s="51"/>
    </row>
    <row r="222" spans="1:26" ht="14.25" x14ac:dyDescent="0.2">
      <c r="A222" s="21"/>
      <c r="B222" s="21"/>
      <c r="C222" s="21" t="s">
        <v>588</v>
      </c>
      <c r="D222" s="23" t="s">
        <v>587</v>
      </c>
      <c r="E222" s="13">
        <f>Source!CA98</f>
        <v>62</v>
      </c>
      <c r="F222" s="76" t="str">
        <f>CONCATENATE(" )", Source!DM98, Source!FU98, "=", Source!FY98)</f>
        <v xml:space="preserve"> )*0.85=52,7</v>
      </c>
      <c r="G222" s="73"/>
      <c r="H222" s="14">
        <f>SUM(U216:U223)</f>
        <v>186.07</v>
      </c>
      <c r="I222" s="52"/>
      <c r="J222" s="22">
        <f>Source!AU98</f>
        <v>52.7</v>
      </c>
      <c r="K222" s="14">
        <f>SUM(V216:V223)</f>
        <v>5198.74</v>
      </c>
      <c r="L222" s="51"/>
    </row>
    <row r="223" spans="1:26" ht="14.25" x14ac:dyDescent="0.2">
      <c r="A223" s="29"/>
      <c r="B223" s="29"/>
      <c r="C223" s="29" t="s">
        <v>629</v>
      </c>
      <c r="D223" s="30" t="s">
        <v>590</v>
      </c>
      <c r="E223" s="31">
        <f>Source!AQ98</f>
        <v>113.01</v>
      </c>
      <c r="F223" s="32"/>
      <c r="G223" s="33" t="str">
        <f>Source!DI98</f>
        <v>)*1,15)*1,2</v>
      </c>
      <c r="H223" s="32"/>
      <c r="I223" s="33"/>
      <c r="J223" s="33"/>
      <c r="K223" s="32"/>
      <c r="L223" s="53">
        <f>Source!U98</f>
        <v>29.943129600000002</v>
      </c>
    </row>
    <row r="224" spans="1:26" ht="15" x14ac:dyDescent="0.25">
      <c r="G224" s="81">
        <f>H217+H218+H220+H221+H222</f>
        <v>1432.3299999999997</v>
      </c>
      <c r="H224" s="81"/>
      <c r="J224" s="81">
        <f>K217+K218+K220+K221+K222</f>
        <v>29249.75</v>
      </c>
      <c r="K224" s="81"/>
      <c r="L224" s="54">
        <f>Source!U98</f>
        <v>29.943129600000002</v>
      </c>
      <c r="O224" s="28">
        <f>G224</f>
        <v>1432.3299999999997</v>
      </c>
      <c r="P224" s="28">
        <f>J224</f>
        <v>29249.75</v>
      </c>
      <c r="Q224" s="28">
        <f>L224</f>
        <v>29.943129600000002</v>
      </c>
      <c r="W224">
        <f>IF(Source!BI98&lt;=1,H217+H218+H220+H221+H222, 0)</f>
        <v>1432.3299999999997</v>
      </c>
      <c r="X224">
        <f>IF(Source!BI98=2,H217+H218+H220+H221+H222, 0)</f>
        <v>0</v>
      </c>
      <c r="Y224">
        <f>IF(Source!BI98=3,H217+H218+H220+H221+H222, 0)</f>
        <v>0</v>
      </c>
      <c r="Z224">
        <f>IF(Source!BI98=4,H217+H218+H220+H221+H222, 0)</f>
        <v>0</v>
      </c>
    </row>
    <row r="225" spans="1:26" ht="42.75" x14ac:dyDescent="0.2">
      <c r="A225" s="29">
        <v>35</v>
      </c>
      <c r="B225" s="29" t="str">
        <f>Source!F99</f>
        <v>Цена поставщика</v>
      </c>
      <c r="C225" s="29" t="s">
        <v>609</v>
      </c>
      <c r="D225" s="30" t="str">
        <f>Source!H99</f>
        <v>м2</v>
      </c>
      <c r="E225" s="31">
        <f>Source!I99</f>
        <v>20.16</v>
      </c>
      <c r="F225" s="32">
        <f>Source!AL99</f>
        <v>257.27</v>
      </c>
      <c r="G225" s="33" t="str">
        <f>Source!DD99</f>
        <v/>
      </c>
      <c r="H225" s="32">
        <f>ROUND(Source!AC99*Source!I99, 2)</f>
        <v>5186.5600000000004</v>
      </c>
      <c r="I225" s="33" t="str">
        <f>Source!BO99</f>
        <v/>
      </c>
      <c r="J225" s="33">
        <f>IF(Source!BC99&lt;&gt; 0, Source!BC99, 1)</f>
        <v>7.99</v>
      </c>
      <c r="K225" s="32">
        <f>Source!P99</f>
        <v>41440.639999999999</v>
      </c>
      <c r="L225" s="55"/>
      <c r="S225">
        <f>ROUND((Source!FX99/100)*((ROUND(Source!AF99*Source!I99, 2)+ROUND(Source!AE99*Source!I99, 2))), 2)</f>
        <v>0</v>
      </c>
      <c r="T225">
        <f>Source!X99</f>
        <v>0</v>
      </c>
      <c r="U225">
        <f>ROUND((Source!FY99/100)*((ROUND(Source!AF99*Source!I99, 2)+ROUND(Source!AE99*Source!I99, 2))), 2)</f>
        <v>0</v>
      </c>
      <c r="V225">
        <f>Source!Y99</f>
        <v>0</v>
      </c>
    </row>
    <row r="226" spans="1:26" ht="15" x14ac:dyDescent="0.25">
      <c r="G226" s="81">
        <f>H225</f>
        <v>5186.5600000000004</v>
      </c>
      <c r="H226" s="81"/>
      <c r="J226" s="81">
        <f>K225</f>
        <v>41440.639999999999</v>
      </c>
      <c r="K226" s="81"/>
      <c r="L226" s="54">
        <f>Source!U99</f>
        <v>0</v>
      </c>
      <c r="O226" s="28">
        <f>G226</f>
        <v>5186.5600000000004</v>
      </c>
      <c r="P226" s="28">
        <f>J226</f>
        <v>41440.639999999999</v>
      </c>
      <c r="Q226" s="28">
        <f>L226</f>
        <v>0</v>
      </c>
      <c r="W226">
        <f>IF(Source!BI99&lt;=1,H225, 0)</f>
        <v>5186.5600000000004</v>
      </c>
      <c r="X226">
        <f>IF(Source!BI99=2,H225, 0)</f>
        <v>0</v>
      </c>
      <c r="Y226">
        <f>IF(Source!BI99=3,H225, 0)</f>
        <v>0</v>
      </c>
      <c r="Z226">
        <f>IF(Source!BI99=4,H225, 0)</f>
        <v>0</v>
      </c>
    </row>
    <row r="228" spans="1:26" ht="15" x14ac:dyDescent="0.25">
      <c r="A228" s="70" t="str">
        <f>CONCATENATE("Итого по разделу: ",IF(Source!G101&lt;&gt;"Новый раздел", Source!G101, ""))</f>
        <v>Итого по разделу: Строительные работы</v>
      </c>
      <c r="B228" s="70"/>
      <c r="C228" s="70"/>
      <c r="D228" s="70"/>
      <c r="E228" s="70"/>
      <c r="F228" s="70"/>
      <c r="G228" s="71">
        <f>SUM(O69:O227)</f>
        <v>29907.699999999997</v>
      </c>
      <c r="H228" s="71"/>
      <c r="I228" s="35"/>
      <c r="J228" s="71">
        <f>SUM(P69:P227)</f>
        <v>396453.38</v>
      </c>
      <c r="K228" s="71"/>
      <c r="L228" s="54">
        <f>SUM(Q69:Q227)</f>
        <v>328.73868942000001</v>
      </c>
    </row>
    <row r="232" spans="1:26" ht="16.5" x14ac:dyDescent="0.25">
      <c r="A232" s="72" t="str">
        <f>CONCATENATE("Раздел: ",IF(Source!G131&lt;&gt;"Новый раздел", Source!G131, ""))</f>
        <v>Раздел: Прочие работы</v>
      </c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</row>
    <row r="233" spans="1:26" ht="57" x14ac:dyDescent="0.2">
      <c r="A233" s="29">
        <v>36</v>
      </c>
      <c r="B233" s="29" t="str">
        <f>Source!F135</f>
        <v>т01-01-01-043</v>
      </c>
      <c r="C233" s="29" t="str">
        <f>Source!G135</f>
        <v>Погрузка при автомобильных перевозках мусора строительного с погрузкой экскаваторами емкостью ковша до 0,5 м3</v>
      </c>
      <c r="D233" s="30" t="str">
        <f>Source!H135</f>
        <v>1 т груза</v>
      </c>
      <c r="E233" s="31">
        <f>Source!I135</f>
        <v>1</v>
      </c>
      <c r="F233" s="32">
        <f>Source!AK135</f>
        <v>3.28</v>
      </c>
      <c r="G233" s="33" t="str">
        <f>Source!DC135</f>
        <v/>
      </c>
      <c r="H233" s="32">
        <f>ROUND(Source!AB135*Source!I135, 2)</f>
        <v>3.28</v>
      </c>
      <c r="I233" s="33" t="str">
        <f>Source!BO135</f>
        <v/>
      </c>
      <c r="J233" s="33">
        <f>Source!AZ135</f>
        <v>11.05</v>
      </c>
      <c r="K233" s="32">
        <f>Source!GM135</f>
        <v>36.24</v>
      </c>
      <c r="L233" s="55"/>
      <c r="S233">
        <f>ROUND((Source!FX135/100)*((ROUND(0*Source!I135, 2)+ROUND(0*Source!I135, 2))), 2)</f>
        <v>0</v>
      </c>
      <c r="T233">
        <f>Source!X135</f>
        <v>0</v>
      </c>
      <c r="U233">
        <f>ROUND((Source!FY135/100)*((ROUND(0*Source!I135, 2)+ROUND(0*Source!I135, 2))), 2)</f>
        <v>0</v>
      </c>
      <c r="V233">
        <f>Source!Y135</f>
        <v>0</v>
      </c>
    </row>
    <row r="234" spans="1:26" ht="15" x14ac:dyDescent="0.25">
      <c r="G234" s="81">
        <f>H233</f>
        <v>3.28</v>
      </c>
      <c r="H234" s="81"/>
      <c r="J234" s="81">
        <f>K233</f>
        <v>36.24</v>
      </c>
      <c r="K234" s="81"/>
      <c r="L234" s="54">
        <f>Source!U135</f>
        <v>0</v>
      </c>
      <c r="O234" s="28">
        <f>G234</f>
        <v>3.28</v>
      </c>
      <c r="P234" s="28">
        <f>J234</f>
        <v>36.24</v>
      </c>
      <c r="Q234" s="28">
        <f>L234</f>
        <v>0</v>
      </c>
      <c r="W234">
        <f>IF(Source!BI135&lt;=1,H233, 0)</f>
        <v>3.28</v>
      </c>
      <c r="X234">
        <f>IF(Source!BI135=2,H233, 0)</f>
        <v>0</v>
      </c>
      <c r="Y234">
        <f>IF(Source!BI135=3,H233, 0)</f>
        <v>0</v>
      </c>
      <c r="Z234">
        <f>IF(Source!BI135=4,H233, 0)</f>
        <v>0</v>
      </c>
    </row>
    <row r="235" spans="1:26" ht="57" x14ac:dyDescent="0.2">
      <c r="A235" s="29">
        <v>37</v>
      </c>
      <c r="B235" s="29" t="str">
        <f>Source!F136</f>
        <v>т03-21-01-007</v>
      </c>
      <c r="C235" s="29" t="str">
        <f>Source!G136</f>
        <v>Перевозка грузов I класса автомобилями-самосвалами грузоподъемностью 10 т работающих вне карьера на расстояние до 7 км</v>
      </c>
      <c r="D235" s="30" t="str">
        <f>Source!H136</f>
        <v>1 т груза</v>
      </c>
      <c r="E235" s="31">
        <f>Source!I136</f>
        <v>1</v>
      </c>
      <c r="F235" s="32">
        <f>Source!AK136</f>
        <v>8.58</v>
      </c>
      <c r="G235" s="33" t="str">
        <f>Source!DC136</f>
        <v/>
      </c>
      <c r="H235" s="32">
        <f>ROUND(Source!AB136*Source!I136, 2)</f>
        <v>8.58</v>
      </c>
      <c r="I235" s="33" t="str">
        <f>Source!BO136</f>
        <v/>
      </c>
      <c r="J235" s="33">
        <f>Source!AZ136</f>
        <v>11.05</v>
      </c>
      <c r="K235" s="32">
        <f>Source!GM136</f>
        <v>94.81</v>
      </c>
      <c r="L235" s="55"/>
      <c r="S235">
        <f>ROUND((Source!FX136/100)*((ROUND(0*Source!I136, 2)+ROUND(0*Source!I136, 2))), 2)</f>
        <v>0</v>
      </c>
      <c r="T235">
        <f>Source!X136</f>
        <v>0</v>
      </c>
      <c r="U235">
        <f>ROUND((Source!FY136/100)*((ROUND(0*Source!I136, 2)+ROUND(0*Source!I136, 2))), 2)</f>
        <v>0</v>
      </c>
      <c r="V235">
        <f>Source!Y136</f>
        <v>0</v>
      </c>
    </row>
    <row r="236" spans="1:26" ht="15" x14ac:dyDescent="0.25">
      <c r="G236" s="81">
        <f>H235</f>
        <v>8.58</v>
      </c>
      <c r="H236" s="81"/>
      <c r="J236" s="81">
        <f>K235</f>
        <v>94.81</v>
      </c>
      <c r="K236" s="81"/>
      <c r="L236" s="54">
        <f>Source!U136</f>
        <v>0</v>
      </c>
      <c r="O236" s="28">
        <f>G236</f>
        <v>8.58</v>
      </c>
      <c r="P236" s="28">
        <f>J236</f>
        <v>94.81</v>
      </c>
      <c r="Q236" s="28">
        <f>L236</f>
        <v>0</v>
      </c>
      <c r="W236">
        <f>IF(Source!BI136&lt;=1,H235, 0)</f>
        <v>8.58</v>
      </c>
      <c r="X236">
        <f>IF(Source!BI136=2,H235, 0)</f>
        <v>0</v>
      </c>
      <c r="Y236">
        <f>IF(Source!BI136=3,H235, 0)</f>
        <v>0</v>
      </c>
      <c r="Z236">
        <f>IF(Source!BI136=4,H235, 0)</f>
        <v>0</v>
      </c>
    </row>
    <row r="237" spans="1:26" ht="42.75" x14ac:dyDescent="0.2">
      <c r="A237" s="29">
        <v>38</v>
      </c>
      <c r="B237" s="29" t="str">
        <f>Source!F137</f>
        <v>Цена поставщика</v>
      </c>
      <c r="C237" s="29" t="s">
        <v>610</v>
      </c>
      <c r="D237" s="30" t="str">
        <f>Source!H137</f>
        <v>ТН</v>
      </c>
      <c r="E237" s="31">
        <f>Source!I137</f>
        <v>1</v>
      </c>
      <c r="F237" s="32">
        <f>Source!AL137</f>
        <v>75.09</v>
      </c>
      <c r="G237" s="33" t="str">
        <f>Source!DD137</f>
        <v/>
      </c>
      <c r="H237" s="32">
        <f>ROUND(Source!AC137*Source!I137, 2)</f>
        <v>75.09</v>
      </c>
      <c r="I237" s="33" t="str">
        <f>Source!BO137</f>
        <v/>
      </c>
      <c r="J237" s="33">
        <f>IF(Source!BC137&lt;&gt; 0, Source!BC137, 1)</f>
        <v>7.99</v>
      </c>
      <c r="K237" s="32">
        <f>Source!P137</f>
        <v>599.97</v>
      </c>
      <c r="L237" s="55"/>
      <c r="S237">
        <f>ROUND((Source!FX137/100)*((ROUND(Source!AF137*Source!I137, 2)+ROUND(Source!AE137*Source!I137, 2))), 2)</f>
        <v>0</v>
      </c>
      <c r="T237">
        <f>Source!X137</f>
        <v>0</v>
      </c>
      <c r="U237">
        <f>ROUND((Source!FY137/100)*((ROUND(Source!AF137*Source!I137, 2)+ROUND(Source!AE137*Source!I137, 2))), 2)</f>
        <v>0</v>
      </c>
      <c r="V237">
        <f>Source!Y137</f>
        <v>0</v>
      </c>
    </row>
    <row r="238" spans="1:26" ht="15" x14ac:dyDescent="0.25">
      <c r="G238" s="81">
        <f>H237</f>
        <v>75.09</v>
      </c>
      <c r="H238" s="81"/>
      <c r="J238" s="81">
        <f>K237</f>
        <v>599.97</v>
      </c>
      <c r="K238" s="81"/>
      <c r="L238" s="54">
        <f>Source!U137</f>
        <v>0</v>
      </c>
      <c r="O238" s="28">
        <f>G238</f>
        <v>75.09</v>
      </c>
      <c r="P238" s="28">
        <f>J238</f>
        <v>599.97</v>
      </c>
      <c r="Q238" s="28">
        <f>L238</f>
        <v>0</v>
      </c>
      <c r="W238">
        <f>IF(Source!BI137&lt;=1,H237, 0)</f>
        <v>75.09</v>
      </c>
      <c r="X238">
        <f>IF(Source!BI137=2,H237, 0)</f>
        <v>0</v>
      </c>
      <c r="Y238">
        <f>IF(Source!BI137=3,H237, 0)</f>
        <v>0</v>
      </c>
      <c r="Z238">
        <f>IF(Source!BI137=4,H237, 0)</f>
        <v>0</v>
      </c>
    </row>
    <row r="240" spans="1:26" ht="15" x14ac:dyDescent="0.25">
      <c r="A240" s="70" t="str">
        <f>CONCATENATE("Итого по разделу: ",IF(Source!G139&lt;&gt;"Новый раздел", Source!G139, ""))</f>
        <v>Итого по разделу: Прочие работы</v>
      </c>
      <c r="B240" s="70"/>
      <c r="C240" s="70"/>
      <c r="D240" s="70"/>
      <c r="E240" s="70"/>
      <c r="F240" s="70"/>
      <c r="G240" s="71">
        <f>SUM(O232:O239)</f>
        <v>86.95</v>
      </c>
      <c r="H240" s="71"/>
      <c r="I240" s="35"/>
      <c r="J240" s="71">
        <f>SUM(P232:P239)</f>
        <v>731.02</v>
      </c>
      <c r="K240" s="71"/>
      <c r="L240" s="54">
        <f>SUM(Q232:Q239)</f>
        <v>0</v>
      </c>
    </row>
    <row r="244" spans="1:32" ht="15" x14ac:dyDescent="0.25">
      <c r="A244" s="70" t="str">
        <f>CONCATENATE("Итого по локальной смете: ",IF(Source!G169&lt;&gt;"Новая локальная смета", Source!G169, ""))</f>
        <v xml:space="preserve">Итого по локальной смете: </v>
      </c>
      <c r="B244" s="70"/>
      <c r="C244" s="70"/>
      <c r="D244" s="70"/>
      <c r="E244" s="70"/>
      <c r="F244" s="70"/>
      <c r="G244" s="71">
        <f>SUM(O26:O243)</f>
        <v>36021.439999999995</v>
      </c>
      <c r="H244" s="71"/>
      <c r="I244" s="35"/>
      <c r="J244" s="71">
        <f>SUM(P26:P243)</f>
        <v>547860.5</v>
      </c>
      <c r="K244" s="71"/>
      <c r="L244" s="54">
        <f>SUM(Q26:Q243)</f>
        <v>538.75147501999993</v>
      </c>
    </row>
    <row r="248" spans="1:32" ht="15" x14ac:dyDescent="0.25">
      <c r="A248" s="70" t="str">
        <f>CONCATENATE("Итого по смете: ",IF(Source!G199&lt;&gt;"Новый объект", Source!G199, ""))</f>
        <v>Итого по смете: Центральный вход заводоуправления. Инв. №ОС-19003</v>
      </c>
      <c r="B248" s="70"/>
      <c r="C248" s="70"/>
      <c r="D248" s="70"/>
      <c r="E248" s="70"/>
      <c r="F248" s="70"/>
      <c r="G248" s="71">
        <f>SUM(O1:O247)</f>
        <v>36021.439999999995</v>
      </c>
      <c r="H248" s="71"/>
      <c r="I248" s="35"/>
      <c r="J248" s="71">
        <f>SUM(P1:P247)</f>
        <v>547860.5</v>
      </c>
      <c r="K248" s="71"/>
      <c r="L248" s="54">
        <f>SUM(Q1:Q247)</f>
        <v>538.75147501999993</v>
      </c>
      <c r="AF248" s="37" t="str">
        <f>CONCATENATE("Итого по смете: ",IF(Source!G199&lt;&gt;"Новый объект", Source!G199, ""))</f>
        <v>Итого по смете: Центральный вход заводоуправления. Инв. №ОС-19003</v>
      </c>
    </row>
    <row r="250" spans="1:32" ht="14.25" x14ac:dyDescent="0.2">
      <c r="C250" s="67" t="str">
        <f>Source!H201</f>
        <v>Прямые затраты</v>
      </c>
      <c r="D250" s="67"/>
      <c r="E250" s="67"/>
      <c r="F250" s="67"/>
      <c r="G250" s="67"/>
      <c r="H250" s="67"/>
      <c r="I250" s="67"/>
      <c r="J250" s="68">
        <f>IF(Source!F201=0, "", Source!F201)</f>
        <v>329617.53000000003</v>
      </c>
      <c r="K250" s="68"/>
    </row>
    <row r="251" spans="1:32" ht="14.25" x14ac:dyDescent="0.2">
      <c r="C251" s="67" t="str">
        <f>Source!H202</f>
        <v>Стоимость материальных ресурсов (всего)</v>
      </c>
      <c r="D251" s="67"/>
      <c r="E251" s="67"/>
      <c r="F251" s="67"/>
      <c r="G251" s="67"/>
      <c r="H251" s="67"/>
      <c r="I251" s="67"/>
      <c r="J251" s="68">
        <f>IF(Source!F202=0, "", Source!F202)</f>
        <v>170359.77</v>
      </c>
      <c r="K251" s="68"/>
    </row>
    <row r="252" spans="1:32" ht="14.25" x14ac:dyDescent="0.2">
      <c r="C252" s="67" t="str">
        <f>Source!H204</f>
        <v>Стоимость материалов и оборудования подрядчика</v>
      </c>
      <c r="D252" s="67"/>
      <c r="E252" s="67"/>
      <c r="F252" s="67"/>
      <c r="G252" s="67"/>
      <c r="H252" s="67"/>
      <c r="I252" s="67"/>
      <c r="J252" s="68">
        <f>IF(Source!F204=0, "", Source!F204)</f>
        <v>170359.77</v>
      </c>
      <c r="K252" s="68"/>
    </row>
    <row r="253" spans="1:32" ht="14.25" x14ac:dyDescent="0.2">
      <c r="C253" s="67" t="str">
        <f>Source!H205</f>
        <v>Стоимость материалов (всего)</v>
      </c>
      <c r="D253" s="67"/>
      <c r="E253" s="67"/>
      <c r="F253" s="67"/>
      <c r="G253" s="67"/>
      <c r="H253" s="67"/>
      <c r="I253" s="67"/>
      <c r="J253" s="68">
        <f>IF(Source!F205=0, "", Source!F205)</f>
        <v>170359.77</v>
      </c>
      <c r="K253" s="68"/>
    </row>
    <row r="254" spans="1:32" ht="14.25" x14ac:dyDescent="0.2">
      <c r="C254" s="67" t="str">
        <f>Source!H207</f>
        <v>Стоимость материалов подрядчика</v>
      </c>
      <c r="D254" s="67"/>
      <c r="E254" s="67"/>
      <c r="F254" s="67"/>
      <c r="G254" s="67"/>
      <c r="H254" s="67"/>
      <c r="I254" s="67"/>
      <c r="J254" s="68">
        <f>IF(Source!F207=0, "", Source!F207)</f>
        <v>170359.77</v>
      </c>
      <c r="K254" s="68"/>
    </row>
    <row r="255" spans="1:32" ht="14.25" x14ac:dyDescent="0.2">
      <c r="C255" s="67" t="str">
        <f>Source!H211</f>
        <v>Эксплуатация машин</v>
      </c>
      <c r="D255" s="67"/>
      <c r="E255" s="67"/>
      <c r="F255" s="67"/>
      <c r="G255" s="67"/>
      <c r="H255" s="67"/>
      <c r="I255" s="67"/>
      <c r="J255" s="68">
        <f>IF(Source!F211=0, "", Source!F211)</f>
        <v>21598.080000000002</v>
      </c>
      <c r="K255" s="68"/>
    </row>
    <row r="256" spans="1:32" ht="14.25" x14ac:dyDescent="0.2">
      <c r="C256" s="67" t="str">
        <f>Source!H213</f>
        <v>ЗП машинистов</v>
      </c>
      <c r="D256" s="67"/>
      <c r="E256" s="67"/>
      <c r="F256" s="67"/>
      <c r="G256" s="67"/>
      <c r="H256" s="67"/>
      <c r="I256" s="67"/>
      <c r="J256" s="68">
        <f>IF(Source!F213=0, "", Source!F213)</f>
        <v>6931.05</v>
      </c>
      <c r="K256" s="68"/>
    </row>
    <row r="257" spans="1:12" ht="14.25" x14ac:dyDescent="0.2">
      <c r="C257" s="67" t="str">
        <f>Source!H214</f>
        <v>Основная ЗП рабочих</v>
      </c>
      <c r="D257" s="67"/>
      <c r="E257" s="67"/>
      <c r="F257" s="67"/>
      <c r="G257" s="67"/>
      <c r="H257" s="67"/>
      <c r="I257" s="67"/>
      <c r="J257" s="68">
        <f>IF(Source!F214=0, "", Source!F214)</f>
        <v>137659.68</v>
      </c>
      <c r="K257" s="68"/>
    </row>
    <row r="258" spans="1:12" ht="14.25" x14ac:dyDescent="0.2">
      <c r="C258" s="67" t="str">
        <f>Source!H216</f>
        <v>Строительные работы с НР и СП</v>
      </c>
      <c r="D258" s="67"/>
      <c r="E258" s="67"/>
      <c r="F258" s="67"/>
      <c r="G258" s="67"/>
      <c r="H258" s="67"/>
      <c r="I258" s="67"/>
      <c r="J258" s="68">
        <f>IF(Source!F216=0, "", Source!F216)</f>
        <v>547860.5</v>
      </c>
      <c r="K258" s="68"/>
    </row>
    <row r="259" spans="1:12" ht="14.25" x14ac:dyDescent="0.2">
      <c r="C259" s="67" t="str">
        <f>Source!H221</f>
        <v>Трудозатраты строителей</v>
      </c>
      <c r="D259" s="67"/>
      <c r="E259" s="67"/>
      <c r="F259" s="67"/>
      <c r="G259" s="67"/>
      <c r="H259" s="67"/>
      <c r="I259" s="67"/>
      <c r="J259" s="69">
        <f>IF(Source!F221=0, "", Source!F221)</f>
        <v>538.75147502000004</v>
      </c>
      <c r="K259" s="69"/>
    </row>
    <row r="260" spans="1:12" ht="14.25" x14ac:dyDescent="0.2">
      <c r="C260" s="67" t="str">
        <f>Source!H222</f>
        <v>Трудозатраты машинистов</v>
      </c>
      <c r="D260" s="67"/>
      <c r="E260" s="67"/>
      <c r="F260" s="67"/>
      <c r="G260" s="67"/>
      <c r="H260" s="67"/>
      <c r="I260" s="67"/>
      <c r="J260" s="69">
        <f>IF(Source!F222=0, "", Source!F222)</f>
        <v>18.944853799999997</v>
      </c>
      <c r="K260" s="69"/>
    </row>
    <row r="261" spans="1:12" ht="14.25" x14ac:dyDescent="0.2">
      <c r="C261" s="67" t="str">
        <f>Source!H224</f>
        <v>Перевозка грузов</v>
      </c>
      <c r="D261" s="67"/>
      <c r="E261" s="67"/>
      <c r="F261" s="67"/>
      <c r="G261" s="67"/>
      <c r="H261" s="67"/>
      <c r="I261" s="67"/>
      <c r="J261" s="68">
        <f>IF(Source!F224=0, "", Source!F224)</f>
        <v>131.05000000000001</v>
      </c>
      <c r="K261" s="68"/>
    </row>
    <row r="262" spans="1:12" ht="14.25" x14ac:dyDescent="0.2">
      <c r="C262" s="67" t="str">
        <f>Source!H225</f>
        <v>Накладные расходы</v>
      </c>
      <c r="D262" s="67"/>
      <c r="E262" s="67"/>
      <c r="F262" s="67"/>
      <c r="G262" s="67"/>
      <c r="H262" s="67"/>
      <c r="I262" s="67"/>
      <c r="J262" s="68">
        <f>IF(Source!F225=0, "", Source!F225)</f>
        <v>146116.26</v>
      </c>
      <c r="K262" s="68"/>
    </row>
    <row r="263" spans="1:12" ht="14.25" x14ac:dyDescent="0.2">
      <c r="C263" s="67" t="str">
        <f>Source!H226</f>
        <v>Сметная прибыль</v>
      </c>
      <c r="D263" s="67"/>
      <c r="E263" s="67"/>
      <c r="F263" s="67"/>
      <c r="G263" s="67"/>
      <c r="H263" s="67"/>
      <c r="I263" s="67"/>
      <c r="J263" s="68">
        <f>IF(Source!F226=0, "", Source!F226)</f>
        <v>71995.66</v>
      </c>
      <c r="K263" s="68"/>
    </row>
    <row r="264" spans="1:12" ht="14.25" x14ac:dyDescent="0.2">
      <c r="C264" s="67" t="str">
        <f>Source!H227</f>
        <v>Всего с НР и СП</v>
      </c>
      <c r="D264" s="67"/>
      <c r="E264" s="67"/>
      <c r="F264" s="67"/>
      <c r="G264" s="67"/>
      <c r="H264" s="67"/>
      <c r="I264" s="67"/>
      <c r="J264" s="68">
        <f>IF(Source!F227=0, "", Source!F227)</f>
        <v>547860.5</v>
      </c>
      <c r="K264" s="68"/>
    </row>
    <row r="265" spans="1:12" ht="15" x14ac:dyDescent="0.25">
      <c r="C265" s="67" t="s">
        <v>639</v>
      </c>
      <c r="D265" s="67"/>
      <c r="E265" s="67"/>
      <c r="F265" s="67"/>
      <c r="G265" s="67"/>
      <c r="H265" s="67"/>
      <c r="J265" s="60"/>
      <c r="K265" s="62">
        <f>J264*0.831</f>
        <v>455272.07549999998</v>
      </c>
    </row>
    <row r="266" spans="1:12" ht="14.25" x14ac:dyDescent="0.2">
      <c r="C266" s="63" t="s">
        <v>635</v>
      </c>
      <c r="J266" s="61"/>
      <c r="K266" s="64">
        <f>K265/5</f>
        <v>91054.415099999998</v>
      </c>
    </row>
    <row r="267" spans="1:12" ht="15" x14ac:dyDescent="0.25">
      <c r="C267" s="63" t="s">
        <v>636</v>
      </c>
      <c r="J267" s="60"/>
      <c r="K267" s="62">
        <f>K265+K266</f>
        <v>546326.49060000002</v>
      </c>
    </row>
    <row r="269" spans="1:12" ht="14.25" hidden="1" x14ac:dyDescent="0.2">
      <c r="A269" s="50" t="s">
        <v>631</v>
      </c>
      <c r="B269" s="50"/>
      <c r="C269" s="13" t="s">
        <v>632</v>
      </c>
      <c r="D269" s="38"/>
      <c r="E269" s="38"/>
      <c r="F269" s="38"/>
      <c r="G269" s="38"/>
      <c r="H269" s="38"/>
      <c r="I269" s="10"/>
      <c r="J269" s="13"/>
      <c r="K269" s="10"/>
      <c r="L269" s="10"/>
    </row>
    <row r="270" spans="1:12" ht="14.25" hidden="1" x14ac:dyDescent="0.2">
      <c r="A270" s="10"/>
      <c r="B270" s="10"/>
      <c r="C270" s="13"/>
      <c r="D270" s="66" t="s">
        <v>612</v>
      </c>
      <c r="E270" s="66"/>
      <c r="F270" s="66"/>
      <c r="G270" s="66"/>
      <c r="H270" s="66"/>
      <c r="I270" s="10"/>
      <c r="J270" s="13"/>
      <c r="K270" s="10"/>
      <c r="L270" s="10"/>
    </row>
    <row r="271" spans="1:12" ht="14.25" hidden="1" x14ac:dyDescent="0.2">
      <c r="A271" s="10"/>
      <c r="B271" s="10"/>
      <c r="C271" s="13"/>
      <c r="D271" s="10"/>
      <c r="E271" s="10"/>
      <c r="F271" s="10"/>
      <c r="G271" s="10"/>
      <c r="H271" s="10"/>
      <c r="I271" s="10"/>
      <c r="J271" s="13"/>
      <c r="K271" s="10"/>
      <c r="L271" s="10"/>
    </row>
  </sheetData>
  <mergeCells count="154">
    <mergeCell ref="B2:K2"/>
    <mergeCell ref="B3:K3"/>
    <mergeCell ref="B5:K5"/>
    <mergeCell ref="B7:K7"/>
    <mergeCell ref="C265:H265"/>
    <mergeCell ref="B9:K9"/>
    <mergeCell ref="B10:K10"/>
    <mergeCell ref="A12:L12"/>
    <mergeCell ref="G15:H15"/>
    <mergeCell ref="I15:J15"/>
    <mergeCell ref="C16:F16"/>
    <mergeCell ref="G16:H16"/>
    <mergeCell ref="I16:J16"/>
    <mergeCell ref="K16:L16"/>
    <mergeCell ref="C17:F17"/>
    <mergeCell ref="G17:H17"/>
    <mergeCell ref="I17:J17"/>
    <mergeCell ref="A22:L22"/>
    <mergeCell ref="C250:I250"/>
    <mergeCell ref="J250:K250"/>
    <mergeCell ref="J82:K82"/>
    <mergeCell ref="G82:H82"/>
    <mergeCell ref="J80:K80"/>
    <mergeCell ref="G80:H80"/>
    <mergeCell ref="D270:H270"/>
    <mergeCell ref="G91:H91"/>
    <mergeCell ref="J129:K129"/>
    <mergeCell ref="G129:H129"/>
    <mergeCell ref="J127:K127"/>
    <mergeCell ref="G127:H127"/>
    <mergeCell ref="C263:I263"/>
    <mergeCell ref="J263:K263"/>
    <mergeCell ref="C264:I264"/>
    <mergeCell ref="J264:K264"/>
    <mergeCell ref="C260:I260"/>
    <mergeCell ref="J260:K260"/>
    <mergeCell ref="C261:I261"/>
    <mergeCell ref="J261:K261"/>
    <mergeCell ref="C262:I262"/>
    <mergeCell ref="J262:K262"/>
    <mergeCell ref="C257:I257"/>
    <mergeCell ref="J257:K257"/>
    <mergeCell ref="C258:I258"/>
    <mergeCell ref="J258:K258"/>
    <mergeCell ref="C259:I259"/>
    <mergeCell ref="J259:K259"/>
    <mergeCell ref="C255:I255"/>
    <mergeCell ref="J255:K255"/>
    <mergeCell ref="J78:K78"/>
    <mergeCell ref="G78:H78"/>
    <mergeCell ref="F76:G76"/>
    <mergeCell ref="A69:L69"/>
    <mergeCell ref="G65:H65"/>
    <mergeCell ref="J65:K65"/>
    <mergeCell ref="A65:F65"/>
    <mergeCell ref="C254:I254"/>
    <mergeCell ref="J254:K254"/>
    <mergeCell ref="G102:H102"/>
    <mergeCell ref="F100:G100"/>
    <mergeCell ref="J125:K125"/>
    <mergeCell ref="G125:H125"/>
    <mergeCell ref="F123:G123"/>
    <mergeCell ref="J116:K116"/>
    <mergeCell ref="G116:H116"/>
    <mergeCell ref="J114:K114"/>
    <mergeCell ref="G114:H114"/>
    <mergeCell ref="F140:G140"/>
    <mergeCell ref="J133:K133"/>
    <mergeCell ref="G133:H133"/>
    <mergeCell ref="J131:K131"/>
    <mergeCell ref="G131:H131"/>
    <mergeCell ref="G224:H224"/>
    <mergeCell ref="C256:I256"/>
    <mergeCell ref="J256:K256"/>
    <mergeCell ref="C251:I251"/>
    <mergeCell ref="J251:K251"/>
    <mergeCell ref="C252:I252"/>
    <mergeCell ref="J252:K252"/>
    <mergeCell ref="C253:I253"/>
    <mergeCell ref="J253:K253"/>
    <mergeCell ref="J42:K42"/>
    <mergeCell ref="G42:H42"/>
    <mergeCell ref="J93:K93"/>
    <mergeCell ref="G93:H93"/>
    <mergeCell ref="J91:K91"/>
    <mergeCell ref="J169:K169"/>
    <mergeCell ref="G169:H169"/>
    <mergeCell ref="J167:K167"/>
    <mergeCell ref="G167:H167"/>
    <mergeCell ref="J157:K157"/>
    <mergeCell ref="G157:H157"/>
    <mergeCell ref="J155:K155"/>
    <mergeCell ref="F111:G111"/>
    <mergeCell ref="J104:K104"/>
    <mergeCell ref="G104:H104"/>
    <mergeCell ref="J102:K102"/>
    <mergeCell ref="J34:K34"/>
    <mergeCell ref="G34:H34"/>
    <mergeCell ref="A26:L26"/>
    <mergeCell ref="J63:K63"/>
    <mergeCell ref="G63:H63"/>
    <mergeCell ref="J55:K55"/>
    <mergeCell ref="G55:H55"/>
    <mergeCell ref="F53:G53"/>
    <mergeCell ref="J48:K48"/>
    <mergeCell ref="G48:H48"/>
    <mergeCell ref="F222:G222"/>
    <mergeCell ref="J215:K215"/>
    <mergeCell ref="G215:H215"/>
    <mergeCell ref="J213:K213"/>
    <mergeCell ref="G155:H155"/>
    <mergeCell ref="J153:K153"/>
    <mergeCell ref="G153:H153"/>
    <mergeCell ref="J144:K144"/>
    <mergeCell ref="G144:H144"/>
    <mergeCell ref="G194:H194"/>
    <mergeCell ref="J142:K142"/>
    <mergeCell ref="G142:H142"/>
    <mergeCell ref="J179:K179"/>
    <mergeCell ref="G179:H179"/>
    <mergeCell ref="J248:K248"/>
    <mergeCell ref="A248:F248"/>
    <mergeCell ref="G244:H244"/>
    <mergeCell ref="J244:K244"/>
    <mergeCell ref="A244:F244"/>
    <mergeCell ref="G240:H240"/>
    <mergeCell ref="J240:K240"/>
    <mergeCell ref="A240:F240"/>
    <mergeCell ref="F192:G192"/>
    <mergeCell ref="J187:K187"/>
    <mergeCell ref="G187:H187"/>
    <mergeCell ref="F185:G185"/>
    <mergeCell ref="J181:K181"/>
    <mergeCell ref="G181:H181"/>
    <mergeCell ref="G213:H213"/>
    <mergeCell ref="F210:G210"/>
    <mergeCell ref="J203:K203"/>
    <mergeCell ref="G203:H203"/>
    <mergeCell ref="F201:G201"/>
    <mergeCell ref="J194:K194"/>
    <mergeCell ref="J224:K224"/>
    <mergeCell ref="G248:H248"/>
    <mergeCell ref="A232:L232"/>
    <mergeCell ref="G228:H228"/>
    <mergeCell ref="J228:K228"/>
    <mergeCell ref="A228:F228"/>
    <mergeCell ref="J226:K226"/>
    <mergeCell ref="G226:H226"/>
    <mergeCell ref="J238:K238"/>
    <mergeCell ref="G238:H238"/>
    <mergeCell ref="J236:K236"/>
    <mergeCell ref="G236:H236"/>
    <mergeCell ref="J234:K234"/>
    <mergeCell ref="G234:H234"/>
  </mergeCells>
  <pageMargins left="0.4" right="0.2" top="0.2" bottom="0.4" header="0.2" footer="0.2"/>
  <pageSetup paperSize="9" scale="60" fitToHeight="0" orientation="portrait" horizontalDpi="4294967292" verticalDpi="0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K266"/>
  <sheetViews>
    <sheetView workbookViewId="0">
      <selection activeCell="A262" sqref="A262:AN262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0</v>
      </c>
      <c r="L1">
        <v>31883</v>
      </c>
      <c r="M1">
        <v>139239296</v>
      </c>
      <c r="N1">
        <v>11</v>
      </c>
      <c r="O1">
        <v>6</v>
      </c>
      <c r="P1">
        <v>5</v>
      </c>
      <c r="Q1">
        <v>0</v>
      </c>
    </row>
    <row r="4" spans="1:133" x14ac:dyDescent="0.2">
      <c r="A4" s="1">
        <v>1</v>
      </c>
      <c r="B4" s="1">
        <v>1</v>
      </c>
      <c r="C4" s="1">
        <v>-1</v>
      </c>
      <c r="D4" s="1"/>
      <c r="E4" s="1"/>
      <c r="F4" s="1"/>
      <c r="G4" s="1" t="s">
        <v>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>
        <v>0</v>
      </c>
    </row>
    <row r="12" spans="1:133" x14ac:dyDescent="0.2">
      <c r="A12" s="1">
        <v>1</v>
      </c>
      <c r="B12" s="1">
        <v>261</v>
      </c>
      <c r="C12" s="1">
        <v>0</v>
      </c>
      <c r="D12" s="1">
        <f>ROW(A199)</f>
        <v>199</v>
      </c>
      <c r="E12" s="1">
        <v>0</v>
      </c>
      <c r="F12" s="1" t="s">
        <v>5</v>
      </c>
      <c r="G12" s="1" t="s">
        <v>6</v>
      </c>
      <c r="H12" s="1" t="s">
        <v>3</v>
      </c>
      <c r="I12" s="1">
        <v>0</v>
      </c>
      <c r="J12" s="1" t="s">
        <v>7</v>
      </c>
      <c r="K12" s="1">
        <v>0</v>
      </c>
      <c r="L12" s="1">
        <v>0</v>
      </c>
      <c r="M12" s="1">
        <v>2</v>
      </c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>
        <v>1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>
        <v>0</v>
      </c>
      <c r="BC12" s="1"/>
      <c r="BD12" s="1"/>
      <c r="BE12" s="1"/>
      <c r="BF12" s="1"/>
      <c r="BG12" s="1"/>
      <c r="BH12" s="1" t="s">
        <v>8</v>
      </c>
      <c r="BI12" s="1" t="s">
        <v>9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1</v>
      </c>
      <c r="BV12" s="1">
        <v>1</v>
      </c>
      <c r="BW12" s="1">
        <v>1</v>
      </c>
      <c r="BX12" s="1">
        <v>0</v>
      </c>
      <c r="BY12" s="1" t="s">
        <v>10</v>
      </c>
      <c r="BZ12" s="1" t="s">
        <v>11</v>
      </c>
      <c r="CA12" s="1" t="s">
        <v>12</v>
      </c>
      <c r="CB12" s="1" t="s">
        <v>12</v>
      </c>
      <c r="CC12" s="1" t="s">
        <v>12</v>
      </c>
      <c r="CD12" s="1" t="s">
        <v>12</v>
      </c>
      <c r="CE12" s="1" t="s">
        <v>13</v>
      </c>
      <c r="CF12" s="1">
        <v>0</v>
      </c>
      <c r="CG12" s="1">
        <v>0</v>
      </c>
      <c r="CH12" s="1">
        <v>524298</v>
      </c>
      <c r="CI12" s="1" t="s">
        <v>3</v>
      </c>
      <c r="CJ12" s="1" t="s">
        <v>3</v>
      </c>
      <c r="CK12" s="1">
        <v>9</v>
      </c>
      <c r="CL12" s="1"/>
      <c r="CM12" s="1"/>
      <c r="CN12" s="1"/>
      <c r="CO12" s="1"/>
      <c r="CP12" s="1"/>
      <c r="CQ12" s="1" t="s">
        <v>555</v>
      </c>
      <c r="CR12" s="1" t="s">
        <v>14</v>
      </c>
      <c r="CS12" s="1">
        <v>44551</v>
      </c>
      <c r="CT12" s="1">
        <v>395</v>
      </c>
      <c r="CU12" s="1"/>
      <c r="CV12" s="1"/>
      <c r="CW12" s="1"/>
      <c r="CX12" s="1"/>
      <c r="CY12" s="1">
        <v>0</v>
      </c>
      <c r="CZ12" s="1" t="s">
        <v>3</v>
      </c>
      <c r="DA12" s="1" t="s">
        <v>3</v>
      </c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 x14ac:dyDescent="0.2">
      <c r="A18" s="2">
        <v>52</v>
      </c>
      <c r="B18" s="2">
        <f t="shared" ref="B18:G18" si="0">B199</f>
        <v>261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1</v>
      </c>
      <c r="G18" s="2" t="str">
        <f t="shared" si="0"/>
        <v>Центральный вход заводоуправления. Инв. №ОС-19003</v>
      </c>
      <c r="H18" s="2"/>
      <c r="I18" s="2"/>
      <c r="J18" s="2"/>
      <c r="K18" s="2"/>
      <c r="L18" s="2"/>
      <c r="M18" s="2"/>
      <c r="N18" s="2"/>
      <c r="O18" s="2">
        <f t="shared" ref="O18:AT18" si="1">O199</f>
        <v>329617.53000000003</v>
      </c>
      <c r="P18" s="2">
        <f t="shared" si="1"/>
        <v>170359.77</v>
      </c>
      <c r="Q18" s="2">
        <f t="shared" si="1"/>
        <v>21598.080000000002</v>
      </c>
      <c r="R18" s="2">
        <f t="shared" si="1"/>
        <v>6931.05</v>
      </c>
      <c r="S18" s="2">
        <f t="shared" si="1"/>
        <v>137659.68</v>
      </c>
      <c r="T18" s="2">
        <f t="shared" si="1"/>
        <v>0</v>
      </c>
      <c r="U18" s="2">
        <f t="shared" si="1"/>
        <v>538.75147502000004</v>
      </c>
      <c r="V18" s="2">
        <f t="shared" si="1"/>
        <v>18.944853799999997</v>
      </c>
      <c r="W18" s="2">
        <f t="shared" si="1"/>
        <v>0</v>
      </c>
      <c r="X18" s="2">
        <f t="shared" si="1"/>
        <v>146116.26</v>
      </c>
      <c r="Y18" s="2">
        <f t="shared" si="1"/>
        <v>71995.66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547860.5</v>
      </c>
      <c r="AS18" s="2">
        <f t="shared" si="1"/>
        <v>547860.5</v>
      </c>
      <c r="AT18" s="2">
        <f t="shared" si="1"/>
        <v>0</v>
      </c>
      <c r="AU18" s="2">
        <f t="shared" ref="AU18:BZ18" si="2">AU199</f>
        <v>0</v>
      </c>
      <c r="AV18" s="2">
        <f t="shared" si="2"/>
        <v>170359.77</v>
      </c>
      <c r="AW18" s="2">
        <f t="shared" si="2"/>
        <v>170359.77</v>
      </c>
      <c r="AX18" s="2">
        <f t="shared" si="2"/>
        <v>0</v>
      </c>
      <c r="AY18" s="2">
        <f t="shared" si="2"/>
        <v>170359.77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131.05000000000001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CA199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DG199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EM199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FS199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 x14ac:dyDescent="0.2">
      <c r="A20" s="1">
        <v>3</v>
      </c>
      <c r="B20" s="1">
        <v>1</v>
      </c>
      <c r="C20" s="1"/>
      <c r="D20" s="1">
        <f>ROW(A169)</f>
        <v>169</v>
      </c>
      <c r="E20" s="1"/>
      <c r="F20" s="1" t="s">
        <v>15</v>
      </c>
      <c r="G20" s="1" t="s">
        <v>15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 t="s">
        <v>3</v>
      </c>
      <c r="N20" s="1"/>
      <c r="O20" s="1"/>
      <c r="P20" s="1"/>
      <c r="Q20" s="1"/>
      <c r="R20" s="1"/>
      <c r="S20" s="1">
        <v>0</v>
      </c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16</v>
      </c>
      <c r="BE20" s="1" t="s">
        <v>16</v>
      </c>
      <c r="BF20" s="1" t="s">
        <v>17</v>
      </c>
      <c r="BG20" s="1" t="s">
        <v>3</v>
      </c>
      <c r="BH20" s="1" t="s">
        <v>17</v>
      </c>
      <c r="BI20" s="1" t="s">
        <v>16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16</v>
      </c>
      <c r="BO20" s="1" t="s">
        <v>556</v>
      </c>
      <c r="BP20" s="1" t="s">
        <v>18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  <c r="CK20" t="s">
        <v>3</v>
      </c>
      <c r="CL20" t="s">
        <v>3</v>
      </c>
      <c r="CM20" t="s">
        <v>3</v>
      </c>
      <c r="CN20" t="s">
        <v>3</v>
      </c>
      <c r="CO20" t="s">
        <v>3</v>
      </c>
      <c r="CP20" t="s">
        <v>3</v>
      </c>
      <c r="CQ20" t="s">
        <v>3</v>
      </c>
    </row>
    <row r="22" spans="1:245" x14ac:dyDescent="0.2">
      <c r="A22" s="2">
        <v>52</v>
      </c>
      <c r="B22" s="2">
        <f t="shared" ref="B22:G22" si="7">B169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Новая локальная смета</v>
      </c>
      <c r="G22" s="2" t="str">
        <f t="shared" si="7"/>
        <v>Новая локальная смета</v>
      </c>
      <c r="H22" s="2"/>
      <c r="I22" s="2"/>
      <c r="J22" s="2"/>
      <c r="K22" s="2"/>
      <c r="L22" s="2"/>
      <c r="M22" s="2"/>
      <c r="N22" s="2"/>
      <c r="O22" s="2">
        <f t="shared" ref="O22:AT22" si="8">O169</f>
        <v>329617.53000000003</v>
      </c>
      <c r="P22" s="2">
        <f t="shared" si="8"/>
        <v>170359.77</v>
      </c>
      <c r="Q22" s="2">
        <f t="shared" si="8"/>
        <v>21598.080000000002</v>
      </c>
      <c r="R22" s="2">
        <f t="shared" si="8"/>
        <v>6931.05</v>
      </c>
      <c r="S22" s="2">
        <f t="shared" si="8"/>
        <v>137659.68</v>
      </c>
      <c r="T22" s="2">
        <f t="shared" si="8"/>
        <v>0</v>
      </c>
      <c r="U22" s="2">
        <f t="shared" si="8"/>
        <v>538.75147502000004</v>
      </c>
      <c r="V22" s="2">
        <f t="shared" si="8"/>
        <v>18.944853799999997</v>
      </c>
      <c r="W22" s="2">
        <f t="shared" si="8"/>
        <v>0</v>
      </c>
      <c r="X22" s="2">
        <f t="shared" si="8"/>
        <v>146116.26</v>
      </c>
      <c r="Y22" s="2">
        <f t="shared" si="8"/>
        <v>71995.66</v>
      </c>
      <c r="Z22" s="2">
        <f t="shared" si="8"/>
        <v>0</v>
      </c>
      <c r="AA22" s="2">
        <f t="shared" si="8"/>
        <v>0</v>
      </c>
      <c r="AB22" s="2">
        <f t="shared" si="8"/>
        <v>0</v>
      </c>
      <c r="AC22" s="2">
        <f t="shared" si="8"/>
        <v>0</v>
      </c>
      <c r="AD22" s="2">
        <f t="shared" si="8"/>
        <v>0</v>
      </c>
      <c r="AE22" s="2">
        <f t="shared" si="8"/>
        <v>0</v>
      </c>
      <c r="AF22" s="2">
        <f t="shared" si="8"/>
        <v>0</v>
      </c>
      <c r="AG22" s="2">
        <f t="shared" si="8"/>
        <v>0</v>
      </c>
      <c r="AH22" s="2">
        <f t="shared" si="8"/>
        <v>0</v>
      </c>
      <c r="AI22" s="2">
        <f t="shared" si="8"/>
        <v>0</v>
      </c>
      <c r="AJ22" s="2">
        <f t="shared" si="8"/>
        <v>0</v>
      </c>
      <c r="AK22" s="2">
        <f t="shared" si="8"/>
        <v>0</v>
      </c>
      <c r="AL22" s="2">
        <f t="shared" si="8"/>
        <v>0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547860.5</v>
      </c>
      <c r="AS22" s="2">
        <f t="shared" si="8"/>
        <v>547860.5</v>
      </c>
      <c r="AT22" s="2">
        <f t="shared" si="8"/>
        <v>0</v>
      </c>
      <c r="AU22" s="2">
        <f t="shared" ref="AU22:BZ22" si="9">AU169</f>
        <v>0</v>
      </c>
      <c r="AV22" s="2">
        <f t="shared" si="9"/>
        <v>170359.77</v>
      </c>
      <c r="AW22" s="2">
        <f t="shared" si="9"/>
        <v>170359.77</v>
      </c>
      <c r="AX22" s="2">
        <f t="shared" si="9"/>
        <v>0</v>
      </c>
      <c r="AY22" s="2">
        <f t="shared" si="9"/>
        <v>170359.77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131.05000000000001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CA169</f>
        <v>0</v>
      </c>
      <c r="CB22" s="2">
        <f t="shared" si="10"/>
        <v>0</v>
      </c>
      <c r="CC22" s="2">
        <f t="shared" si="10"/>
        <v>0</v>
      </c>
      <c r="CD22" s="2">
        <f t="shared" si="10"/>
        <v>0</v>
      </c>
      <c r="CE22" s="2">
        <f t="shared" si="10"/>
        <v>0</v>
      </c>
      <c r="CF22" s="2">
        <f t="shared" si="10"/>
        <v>0</v>
      </c>
      <c r="CG22" s="2">
        <f t="shared" si="10"/>
        <v>0</v>
      </c>
      <c r="CH22" s="2">
        <f t="shared" si="10"/>
        <v>0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DG169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EM169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FS169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 x14ac:dyDescent="0.2">
      <c r="A24" s="1">
        <v>4</v>
      </c>
      <c r="B24" s="1">
        <v>1</v>
      </c>
      <c r="C24" s="1"/>
      <c r="D24" s="1">
        <f>ROW(A34)</f>
        <v>34</v>
      </c>
      <c r="E24" s="1"/>
      <c r="F24" s="1" t="s">
        <v>19</v>
      </c>
      <c r="G24" s="1" t="s">
        <v>20</v>
      </c>
      <c r="H24" s="1" t="s">
        <v>3</v>
      </c>
      <c r="I24" s="1">
        <v>0</v>
      </c>
      <c r="J24" s="1"/>
      <c r="K24" s="1">
        <v>-1</v>
      </c>
      <c r="L24" s="1"/>
      <c r="M24" s="1" t="s">
        <v>3</v>
      </c>
      <c r="N24" s="1"/>
      <c r="O24" s="1"/>
      <c r="P24" s="1"/>
      <c r="Q24" s="1"/>
      <c r="R24" s="1"/>
      <c r="S24" s="1">
        <v>0</v>
      </c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16</v>
      </c>
      <c r="BE24" s="1" t="s">
        <v>16</v>
      </c>
      <c r="BF24" s="1" t="s">
        <v>17</v>
      </c>
      <c r="BG24" s="1" t="s">
        <v>3</v>
      </c>
      <c r="BH24" s="1" t="s">
        <v>17</v>
      </c>
      <c r="BI24" s="1" t="s">
        <v>16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16</v>
      </c>
      <c r="BO24" s="1" t="s">
        <v>556</v>
      </c>
      <c r="BP24" s="1" t="s">
        <v>18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45" x14ac:dyDescent="0.2">
      <c r="A26" s="2">
        <v>52</v>
      </c>
      <c r="B26" s="2">
        <f t="shared" ref="B26:G26" si="14">B34</f>
        <v>1</v>
      </c>
      <c r="C26" s="2">
        <f t="shared" si="14"/>
        <v>4</v>
      </c>
      <c r="D26" s="2">
        <f t="shared" si="14"/>
        <v>24</v>
      </c>
      <c r="E26" s="2">
        <f t="shared" si="14"/>
        <v>0</v>
      </c>
      <c r="F26" s="2" t="str">
        <f t="shared" si="14"/>
        <v>Новый раздел</v>
      </c>
      <c r="G26" s="2" t="str">
        <f t="shared" si="14"/>
        <v>Демонтажные работы</v>
      </c>
      <c r="H26" s="2"/>
      <c r="I26" s="2"/>
      <c r="J26" s="2"/>
      <c r="K26" s="2"/>
      <c r="L26" s="2"/>
      <c r="M26" s="2"/>
      <c r="N26" s="2"/>
      <c r="O26" s="2">
        <f t="shared" ref="O26:AT26" si="15">O34</f>
        <v>63486.080000000002</v>
      </c>
      <c r="P26" s="2">
        <f t="shared" si="15"/>
        <v>4122.84</v>
      </c>
      <c r="Q26" s="2">
        <f t="shared" si="15"/>
        <v>4853</v>
      </c>
      <c r="R26" s="2">
        <f t="shared" si="15"/>
        <v>1551.83</v>
      </c>
      <c r="S26" s="2">
        <f t="shared" si="15"/>
        <v>54510.239999999998</v>
      </c>
      <c r="T26" s="2">
        <f t="shared" si="15"/>
        <v>0</v>
      </c>
      <c r="U26" s="2">
        <f t="shared" si="15"/>
        <v>210.0127856</v>
      </c>
      <c r="V26" s="2">
        <f t="shared" si="15"/>
        <v>4.3046688</v>
      </c>
      <c r="W26" s="2">
        <f t="shared" si="15"/>
        <v>0</v>
      </c>
      <c r="X26" s="2">
        <f t="shared" si="15"/>
        <v>57022.65</v>
      </c>
      <c r="Y26" s="2">
        <f t="shared" si="15"/>
        <v>30167.37</v>
      </c>
      <c r="Z26" s="2">
        <f t="shared" si="15"/>
        <v>0</v>
      </c>
      <c r="AA26" s="2">
        <f t="shared" si="15"/>
        <v>0</v>
      </c>
      <c r="AB26" s="2">
        <f t="shared" si="15"/>
        <v>63486.080000000002</v>
      </c>
      <c r="AC26" s="2">
        <f t="shared" si="15"/>
        <v>4122.84</v>
      </c>
      <c r="AD26" s="2">
        <f t="shared" si="15"/>
        <v>4853</v>
      </c>
      <c r="AE26" s="2">
        <f t="shared" si="15"/>
        <v>1551.83</v>
      </c>
      <c r="AF26" s="2">
        <f t="shared" si="15"/>
        <v>54510.239999999998</v>
      </c>
      <c r="AG26" s="2">
        <f t="shared" si="15"/>
        <v>0</v>
      </c>
      <c r="AH26" s="2">
        <f t="shared" si="15"/>
        <v>210.0127856</v>
      </c>
      <c r="AI26" s="2">
        <f t="shared" si="15"/>
        <v>4.3046688</v>
      </c>
      <c r="AJ26" s="2">
        <f t="shared" si="15"/>
        <v>0</v>
      </c>
      <c r="AK26" s="2">
        <f t="shared" si="15"/>
        <v>57022.65</v>
      </c>
      <c r="AL26" s="2">
        <f t="shared" si="15"/>
        <v>30167.37</v>
      </c>
      <c r="AM26" s="2">
        <f t="shared" si="15"/>
        <v>0</v>
      </c>
      <c r="AN26" s="2">
        <f t="shared" si="15"/>
        <v>0</v>
      </c>
      <c r="AO26" s="2">
        <f t="shared" si="15"/>
        <v>0</v>
      </c>
      <c r="AP26" s="2">
        <f t="shared" si="15"/>
        <v>0</v>
      </c>
      <c r="AQ26" s="2">
        <f t="shared" si="15"/>
        <v>0</v>
      </c>
      <c r="AR26" s="2">
        <f t="shared" si="15"/>
        <v>150676.1</v>
      </c>
      <c r="AS26" s="2">
        <f t="shared" si="15"/>
        <v>150676.1</v>
      </c>
      <c r="AT26" s="2">
        <f t="shared" si="15"/>
        <v>0</v>
      </c>
      <c r="AU26" s="2">
        <f t="shared" ref="AU26:BZ26" si="16">AU34</f>
        <v>0</v>
      </c>
      <c r="AV26" s="2">
        <f t="shared" si="16"/>
        <v>4122.84</v>
      </c>
      <c r="AW26" s="2">
        <f t="shared" si="16"/>
        <v>4122.84</v>
      </c>
      <c r="AX26" s="2">
        <f t="shared" si="16"/>
        <v>0</v>
      </c>
      <c r="AY26" s="2">
        <f t="shared" si="16"/>
        <v>4122.84</v>
      </c>
      <c r="AZ26" s="2">
        <f t="shared" si="16"/>
        <v>0</v>
      </c>
      <c r="BA26" s="2">
        <f t="shared" si="16"/>
        <v>0</v>
      </c>
      <c r="BB26" s="2">
        <f t="shared" si="16"/>
        <v>0</v>
      </c>
      <c r="BC26" s="2">
        <f t="shared" si="16"/>
        <v>0</v>
      </c>
      <c r="BD26" s="2">
        <f t="shared" si="16"/>
        <v>0</v>
      </c>
      <c r="BE26" s="2">
        <f t="shared" si="16"/>
        <v>0</v>
      </c>
      <c r="BF26" s="2">
        <f t="shared" si="16"/>
        <v>0</v>
      </c>
      <c r="BG26" s="2">
        <f t="shared" si="16"/>
        <v>0</v>
      </c>
      <c r="BH26" s="2">
        <f t="shared" si="16"/>
        <v>0</v>
      </c>
      <c r="BI26" s="2">
        <f t="shared" si="16"/>
        <v>0</v>
      </c>
      <c r="BJ26" s="2">
        <f t="shared" si="16"/>
        <v>0</v>
      </c>
      <c r="BK26" s="2">
        <f t="shared" si="16"/>
        <v>0</v>
      </c>
      <c r="BL26" s="2">
        <f t="shared" si="16"/>
        <v>0</v>
      </c>
      <c r="BM26" s="2">
        <f t="shared" si="16"/>
        <v>0</v>
      </c>
      <c r="BN26" s="2">
        <f t="shared" si="16"/>
        <v>0</v>
      </c>
      <c r="BO26" s="2">
        <f t="shared" si="16"/>
        <v>0</v>
      </c>
      <c r="BP26" s="2">
        <f t="shared" si="16"/>
        <v>0</v>
      </c>
      <c r="BQ26" s="2">
        <f t="shared" si="16"/>
        <v>0</v>
      </c>
      <c r="BR26" s="2">
        <f t="shared" si="16"/>
        <v>0</v>
      </c>
      <c r="BS26" s="2">
        <f t="shared" si="16"/>
        <v>0</v>
      </c>
      <c r="BT26" s="2">
        <f t="shared" si="16"/>
        <v>0</v>
      </c>
      <c r="BU26" s="2">
        <f t="shared" si="16"/>
        <v>0</v>
      </c>
      <c r="BV26" s="2">
        <f t="shared" si="16"/>
        <v>0</v>
      </c>
      <c r="BW26" s="2">
        <f t="shared" si="16"/>
        <v>0</v>
      </c>
      <c r="BX26" s="2">
        <f t="shared" si="16"/>
        <v>0</v>
      </c>
      <c r="BY26" s="2">
        <f t="shared" si="16"/>
        <v>0</v>
      </c>
      <c r="BZ26" s="2">
        <f t="shared" si="16"/>
        <v>0</v>
      </c>
      <c r="CA26" s="2">
        <f t="shared" ref="CA26:DF26" si="17">CA34</f>
        <v>150676.1</v>
      </c>
      <c r="CB26" s="2">
        <f t="shared" si="17"/>
        <v>150676.1</v>
      </c>
      <c r="CC26" s="2">
        <f t="shared" si="17"/>
        <v>0</v>
      </c>
      <c r="CD26" s="2">
        <f t="shared" si="17"/>
        <v>0</v>
      </c>
      <c r="CE26" s="2">
        <f t="shared" si="17"/>
        <v>4122.84</v>
      </c>
      <c r="CF26" s="2">
        <f t="shared" si="17"/>
        <v>4122.84</v>
      </c>
      <c r="CG26" s="2">
        <f t="shared" si="17"/>
        <v>0</v>
      </c>
      <c r="CH26" s="2">
        <f t="shared" si="17"/>
        <v>4122.84</v>
      </c>
      <c r="CI26" s="2">
        <f t="shared" si="17"/>
        <v>0</v>
      </c>
      <c r="CJ26" s="2">
        <f t="shared" si="17"/>
        <v>0</v>
      </c>
      <c r="CK26" s="2">
        <f t="shared" si="17"/>
        <v>0</v>
      </c>
      <c r="CL26" s="2">
        <f t="shared" si="17"/>
        <v>0</v>
      </c>
      <c r="CM26" s="2">
        <f t="shared" si="17"/>
        <v>0</v>
      </c>
      <c r="CN26" s="2">
        <f t="shared" si="17"/>
        <v>0</v>
      </c>
      <c r="CO26" s="2">
        <f t="shared" si="17"/>
        <v>0</v>
      </c>
      <c r="CP26" s="2">
        <f t="shared" si="17"/>
        <v>0</v>
      </c>
      <c r="CQ26" s="2">
        <f t="shared" si="17"/>
        <v>0</v>
      </c>
      <c r="CR26" s="2">
        <f t="shared" si="17"/>
        <v>0</v>
      </c>
      <c r="CS26" s="2">
        <f t="shared" si="17"/>
        <v>0</v>
      </c>
      <c r="CT26" s="2">
        <f t="shared" si="17"/>
        <v>0</v>
      </c>
      <c r="CU26" s="2">
        <f t="shared" si="17"/>
        <v>0</v>
      </c>
      <c r="CV26" s="2">
        <f t="shared" si="17"/>
        <v>0</v>
      </c>
      <c r="CW26" s="2">
        <f t="shared" si="17"/>
        <v>0</v>
      </c>
      <c r="CX26" s="2">
        <f t="shared" si="17"/>
        <v>0</v>
      </c>
      <c r="CY26" s="2">
        <f t="shared" si="17"/>
        <v>0</v>
      </c>
      <c r="CZ26" s="2">
        <f t="shared" si="17"/>
        <v>0</v>
      </c>
      <c r="DA26" s="2">
        <f t="shared" si="17"/>
        <v>0</v>
      </c>
      <c r="DB26" s="2">
        <f t="shared" si="17"/>
        <v>0</v>
      </c>
      <c r="DC26" s="2">
        <f t="shared" si="17"/>
        <v>0</v>
      </c>
      <c r="DD26" s="2">
        <f t="shared" si="17"/>
        <v>0</v>
      </c>
      <c r="DE26" s="2">
        <f t="shared" si="17"/>
        <v>0</v>
      </c>
      <c r="DF26" s="2">
        <f t="shared" si="17"/>
        <v>0</v>
      </c>
      <c r="DG26" s="3">
        <f t="shared" ref="DG26:EL26" si="18">DG34</f>
        <v>0</v>
      </c>
      <c r="DH26" s="3">
        <f t="shared" si="18"/>
        <v>0</v>
      </c>
      <c r="DI26" s="3">
        <f t="shared" si="18"/>
        <v>0</v>
      </c>
      <c r="DJ26" s="3">
        <f t="shared" si="18"/>
        <v>0</v>
      </c>
      <c r="DK26" s="3">
        <f t="shared" si="18"/>
        <v>0</v>
      </c>
      <c r="DL26" s="3">
        <f t="shared" si="18"/>
        <v>0</v>
      </c>
      <c r="DM26" s="3">
        <f t="shared" si="18"/>
        <v>0</v>
      </c>
      <c r="DN26" s="3">
        <f t="shared" si="18"/>
        <v>0</v>
      </c>
      <c r="DO26" s="3">
        <f t="shared" si="18"/>
        <v>0</v>
      </c>
      <c r="DP26" s="3">
        <f t="shared" si="18"/>
        <v>0</v>
      </c>
      <c r="DQ26" s="3">
        <f t="shared" si="18"/>
        <v>0</v>
      </c>
      <c r="DR26" s="3">
        <f t="shared" si="18"/>
        <v>0</v>
      </c>
      <c r="DS26" s="3">
        <f t="shared" si="18"/>
        <v>0</v>
      </c>
      <c r="DT26" s="3">
        <f t="shared" si="18"/>
        <v>0</v>
      </c>
      <c r="DU26" s="3">
        <f t="shared" si="18"/>
        <v>0</v>
      </c>
      <c r="DV26" s="3">
        <f t="shared" si="18"/>
        <v>0</v>
      </c>
      <c r="DW26" s="3">
        <f t="shared" si="18"/>
        <v>0</v>
      </c>
      <c r="DX26" s="3">
        <f t="shared" si="18"/>
        <v>0</v>
      </c>
      <c r="DY26" s="3">
        <f t="shared" si="18"/>
        <v>0</v>
      </c>
      <c r="DZ26" s="3">
        <f t="shared" si="18"/>
        <v>0</v>
      </c>
      <c r="EA26" s="3">
        <f t="shared" si="18"/>
        <v>0</v>
      </c>
      <c r="EB26" s="3">
        <f t="shared" si="18"/>
        <v>0</v>
      </c>
      <c r="EC26" s="3">
        <f t="shared" si="18"/>
        <v>0</v>
      </c>
      <c r="ED26" s="3">
        <f t="shared" si="18"/>
        <v>0</v>
      </c>
      <c r="EE26" s="3">
        <f t="shared" si="18"/>
        <v>0</v>
      </c>
      <c r="EF26" s="3">
        <f t="shared" si="18"/>
        <v>0</v>
      </c>
      <c r="EG26" s="3">
        <f t="shared" si="18"/>
        <v>0</v>
      </c>
      <c r="EH26" s="3">
        <f t="shared" si="18"/>
        <v>0</v>
      </c>
      <c r="EI26" s="3">
        <f t="shared" si="18"/>
        <v>0</v>
      </c>
      <c r="EJ26" s="3">
        <f t="shared" si="18"/>
        <v>0</v>
      </c>
      <c r="EK26" s="3">
        <f t="shared" si="18"/>
        <v>0</v>
      </c>
      <c r="EL26" s="3">
        <f t="shared" si="18"/>
        <v>0</v>
      </c>
      <c r="EM26" s="3">
        <f t="shared" ref="EM26:FR26" si="19">EM34</f>
        <v>0</v>
      </c>
      <c r="EN26" s="3">
        <f t="shared" si="19"/>
        <v>0</v>
      </c>
      <c r="EO26" s="3">
        <f t="shared" si="19"/>
        <v>0</v>
      </c>
      <c r="EP26" s="3">
        <f t="shared" si="19"/>
        <v>0</v>
      </c>
      <c r="EQ26" s="3">
        <f t="shared" si="19"/>
        <v>0</v>
      </c>
      <c r="ER26" s="3">
        <f t="shared" si="19"/>
        <v>0</v>
      </c>
      <c r="ES26" s="3">
        <f t="shared" si="19"/>
        <v>0</v>
      </c>
      <c r="ET26" s="3">
        <f t="shared" si="19"/>
        <v>0</v>
      </c>
      <c r="EU26" s="3">
        <f t="shared" si="19"/>
        <v>0</v>
      </c>
      <c r="EV26" s="3">
        <f t="shared" si="19"/>
        <v>0</v>
      </c>
      <c r="EW26" s="3">
        <f t="shared" si="19"/>
        <v>0</v>
      </c>
      <c r="EX26" s="3">
        <f t="shared" si="19"/>
        <v>0</v>
      </c>
      <c r="EY26" s="3">
        <f t="shared" si="19"/>
        <v>0</v>
      </c>
      <c r="EZ26" s="3">
        <f t="shared" si="19"/>
        <v>0</v>
      </c>
      <c r="FA26" s="3">
        <f t="shared" si="19"/>
        <v>0</v>
      </c>
      <c r="FB26" s="3">
        <f t="shared" si="19"/>
        <v>0</v>
      </c>
      <c r="FC26" s="3">
        <f t="shared" si="19"/>
        <v>0</v>
      </c>
      <c r="FD26" s="3">
        <f t="shared" si="19"/>
        <v>0</v>
      </c>
      <c r="FE26" s="3">
        <f t="shared" si="19"/>
        <v>0</v>
      </c>
      <c r="FF26" s="3">
        <f t="shared" si="19"/>
        <v>0</v>
      </c>
      <c r="FG26" s="3">
        <f t="shared" si="19"/>
        <v>0</v>
      </c>
      <c r="FH26" s="3">
        <f t="shared" si="19"/>
        <v>0</v>
      </c>
      <c r="FI26" s="3">
        <f t="shared" si="19"/>
        <v>0</v>
      </c>
      <c r="FJ26" s="3">
        <f t="shared" si="19"/>
        <v>0</v>
      </c>
      <c r="FK26" s="3">
        <f t="shared" si="19"/>
        <v>0</v>
      </c>
      <c r="FL26" s="3">
        <f t="shared" si="19"/>
        <v>0</v>
      </c>
      <c r="FM26" s="3">
        <f t="shared" si="19"/>
        <v>0</v>
      </c>
      <c r="FN26" s="3">
        <f t="shared" si="19"/>
        <v>0</v>
      </c>
      <c r="FO26" s="3">
        <f t="shared" si="19"/>
        <v>0</v>
      </c>
      <c r="FP26" s="3">
        <f t="shared" si="19"/>
        <v>0</v>
      </c>
      <c r="FQ26" s="3">
        <f t="shared" si="19"/>
        <v>0</v>
      </c>
      <c r="FR26" s="3">
        <f t="shared" si="19"/>
        <v>0</v>
      </c>
      <c r="FS26" s="3">
        <f t="shared" ref="FS26:GX26" si="20">FS34</f>
        <v>0</v>
      </c>
      <c r="FT26" s="3">
        <f t="shared" si="20"/>
        <v>0</v>
      </c>
      <c r="FU26" s="3">
        <f t="shared" si="20"/>
        <v>0</v>
      </c>
      <c r="FV26" s="3">
        <f t="shared" si="20"/>
        <v>0</v>
      </c>
      <c r="FW26" s="3">
        <f t="shared" si="20"/>
        <v>0</v>
      </c>
      <c r="FX26" s="3">
        <f t="shared" si="20"/>
        <v>0</v>
      </c>
      <c r="FY26" s="3">
        <f t="shared" si="20"/>
        <v>0</v>
      </c>
      <c r="FZ26" s="3">
        <f t="shared" si="20"/>
        <v>0</v>
      </c>
      <c r="GA26" s="3">
        <f t="shared" si="20"/>
        <v>0</v>
      </c>
      <c r="GB26" s="3">
        <f t="shared" si="20"/>
        <v>0</v>
      </c>
      <c r="GC26" s="3">
        <f t="shared" si="20"/>
        <v>0</v>
      </c>
      <c r="GD26" s="3">
        <f t="shared" si="20"/>
        <v>0</v>
      </c>
      <c r="GE26" s="3">
        <f t="shared" si="20"/>
        <v>0</v>
      </c>
      <c r="GF26" s="3">
        <f t="shared" si="20"/>
        <v>0</v>
      </c>
      <c r="GG26" s="3">
        <f t="shared" si="20"/>
        <v>0</v>
      </c>
      <c r="GH26" s="3">
        <f t="shared" si="20"/>
        <v>0</v>
      </c>
      <c r="GI26" s="3">
        <f t="shared" si="20"/>
        <v>0</v>
      </c>
      <c r="GJ26" s="3">
        <f t="shared" si="20"/>
        <v>0</v>
      </c>
      <c r="GK26" s="3">
        <f t="shared" si="20"/>
        <v>0</v>
      </c>
      <c r="GL26" s="3">
        <f t="shared" si="20"/>
        <v>0</v>
      </c>
      <c r="GM26" s="3">
        <f t="shared" si="20"/>
        <v>0</v>
      </c>
      <c r="GN26" s="3">
        <f t="shared" si="20"/>
        <v>0</v>
      </c>
      <c r="GO26" s="3">
        <f t="shared" si="20"/>
        <v>0</v>
      </c>
      <c r="GP26" s="3">
        <f t="shared" si="20"/>
        <v>0</v>
      </c>
      <c r="GQ26" s="3">
        <f t="shared" si="20"/>
        <v>0</v>
      </c>
      <c r="GR26" s="3">
        <f t="shared" si="20"/>
        <v>0</v>
      </c>
      <c r="GS26" s="3">
        <f t="shared" si="20"/>
        <v>0</v>
      </c>
      <c r="GT26" s="3">
        <f t="shared" si="20"/>
        <v>0</v>
      </c>
      <c r="GU26" s="3">
        <f t="shared" si="20"/>
        <v>0</v>
      </c>
      <c r="GV26" s="3">
        <f t="shared" si="20"/>
        <v>0</v>
      </c>
      <c r="GW26" s="3">
        <f t="shared" si="20"/>
        <v>0</v>
      </c>
      <c r="GX26" s="3">
        <f t="shared" si="20"/>
        <v>0</v>
      </c>
    </row>
    <row r="28" spans="1:245" x14ac:dyDescent="0.2">
      <c r="A28">
        <v>17</v>
      </c>
      <c r="B28">
        <v>1</v>
      </c>
      <c r="C28">
        <f>ROW(SmtRes!A8)</f>
        <v>8</v>
      </c>
      <c r="D28">
        <f>ROW(EtalonRes!A11)</f>
        <v>11</v>
      </c>
      <c r="E28" t="s">
        <v>5</v>
      </c>
      <c r="F28" t="s">
        <v>21</v>
      </c>
      <c r="G28" t="s">
        <v>22</v>
      </c>
      <c r="H28" t="s">
        <v>23</v>
      </c>
      <c r="I28">
        <f>ROUND((32+8.7)/100,9)</f>
        <v>0.40699999999999997</v>
      </c>
      <c r="J28">
        <v>0</v>
      </c>
      <c r="K28">
        <f>ROUND((32+8.7)/100,9)</f>
        <v>0.40699999999999997</v>
      </c>
      <c r="O28">
        <f>ROUND(CP28,2)</f>
        <v>38213.1</v>
      </c>
      <c r="P28">
        <f>ROUND(CQ28*I28,2)</f>
        <v>0</v>
      </c>
      <c r="Q28">
        <f>ROUND(CR28*I28,2)</f>
        <v>314.58</v>
      </c>
      <c r="R28">
        <f>ROUND(CS28*I28,2)</f>
        <v>271.44</v>
      </c>
      <c r="S28">
        <f>ROUND(CT28*I28,2)</f>
        <v>37898.519999999997</v>
      </c>
      <c r="T28">
        <f>ROUND(CU28*I28,2)</f>
        <v>0</v>
      </c>
      <c r="U28">
        <f>CV28*I28</f>
        <v>147.75858239999999</v>
      </c>
      <c r="V28">
        <f>CW28*I28</f>
        <v>0.8947487999999999</v>
      </c>
      <c r="W28">
        <f>ROUND(CX28*I28,2)</f>
        <v>0</v>
      </c>
      <c r="X28">
        <f t="shared" ref="X28:Y32" si="21">ROUND(CY28,2)</f>
        <v>38169.96</v>
      </c>
      <c r="Y28">
        <f t="shared" si="21"/>
        <v>18703.28</v>
      </c>
      <c r="AA28">
        <v>143120906</v>
      </c>
      <c r="AB28">
        <f>ROUND((AC28+AD28+AF28),2)</f>
        <v>3402.68</v>
      </c>
      <c r="AC28">
        <f>ROUND(((ES28*0)),2)</f>
        <v>0</v>
      </c>
      <c r="AD28">
        <f>ROUND((((((ET28*0.8)*1.2))-(((EU28*0.8)*1.2)))+AE28),2)</f>
        <v>69.94</v>
      </c>
      <c r="AE28">
        <f t="shared" ref="AE28:AF30" si="22">ROUND((((EU28*0.8)*1.2)),2)</f>
        <v>23.87</v>
      </c>
      <c r="AF28">
        <f t="shared" si="22"/>
        <v>3332.74</v>
      </c>
      <c r="AG28">
        <f>ROUND((AP28),2)</f>
        <v>0</v>
      </c>
      <c r="AH28">
        <f t="shared" ref="AH28:AI30" si="23">(((EW28*0.8)*1.2))</f>
        <v>363.04320000000001</v>
      </c>
      <c r="AI28">
        <f t="shared" si="23"/>
        <v>2.1983999999999999</v>
      </c>
      <c r="AJ28">
        <f>(AS28)</f>
        <v>0</v>
      </c>
      <c r="AK28">
        <v>3682.32</v>
      </c>
      <c r="AL28">
        <v>137.87</v>
      </c>
      <c r="AM28">
        <v>72.849999999999994</v>
      </c>
      <c r="AN28">
        <v>24.86</v>
      </c>
      <c r="AO28">
        <v>3471.6</v>
      </c>
      <c r="AP28">
        <v>0</v>
      </c>
      <c r="AQ28">
        <v>378.17</v>
      </c>
      <c r="AR28">
        <v>2.29</v>
      </c>
      <c r="AS28">
        <v>0</v>
      </c>
      <c r="AT28">
        <v>100</v>
      </c>
      <c r="AU28">
        <v>49</v>
      </c>
      <c r="AV28">
        <v>1</v>
      </c>
      <c r="AW28">
        <v>1</v>
      </c>
      <c r="AZ28">
        <v>1</v>
      </c>
      <c r="BA28">
        <v>27.94</v>
      </c>
      <c r="BB28">
        <v>11.05</v>
      </c>
      <c r="BC28">
        <v>7.99</v>
      </c>
      <c r="BD28" t="s">
        <v>3</v>
      </c>
      <c r="BE28" t="s">
        <v>3</v>
      </c>
      <c r="BF28" t="s">
        <v>3</v>
      </c>
      <c r="BG28" t="s">
        <v>3</v>
      </c>
      <c r="BH28">
        <v>0</v>
      </c>
      <c r="BI28">
        <v>1</v>
      </c>
      <c r="BJ28" t="s">
        <v>24</v>
      </c>
      <c r="BM28">
        <v>15001</v>
      </c>
      <c r="BN28">
        <v>0</v>
      </c>
      <c r="BO28" t="s">
        <v>3</v>
      </c>
      <c r="BP28">
        <v>0</v>
      </c>
      <c r="BQ28">
        <v>2</v>
      </c>
      <c r="BR28">
        <v>0</v>
      </c>
      <c r="BS28">
        <v>27.94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3</v>
      </c>
      <c r="BZ28">
        <v>100</v>
      </c>
      <c r="CA28">
        <v>49</v>
      </c>
      <c r="CB28" t="s">
        <v>3</v>
      </c>
      <c r="CE28">
        <v>0</v>
      </c>
      <c r="CF28">
        <v>0</v>
      </c>
      <c r="CG28">
        <v>0</v>
      </c>
      <c r="CM28">
        <v>0</v>
      </c>
      <c r="CN28" t="s">
        <v>557</v>
      </c>
      <c r="CO28">
        <v>0</v>
      </c>
      <c r="CP28">
        <f>(P28+Q28+S28)</f>
        <v>38213.1</v>
      </c>
      <c r="CQ28">
        <f>AC28*BC28</f>
        <v>0</v>
      </c>
      <c r="CR28">
        <f>(((((ET28*0.8)*1.2))*BB28-(((EU28*0.8)*1.2))*BS28)+AE28*BS28)</f>
        <v>772.91573599999992</v>
      </c>
      <c r="CS28">
        <f>AE28*BS28</f>
        <v>666.92780000000005</v>
      </c>
      <c r="CT28">
        <f>AF28*BA28</f>
        <v>93116.755600000004</v>
      </c>
      <c r="CU28">
        <f t="shared" ref="CU28:CX32" si="24">AG28</f>
        <v>0</v>
      </c>
      <c r="CV28">
        <f t="shared" si="24"/>
        <v>363.04320000000001</v>
      </c>
      <c r="CW28">
        <f t="shared" si="24"/>
        <v>2.1983999999999999</v>
      </c>
      <c r="CX28">
        <f t="shared" si="24"/>
        <v>0</v>
      </c>
      <c r="CY28">
        <f>(((S28+R28)*AT28)/100)</f>
        <v>38169.96</v>
      </c>
      <c r="CZ28">
        <f>(((S28+R28)*AU28)/100)</f>
        <v>18703.2804</v>
      </c>
      <c r="DC28" t="s">
        <v>3</v>
      </c>
      <c r="DD28" t="s">
        <v>25</v>
      </c>
      <c r="DE28" t="s">
        <v>26</v>
      </c>
      <c r="DF28" t="s">
        <v>26</v>
      </c>
      <c r="DG28" t="s">
        <v>26</v>
      </c>
      <c r="DH28" t="s">
        <v>3</v>
      </c>
      <c r="DI28" t="s">
        <v>26</v>
      </c>
      <c r="DJ28" t="s">
        <v>26</v>
      </c>
      <c r="DK28" t="s">
        <v>3</v>
      </c>
      <c r="DL28" t="s">
        <v>3</v>
      </c>
      <c r="DM28" t="s">
        <v>3</v>
      </c>
      <c r="DN28">
        <v>0</v>
      </c>
      <c r="DO28">
        <v>0</v>
      </c>
      <c r="DP28">
        <v>1</v>
      </c>
      <c r="DQ28">
        <v>1</v>
      </c>
      <c r="DU28">
        <v>1005</v>
      </c>
      <c r="DV28" t="s">
        <v>23</v>
      </c>
      <c r="DW28" t="s">
        <v>23</v>
      </c>
      <c r="DX28">
        <v>100</v>
      </c>
      <c r="DZ28" t="s">
        <v>3</v>
      </c>
      <c r="EA28" t="s">
        <v>3</v>
      </c>
      <c r="EB28" t="s">
        <v>3</v>
      </c>
      <c r="EC28" t="s">
        <v>3</v>
      </c>
      <c r="EE28">
        <v>140625061</v>
      </c>
      <c r="EF28">
        <v>2</v>
      </c>
      <c r="EG28" t="s">
        <v>27</v>
      </c>
      <c r="EH28">
        <v>15</v>
      </c>
      <c r="EI28" t="s">
        <v>28</v>
      </c>
      <c r="EJ28">
        <v>1</v>
      </c>
      <c r="EK28">
        <v>15001</v>
      </c>
      <c r="EL28" t="s">
        <v>28</v>
      </c>
      <c r="EM28" t="s">
        <v>29</v>
      </c>
      <c r="EO28" t="s">
        <v>30</v>
      </c>
      <c r="EQ28">
        <v>0</v>
      </c>
      <c r="ER28">
        <v>3682.32</v>
      </c>
      <c r="ES28">
        <v>137.87</v>
      </c>
      <c r="ET28">
        <v>72.849999999999994</v>
      </c>
      <c r="EU28">
        <v>24.86</v>
      </c>
      <c r="EV28">
        <v>3471.6</v>
      </c>
      <c r="EW28">
        <v>378.17</v>
      </c>
      <c r="EX28">
        <v>2.29</v>
      </c>
      <c r="EY28">
        <v>0</v>
      </c>
      <c r="FQ28">
        <v>0</v>
      </c>
      <c r="FR28">
        <f>ROUND(IF(AND(BH28=3,BI28=3),P28,0),2)</f>
        <v>0</v>
      </c>
      <c r="FS28">
        <v>0</v>
      </c>
      <c r="FX28">
        <v>100</v>
      </c>
      <c r="FY28">
        <v>49</v>
      </c>
      <c r="GA28" t="s">
        <v>3</v>
      </c>
      <c r="GD28">
        <v>1</v>
      </c>
      <c r="GF28">
        <v>-2001881872</v>
      </c>
      <c r="GG28">
        <v>2</v>
      </c>
      <c r="GH28">
        <v>1</v>
      </c>
      <c r="GI28">
        <v>4</v>
      </c>
      <c r="GJ28">
        <v>0</v>
      </c>
      <c r="GK28">
        <v>0</v>
      </c>
      <c r="GL28">
        <f>ROUND(IF(AND(BH28=3,BI28=3,FS28&lt;&gt;0),P28,0),2)</f>
        <v>0</v>
      </c>
      <c r="GM28">
        <f>ROUND(O28+X28+Y28,2)+GX28</f>
        <v>95086.34</v>
      </c>
      <c r="GN28">
        <f>IF(OR(BI28=0,BI28=1),ROUND(O28+X28+Y28,2),0)</f>
        <v>95086.34</v>
      </c>
      <c r="GO28">
        <f>IF(BI28=2,ROUND(O28+X28+Y28,2),0)</f>
        <v>0</v>
      </c>
      <c r="GP28">
        <f>IF(BI28=4,ROUND(O28+X28+Y28,2)+GX28,0)</f>
        <v>0</v>
      </c>
      <c r="GR28">
        <v>0</v>
      </c>
      <c r="GS28">
        <v>3</v>
      </c>
      <c r="GT28">
        <v>0</v>
      </c>
      <c r="GU28" t="s">
        <v>3</v>
      </c>
      <c r="GV28">
        <f>ROUND((GT28),2)</f>
        <v>0</v>
      </c>
      <c r="GW28">
        <v>1</v>
      </c>
      <c r="GX28">
        <f>ROUND(HC28*I28,2)</f>
        <v>0</v>
      </c>
      <c r="HA28">
        <v>0</v>
      </c>
      <c r="HB28">
        <v>0</v>
      </c>
      <c r="HC28">
        <f>GV28*GW28</f>
        <v>0</v>
      </c>
      <c r="HE28" t="s">
        <v>3</v>
      </c>
      <c r="HF28" t="s">
        <v>3</v>
      </c>
      <c r="HM28" t="s">
        <v>3</v>
      </c>
      <c r="HN28" t="s">
        <v>31</v>
      </c>
      <c r="HO28" t="s">
        <v>32</v>
      </c>
      <c r="HP28" t="s">
        <v>28</v>
      </c>
      <c r="HQ28" t="s">
        <v>28</v>
      </c>
      <c r="IK28">
        <v>0</v>
      </c>
    </row>
    <row r="29" spans="1:245" x14ac:dyDescent="0.2">
      <c r="A29">
        <v>17</v>
      </c>
      <c r="B29">
        <v>1</v>
      </c>
      <c r="C29">
        <f>ROW(SmtRes!A21)</f>
        <v>21</v>
      </c>
      <c r="D29">
        <f>ROW(EtalonRes!A27)</f>
        <v>27</v>
      </c>
      <c r="E29" t="s">
        <v>33</v>
      </c>
      <c r="F29" t="s">
        <v>34</v>
      </c>
      <c r="G29" t="s">
        <v>35</v>
      </c>
      <c r="H29" t="s">
        <v>23</v>
      </c>
      <c r="I29">
        <f>ROUND(19.2/100,9)</f>
        <v>0.192</v>
      </c>
      <c r="J29">
        <v>0</v>
      </c>
      <c r="K29">
        <f>ROUND(19.2/100,9)</f>
        <v>0.192</v>
      </c>
      <c r="O29">
        <f>ROUND(CP29,2)</f>
        <v>9925.32</v>
      </c>
      <c r="P29">
        <f>ROUND(CQ29*I29,2)</f>
        <v>0</v>
      </c>
      <c r="Q29">
        <f>ROUND(CR29*I29,2)</f>
        <v>4454.62</v>
      </c>
      <c r="R29">
        <f>ROUND(CS29*I29,2)</f>
        <v>1280.3900000000001</v>
      </c>
      <c r="S29">
        <f>ROUND(CT29*I29,2)</f>
        <v>5470.7</v>
      </c>
      <c r="T29">
        <f>ROUND(CU29*I29,2)</f>
        <v>0</v>
      </c>
      <c r="U29">
        <f>CV29*I29</f>
        <v>20.830003200000004</v>
      </c>
      <c r="V29">
        <f>CW29*I29</f>
        <v>3.4099200000000005</v>
      </c>
      <c r="W29">
        <f>ROUND(CX29*I29,2)</f>
        <v>0</v>
      </c>
      <c r="X29">
        <f t="shared" si="21"/>
        <v>6278.51</v>
      </c>
      <c r="Y29">
        <f t="shared" si="21"/>
        <v>4185.68</v>
      </c>
      <c r="AA29">
        <v>143120906</v>
      </c>
      <c r="AB29">
        <f>ROUND((AC29+AD29+AF29),2)</f>
        <v>3119.46</v>
      </c>
      <c r="AC29">
        <f>ROUND(((ES29*0)),2)</f>
        <v>0</v>
      </c>
      <c r="AD29">
        <f>ROUND((((((ET29*0.8)*1.2))-(((EU29*0.8)*1.2)))+AE29),2)</f>
        <v>2099.66</v>
      </c>
      <c r="AE29">
        <f t="shared" si="22"/>
        <v>238.68</v>
      </c>
      <c r="AF29">
        <f t="shared" si="22"/>
        <v>1019.8</v>
      </c>
      <c r="AG29">
        <f>ROUND((AP29),2)</f>
        <v>0</v>
      </c>
      <c r="AH29">
        <f t="shared" si="23"/>
        <v>108.48960000000001</v>
      </c>
      <c r="AI29">
        <f t="shared" si="23"/>
        <v>17.760000000000002</v>
      </c>
      <c r="AJ29">
        <f>(AS29)</f>
        <v>0</v>
      </c>
      <c r="AK29">
        <v>3283.49</v>
      </c>
      <c r="AL29">
        <v>34.049999999999997</v>
      </c>
      <c r="AM29">
        <v>2187.15</v>
      </c>
      <c r="AN29">
        <v>248.63</v>
      </c>
      <c r="AO29">
        <v>1062.29</v>
      </c>
      <c r="AP29">
        <v>0</v>
      </c>
      <c r="AQ29">
        <v>113.01</v>
      </c>
      <c r="AR29">
        <v>18.5</v>
      </c>
      <c r="AS29">
        <v>0</v>
      </c>
      <c r="AT29">
        <v>93</v>
      </c>
      <c r="AU29">
        <v>62</v>
      </c>
      <c r="AV29">
        <v>1</v>
      </c>
      <c r="AW29">
        <v>1</v>
      </c>
      <c r="AZ29">
        <v>1</v>
      </c>
      <c r="BA29">
        <v>27.94</v>
      </c>
      <c r="BB29">
        <v>11.05</v>
      </c>
      <c r="BC29">
        <v>7.99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36</v>
      </c>
      <c r="BM29">
        <v>9001</v>
      </c>
      <c r="BN29">
        <v>0</v>
      </c>
      <c r="BO29" t="s">
        <v>3</v>
      </c>
      <c r="BP29">
        <v>0</v>
      </c>
      <c r="BQ29">
        <v>2</v>
      </c>
      <c r="BR29">
        <v>0</v>
      </c>
      <c r="BS29">
        <v>27.94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93</v>
      </c>
      <c r="CA29">
        <v>62</v>
      </c>
      <c r="CB29" t="s">
        <v>3</v>
      </c>
      <c r="CE29">
        <v>0</v>
      </c>
      <c r="CF29">
        <v>0</v>
      </c>
      <c r="CG29">
        <v>0</v>
      </c>
      <c r="CM29">
        <v>0</v>
      </c>
      <c r="CN29" t="s">
        <v>557</v>
      </c>
      <c r="CO29">
        <v>0</v>
      </c>
      <c r="CP29">
        <f>(P29+Q29+S29)</f>
        <v>9925.32</v>
      </c>
      <c r="CQ29">
        <f>AC29*BC29</f>
        <v>0</v>
      </c>
      <c r="CR29">
        <f>(((((ET29*0.8)*1.2))*BB29-(((EU29*0.8)*1.2))*BS29)+AE29*BS29)</f>
        <v>23201.153088000003</v>
      </c>
      <c r="CS29">
        <f>AE29*BS29</f>
        <v>6668.7192000000005</v>
      </c>
      <c r="CT29">
        <f>AF29*BA29</f>
        <v>28493.212</v>
      </c>
      <c r="CU29">
        <f t="shared" si="24"/>
        <v>0</v>
      </c>
      <c r="CV29">
        <f t="shared" si="24"/>
        <v>108.48960000000001</v>
      </c>
      <c r="CW29">
        <f t="shared" si="24"/>
        <v>17.760000000000002</v>
      </c>
      <c r="CX29">
        <f t="shared" si="24"/>
        <v>0</v>
      </c>
      <c r="CY29">
        <f>(((S29+R29)*AT29)/100)</f>
        <v>6278.5136999999995</v>
      </c>
      <c r="CZ29">
        <f>(((S29+R29)*AU29)/100)</f>
        <v>4185.6758</v>
      </c>
      <c r="DC29" t="s">
        <v>3</v>
      </c>
      <c r="DD29" t="s">
        <v>25</v>
      </c>
      <c r="DE29" t="s">
        <v>26</v>
      </c>
      <c r="DF29" t="s">
        <v>26</v>
      </c>
      <c r="DG29" t="s">
        <v>26</v>
      </c>
      <c r="DH29" t="s">
        <v>3</v>
      </c>
      <c r="DI29" t="s">
        <v>26</v>
      </c>
      <c r="DJ29" t="s">
        <v>26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1005</v>
      </c>
      <c r="DV29" t="s">
        <v>23</v>
      </c>
      <c r="DW29" t="s">
        <v>23</v>
      </c>
      <c r="DX29">
        <v>100</v>
      </c>
      <c r="DZ29" t="s">
        <v>3</v>
      </c>
      <c r="EA29" t="s">
        <v>3</v>
      </c>
      <c r="EB29" t="s">
        <v>3</v>
      </c>
      <c r="EC29" t="s">
        <v>3</v>
      </c>
      <c r="EE29">
        <v>140625026</v>
      </c>
      <c r="EF29">
        <v>2</v>
      </c>
      <c r="EG29" t="s">
        <v>27</v>
      </c>
      <c r="EH29">
        <v>9</v>
      </c>
      <c r="EI29" t="s">
        <v>37</v>
      </c>
      <c r="EJ29">
        <v>1</v>
      </c>
      <c r="EK29">
        <v>9001</v>
      </c>
      <c r="EL29" t="s">
        <v>37</v>
      </c>
      <c r="EM29" t="s">
        <v>38</v>
      </c>
      <c r="EO29" t="s">
        <v>30</v>
      </c>
      <c r="EQ29">
        <v>0</v>
      </c>
      <c r="ER29">
        <v>3283.49</v>
      </c>
      <c r="ES29">
        <v>34.049999999999997</v>
      </c>
      <c r="ET29">
        <v>2187.15</v>
      </c>
      <c r="EU29">
        <v>248.63</v>
      </c>
      <c r="EV29">
        <v>1062.29</v>
      </c>
      <c r="EW29">
        <v>113.01</v>
      </c>
      <c r="EX29">
        <v>18.5</v>
      </c>
      <c r="EY29">
        <v>0</v>
      </c>
      <c r="FQ29">
        <v>0</v>
      </c>
      <c r="FR29">
        <f>ROUND(IF(AND(BH29=3,BI29=3),P29,0),2)</f>
        <v>0</v>
      </c>
      <c r="FS29">
        <v>0</v>
      </c>
      <c r="FX29">
        <v>93</v>
      </c>
      <c r="FY29">
        <v>62</v>
      </c>
      <c r="GA29" t="s">
        <v>3</v>
      </c>
      <c r="GD29">
        <v>1</v>
      </c>
      <c r="GF29">
        <v>521056287</v>
      </c>
      <c r="GG29">
        <v>2</v>
      </c>
      <c r="GH29">
        <v>1</v>
      </c>
      <c r="GI29">
        <v>4</v>
      </c>
      <c r="GJ29">
        <v>0</v>
      </c>
      <c r="GK29">
        <v>0</v>
      </c>
      <c r="GL29">
        <f>ROUND(IF(AND(BH29=3,BI29=3,FS29&lt;&gt;0),P29,0),2)</f>
        <v>0</v>
      </c>
      <c r="GM29">
        <f>ROUND(O29+X29+Y29,2)+GX29</f>
        <v>20389.509999999998</v>
      </c>
      <c r="GN29">
        <f>IF(OR(BI29=0,BI29=1),ROUND(O29+X29+Y29,2),0)</f>
        <v>20389.509999999998</v>
      </c>
      <c r="GO29">
        <f>IF(BI29=2,ROUND(O29+X29+Y29,2),0)</f>
        <v>0</v>
      </c>
      <c r="GP29">
        <f>IF(BI29=4,ROUND(O29+X29+Y29,2)+GX29,0)</f>
        <v>0</v>
      </c>
      <c r="GR29">
        <v>0</v>
      </c>
      <c r="GS29">
        <v>3</v>
      </c>
      <c r="GT29">
        <v>0</v>
      </c>
      <c r="GU29" t="s">
        <v>3</v>
      </c>
      <c r="GV29">
        <f>ROUND((GT29),2)</f>
        <v>0</v>
      </c>
      <c r="GW29">
        <v>1</v>
      </c>
      <c r="GX29">
        <f>ROUND(HC29*I29,2)</f>
        <v>0</v>
      </c>
      <c r="HA29">
        <v>0</v>
      </c>
      <c r="HB29">
        <v>0</v>
      </c>
      <c r="HC29">
        <f>GV29*GW29</f>
        <v>0</v>
      </c>
      <c r="HE29" t="s">
        <v>3</v>
      </c>
      <c r="HF29" t="s">
        <v>3</v>
      </c>
      <c r="HM29" t="s">
        <v>3</v>
      </c>
      <c r="HN29" t="s">
        <v>39</v>
      </c>
      <c r="HO29" t="s">
        <v>40</v>
      </c>
      <c r="HP29" t="s">
        <v>37</v>
      </c>
      <c r="HQ29" t="s">
        <v>37</v>
      </c>
      <c r="IK29">
        <v>0</v>
      </c>
    </row>
    <row r="30" spans="1:245" x14ac:dyDescent="0.2">
      <c r="A30">
        <v>17</v>
      </c>
      <c r="B30">
        <v>1</v>
      </c>
      <c r="C30">
        <f>ROW(SmtRes!A22)</f>
        <v>22</v>
      </c>
      <c r="D30">
        <f>ROW(EtalonRes!A29)</f>
        <v>29</v>
      </c>
      <c r="E30" t="s">
        <v>41</v>
      </c>
      <c r="F30" t="s">
        <v>42</v>
      </c>
      <c r="G30" t="s">
        <v>43</v>
      </c>
      <c r="H30" t="s">
        <v>44</v>
      </c>
      <c r="I30">
        <v>2</v>
      </c>
      <c r="J30">
        <v>0</v>
      </c>
      <c r="K30">
        <v>2</v>
      </c>
      <c r="O30">
        <f>ROUND(CP30,2)</f>
        <v>61.47</v>
      </c>
      <c r="P30">
        <f>ROUND(CQ30*I30,2)</f>
        <v>0</v>
      </c>
      <c r="Q30">
        <f>ROUND(CR30*I30,2)</f>
        <v>0</v>
      </c>
      <c r="R30">
        <f>ROUND(CS30*I30,2)</f>
        <v>0</v>
      </c>
      <c r="S30">
        <f>ROUND(CT30*I30,2)</f>
        <v>61.47</v>
      </c>
      <c r="T30">
        <f>ROUND(CU30*I30,2)</f>
        <v>0</v>
      </c>
      <c r="U30">
        <f>CV30*I30</f>
        <v>0.23039999999999999</v>
      </c>
      <c r="V30">
        <f>CW30*I30</f>
        <v>0</v>
      </c>
      <c r="W30">
        <f>ROUND(CX30*I30,2)</f>
        <v>0</v>
      </c>
      <c r="X30">
        <f t="shared" si="21"/>
        <v>67</v>
      </c>
      <c r="Y30">
        <f t="shared" si="21"/>
        <v>35.04</v>
      </c>
      <c r="AA30">
        <v>143120906</v>
      </c>
      <c r="AB30">
        <f>ROUND((AC30+AD30+AF30),2)</f>
        <v>1.1000000000000001</v>
      </c>
      <c r="AC30">
        <f>ROUND(((ES30*0)),2)</f>
        <v>0</v>
      </c>
      <c r="AD30">
        <f>ROUND((((((ET30*0.8)*1.2))-(((EU30*0.8)*1.2)))+AE30),2)</f>
        <v>0</v>
      </c>
      <c r="AE30">
        <f t="shared" si="22"/>
        <v>0</v>
      </c>
      <c r="AF30">
        <f t="shared" si="22"/>
        <v>1.1000000000000001</v>
      </c>
      <c r="AG30">
        <f>ROUND((AP30),2)</f>
        <v>0</v>
      </c>
      <c r="AH30">
        <f t="shared" si="23"/>
        <v>0.1152</v>
      </c>
      <c r="AI30">
        <f t="shared" si="23"/>
        <v>0</v>
      </c>
      <c r="AJ30">
        <f>(AS30)</f>
        <v>0</v>
      </c>
      <c r="AK30">
        <v>1.1499999999999999</v>
      </c>
      <c r="AL30">
        <v>0</v>
      </c>
      <c r="AM30">
        <v>0</v>
      </c>
      <c r="AN30">
        <v>0</v>
      </c>
      <c r="AO30">
        <v>1.1499999999999999</v>
      </c>
      <c r="AP30">
        <v>0</v>
      </c>
      <c r="AQ30">
        <v>0.12</v>
      </c>
      <c r="AR30">
        <v>0</v>
      </c>
      <c r="AS30">
        <v>0</v>
      </c>
      <c r="AT30">
        <v>109</v>
      </c>
      <c r="AU30">
        <v>57</v>
      </c>
      <c r="AV30">
        <v>1</v>
      </c>
      <c r="AW30">
        <v>1</v>
      </c>
      <c r="AZ30">
        <v>1</v>
      </c>
      <c r="BA30">
        <v>27.94</v>
      </c>
      <c r="BB30">
        <v>11.05</v>
      </c>
      <c r="BC30">
        <v>7.99</v>
      </c>
      <c r="BD30" t="s">
        <v>3</v>
      </c>
      <c r="BE30" t="s">
        <v>3</v>
      </c>
      <c r="BF30" t="s">
        <v>3</v>
      </c>
      <c r="BG30" t="s">
        <v>3</v>
      </c>
      <c r="BH30">
        <v>0</v>
      </c>
      <c r="BI30">
        <v>1</v>
      </c>
      <c r="BJ30" t="s">
        <v>45</v>
      </c>
      <c r="BM30">
        <v>12001</v>
      </c>
      <c r="BN30">
        <v>0</v>
      </c>
      <c r="BO30" t="s">
        <v>3</v>
      </c>
      <c r="BP30">
        <v>0</v>
      </c>
      <c r="BQ30">
        <v>2</v>
      </c>
      <c r="BR30">
        <v>0</v>
      </c>
      <c r="BS30">
        <v>27.94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3</v>
      </c>
      <c r="BZ30">
        <v>109</v>
      </c>
      <c r="CA30">
        <v>57</v>
      </c>
      <c r="CB30" t="s">
        <v>3</v>
      </c>
      <c r="CE30">
        <v>0</v>
      </c>
      <c r="CF30">
        <v>0</v>
      </c>
      <c r="CG30">
        <v>0</v>
      </c>
      <c r="CM30">
        <v>0</v>
      </c>
      <c r="CN30" t="s">
        <v>557</v>
      </c>
      <c r="CO30">
        <v>0</v>
      </c>
      <c r="CP30">
        <f>(P30+Q30+S30)</f>
        <v>61.47</v>
      </c>
      <c r="CQ30">
        <f>AC30*BC30</f>
        <v>0</v>
      </c>
      <c r="CR30">
        <f>(((((ET30*0.8)*1.2))*BB30-(((EU30*0.8)*1.2))*BS30)+AE30*BS30)</f>
        <v>0</v>
      </c>
      <c r="CS30">
        <f>AE30*BS30</f>
        <v>0</v>
      </c>
      <c r="CT30">
        <f>AF30*BA30</f>
        <v>30.734000000000005</v>
      </c>
      <c r="CU30">
        <f t="shared" si="24"/>
        <v>0</v>
      </c>
      <c r="CV30">
        <f t="shared" si="24"/>
        <v>0.1152</v>
      </c>
      <c r="CW30">
        <f t="shared" si="24"/>
        <v>0</v>
      </c>
      <c r="CX30">
        <f t="shared" si="24"/>
        <v>0</v>
      </c>
      <c r="CY30">
        <f>(((S30+R30)*AT30)/100)</f>
        <v>67.002299999999991</v>
      </c>
      <c r="CZ30">
        <f>(((S30+R30)*AU30)/100)</f>
        <v>35.0379</v>
      </c>
      <c r="DC30" t="s">
        <v>3</v>
      </c>
      <c r="DD30" t="s">
        <v>25</v>
      </c>
      <c r="DE30" t="s">
        <v>26</v>
      </c>
      <c r="DF30" t="s">
        <v>26</v>
      </c>
      <c r="DG30" t="s">
        <v>26</v>
      </c>
      <c r="DH30" t="s">
        <v>3</v>
      </c>
      <c r="DI30" t="s">
        <v>26</v>
      </c>
      <c r="DJ30" t="s">
        <v>26</v>
      </c>
      <c r="DK30" t="s">
        <v>3</v>
      </c>
      <c r="DL30" t="s">
        <v>3</v>
      </c>
      <c r="DM30" t="s">
        <v>3</v>
      </c>
      <c r="DN30">
        <v>0</v>
      </c>
      <c r="DO30">
        <v>0</v>
      </c>
      <c r="DP30">
        <v>1</v>
      </c>
      <c r="DQ30">
        <v>1</v>
      </c>
      <c r="DU30">
        <v>1013</v>
      </c>
      <c r="DV30" t="s">
        <v>44</v>
      </c>
      <c r="DW30" t="s">
        <v>44</v>
      </c>
      <c r="DX30">
        <v>1</v>
      </c>
      <c r="DZ30" t="s">
        <v>3</v>
      </c>
      <c r="EA30" t="s">
        <v>3</v>
      </c>
      <c r="EB30" t="s">
        <v>3</v>
      </c>
      <c r="EC30" t="s">
        <v>3</v>
      </c>
      <c r="EE30">
        <v>140625032</v>
      </c>
      <c r="EF30">
        <v>2</v>
      </c>
      <c r="EG30" t="s">
        <v>27</v>
      </c>
      <c r="EH30">
        <v>12</v>
      </c>
      <c r="EI30" t="s">
        <v>46</v>
      </c>
      <c r="EJ30">
        <v>1</v>
      </c>
      <c r="EK30">
        <v>12001</v>
      </c>
      <c r="EL30" t="s">
        <v>46</v>
      </c>
      <c r="EM30" t="s">
        <v>47</v>
      </c>
      <c r="EO30" t="s">
        <v>30</v>
      </c>
      <c r="EQ30">
        <v>0</v>
      </c>
      <c r="ER30">
        <v>1.1499999999999999</v>
      </c>
      <c r="ES30">
        <v>0</v>
      </c>
      <c r="ET30">
        <v>0</v>
      </c>
      <c r="EU30">
        <v>0</v>
      </c>
      <c r="EV30">
        <v>1.1499999999999999</v>
      </c>
      <c r="EW30">
        <v>0.12</v>
      </c>
      <c r="EX30">
        <v>0</v>
      </c>
      <c r="EY30">
        <v>0</v>
      </c>
      <c r="FQ30">
        <v>0</v>
      </c>
      <c r="FR30">
        <f>ROUND(IF(AND(BH30=3,BI30=3),P30,0),2)</f>
        <v>0</v>
      </c>
      <c r="FS30">
        <v>0</v>
      </c>
      <c r="FX30">
        <v>109</v>
      </c>
      <c r="FY30">
        <v>57</v>
      </c>
      <c r="GA30" t="s">
        <v>3</v>
      </c>
      <c r="GD30">
        <v>1</v>
      </c>
      <c r="GF30">
        <v>-634471943</v>
      </c>
      <c r="GG30">
        <v>2</v>
      </c>
      <c r="GH30">
        <v>1</v>
      </c>
      <c r="GI30">
        <v>4</v>
      </c>
      <c r="GJ30">
        <v>0</v>
      </c>
      <c r="GK30">
        <v>0</v>
      </c>
      <c r="GL30">
        <f>ROUND(IF(AND(BH30=3,BI30=3,FS30&lt;&gt;0),P30,0),2)</f>
        <v>0</v>
      </c>
      <c r="GM30">
        <f>ROUND(O30+X30+Y30,2)+GX30</f>
        <v>163.51</v>
      </c>
      <c r="GN30">
        <f>IF(OR(BI30=0,BI30=1),ROUND(O30+X30+Y30,2),0)</f>
        <v>163.51</v>
      </c>
      <c r="GO30">
        <f>IF(BI30=2,ROUND(O30+X30+Y30,2),0)</f>
        <v>0</v>
      </c>
      <c r="GP30">
        <f>IF(BI30=4,ROUND(O30+X30+Y30,2)+GX30,0)</f>
        <v>0</v>
      </c>
      <c r="GR30">
        <v>0</v>
      </c>
      <c r="GS30">
        <v>3</v>
      </c>
      <c r="GT30">
        <v>0</v>
      </c>
      <c r="GU30" t="s">
        <v>3</v>
      </c>
      <c r="GV30">
        <f>ROUND((GT30),2)</f>
        <v>0</v>
      </c>
      <c r="GW30">
        <v>1</v>
      </c>
      <c r="GX30">
        <f>ROUND(HC30*I30,2)</f>
        <v>0</v>
      </c>
      <c r="HA30">
        <v>0</v>
      </c>
      <c r="HB30">
        <v>0</v>
      </c>
      <c r="HC30">
        <f>GV30*GW30</f>
        <v>0</v>
      </c>
      <c r="HE30" t="s">
        <v>3</v>
      </c>
      <c r="HF30" t="s">
        <v>3</v>
      </c>
      <c r="HM30" t="s">
        <v>3</v>
      </c>
      <c r="HN30" t="s">
        <v>48</v>
      </c>
      <c r="HO30" t="s">
        <v>49</v>
      </c>
      <c r="HP30" t="s">
        <v>46</v>
      </c>
      <c r="HQ30" t="s">
        <v>46</v>
      </c>
      <c r="IK30">
        <v>0</v>
      </c>
    </row>
    <row r="31" spans="1:245" x14ac:dyDescent="0.2">
      <c r="A31">
        <v>17</v>
      </c>
      <c r="B31">
        <v>1</v>
      </c>
      <c r="C31">
        <f>ROW(SmtRes!A24)</f>
        <v>24</v>
      </c>
      <c r="D31">
        <f>ROW(EtalonRes!A31)</f>
        <v>31</v>
      </c>
      <c r="E31" t="s">
        <v>50</v>
      </c>
      <c r="F31" t="s">
        <v>51</v>
      </c>
      <c r="G31" t="s">
        <v>52</v>
      </c>
      <c r="H31" t="s">
        <v>53</v>
      </c>
      <c r="I31">
        <v>50</v>
      </c>
      <c r="J31">
        <v>0</v>
      </c>
      <c r="K31">
        <v>50</v>
      </c>
      <c r="O31">
        <f>ROUND(CP31,2)</f>
        <v>15075.32</v>
      </c>
      <c r="P31">
        <f>ROUND(CQ31*I31,2)</f>
        <v>4122.84</v>
      </c>
      <c r="Q31">
        <f>ROUND(CR31*I31,2)</f>
        <v>0</v>
      </c>
      <c r="R31">
        <f>ROUND(CS31*I31,2)</f>
        <v>0</v>
      </c>
      <c r="S31">
        <f>ROUND(CT31*I31,2)</f>
        <v>10952.48</v>
      </c>
      <c r="T31">
        <f>ROUND(CU31*I31,2)</f>
        <v>0</v>
      </c>
      <c r="U31">
        <f>CV31*I31</f>
        <v>40.709999999999994</v>
      </c>
      <c r="V31">
        <f>CW31*I31</f>
        <v>0</v>
      </c>
      <c r="W31">
        <f>ROUND(CX31*I31,2)</f>
        <v>0</v>
      </c>
      <c r="X31">
        <f t="shared" si="21"/>
        <v>12376.3</v>
      </c>
      <c r="Y31">
        <f t="shared" si="21"/>
        <v>7168.4</v>
      </c>
      <c r="AA31">
        <v>143120906</v>
      </c>
      <c r="AB31">
        <f>ROUND((AC31+AD31+AF31),2)</f>
        <v>18.16</v>
      </c>
      <c r="AC31">
        <f>ROUND((ES31),2)</f>
        <v>10.32</v>
      </c>
      <c r="AD31">
        <f>ROUND((((((ET31*1.25)*1.2))-(((EU31*1.25)*1.2)))+AE31),2)</f>
        <v>0</v>
      </c>
      <c r="AE31">
        <f>ROUND((((EU31*1.25)*1.2)),2)</f>
        <v>0</v>
      </c>
      <c r="AF31">
        <f>ROUND((((EV31*1.15)*1.2)),2)</f>
        <v>7.84</v>
      </c>
      <c r="AG31">
        <f>ROUND((AP31),2)</f>
        <v>0</v>
      </c>
      <c r="AH31">
        <f>(((EW31*1.15)*1.2))</f>
        <v>0.81419999999999981</v>
      </c>
      <c r="AI31">
        <f>(((EX31*1.25)*1.2))</f>
        <v>0</v>
      </c>
      <c r="AJ31">
        <f>(AS31)</f>
        <v>0</v>
      </c>
      <c r="AK31">
        <v>16</v>
      </c>
      <c r="AL31">
        <v>10.32</v>
      </c>
      <c r="AM31">
        <v>0</v>
      </c>
      <c r="AN31">
        <v>0</v>
      </c>
      <c r="AO31">
        <v>5.68</v>
      </c>
      <c r="AP31">
        <v>0</v>
      </c>
      <c r="AQ31">
        <v>0.59</v>
      </c>
      <c r="AR31">
        <v>0</v>
      </c>
      <c r="AS31">
        <v>0</v>
      </c>
      <c r="AT31">
        <v>113</v>
      </c>
      <c r="AU31">
        <v>65.45</v>
      </c>
      <c r="AV31">
        <v>1</v>
      </c>
      <c r="AW31">
        <v>1</v>
      </c>
      <c r="AZ31">
        <v>1</v>
      </c>
      <c r="BA31">
        <v>27.94</v>
      </c>
      <c r="BB31">
        <v>11.05</v>
      </c>
      <c r="BC31">
        <v>7.99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54</v>
      </c>
      <c r="BM31">
        <v>27005</v>
      </c>
      <c r="BN31">
        <v>0</v>
      </c>
      <c r="BO31" t="s">
        <v>3</v>
      </c>
      <c r="BP31">
        <v>0</v>
      </c>
      <c r="BQ31">
        <v>2</v>
      </c>
      <c r="BR31">
        <v>0</v>
      </c>
      <c r="BS31">
        <v>27.94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113</v>
      </c>
      <c r="CA31">
        <v>77</v>
      </c>
      <c r="CB31" t="s">
        <v>3</v>
      </c>
      <c r="CE31">
        <v>0</v>
      </c>
      <c r="CF31">
        <v>0</v>
      </c>
      <c r="CG31">
        <v>0</v>
      </c>
      <c r="CM31">
        <v>0</v>
      </c>
      <c r="CN31" t="s">
        <v>556</v>
      </c>
      <c r="CO31">
        <v>0</v>
      </c>
      <c r="CP31">
        <f>(P31+Q31+S31)</f>
        <v>15075.32</v>
      </c>
      <c r="CQ31">
        <f>AC31*BC31</f>
        <v>82.456800000000001</v>
      </c>
      <c r="CR31">
        <f>(((((ET31*1.25)*1.2))*BB31-(((EU31*1.25)*1.2))*BS31)+AE31*BS31)</f>
        <v>0</v>
      </c>
      <c r="CS31">
        <f>AE31*BS31</f>
        <v>0</v>
      </c>
      <c r="CT31">
        <f>AF31*BA31</f>
        <v>219.0496</v>
      </c>
      <c r="CU31">
        <f t="shared" si="24"/>
        <v>0</v>
      </c>
      <c r="CV31">
        <f t="shared" si="24"/>
        <v>0.81419999999999981</v>
      </c>
      <c r="CW31">
        <f t="shared" si="24"/>
        <v>0</v>
      </c>
      <c r="CX31">
        <f t="shared" si="24"/>
        <v>0</v>
      </c>
      <c r="CY31">
        <f>(((S31+R31)*AT31)/100)</f>
        <v>12376.3024</v>
      </c>
      <c r="CZ31">
        <f>(((S31+R31)*AU31)/100)</f>
        <v>7168.3981599999997</v>
      </c>
      <c r="DC31" t="s">
        <v>3</v>
      </c>
      <c r="DD31" t="s">
        <v>3</v>
      </c>
      <c r="DE31" t="s">
        <v>16</v>
      </c>
      <c r="DF31" t="s">
        <v>16</v>
      </c>
      <c r="DG31" t="s">
        <v>17</v>
      </c>
      <c r="DH31" t="s">
        <v>3</v>
      </c>
      <c r="DI31" t="s">
        <v>17</v>
      </c>
      <c r="DJ31" t="s">
        <v>16</v>
      </c>
      <c r="DK31" t="s">
        <v>3</v>
      </c>
      <c r="DL31" t="s">
        <v>3</v>
      </c>
      <c r="DM31" t="s">
        <v>55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53</v>
      </c>
      <c r="DW31" t="s">
        <v>53</v>
      </c>
      <c r="DX31">
        <v>1</v>
      </c>
      <c r="DZ31" t="s">
        <v>3</v>
      </c>
      <c r="EA31" t="s">
        <v>3</v>
      </c>
      <c r="EB31" t="s">
        <v>3</v>
      </c>
      <c r="EC31" t="s">
        <v>3</v>
      </c>
      <c r="EE31">
        <v>140625467</v>
      </c>
      <c r="EF31">
        <v>2</v>
      </c>
      <c r="EG31" t="s">
        <v>27</v>
      </c>
      <c r="EH31">
        <v>21</v>
      </c>
      <c r="EI31" t="s">
        <v>56</v>
      </c>
      <c r="EJ31">
        <v>1</v>
      </c>
      <c r="EK31">
        <v>27005</v>
      </c>
      <c r="EL31" t="s">
        <v>57</v>
      </c>
      <c r="EM31" t="s">
        <v>58</v>
      </c>
      <c r="EO31" t="s">
        <v>18</v>
      </c>
      <c r="EQ31">
        <v>0</v>
      </c>
      <c r="ER31">
        <v>16</v>
      </c>
      <c r="ES31">
        <v>10.32</v>
      </c>
      <c r="ET31">
        <v>0</v>
      </c>
      <c r="EU31">
        <v>0</v>
      </c>
      <c r="EV31">
        <v>5.68</v>
      </c>
      <c r="EW31">
        <v>0.59</v>
      </c>
      <c r="EX31">
        <v>0</v>
      </c>
      <c r="EY31">
        <v>0</v>
      </c>
      <c r="FQ31">
        <v>0</v>
      </c>
      <c r="FR31">
        <f>ROUND(IF(AND(BH31=3,BI31=3),P31,0),2)</f>
        <v>0</v>
      </c>
      <c r="FS31">
        <v>0</v>
      </c>
      <c r="FX31">
        <v>113</v>
      </c>
      <c r="FY31">
        <v>65.45</v>
      </c>
      <c r="GA31" t="s">
        <v>3</v>
      </c>
      <c r="GD31">
        <v>1</v>
      </c>
      <c r="GF31">
        <v>148382599</v>
      </c>
      <c r="GG31">
        <v>2</v>
      </c>
      <c r="GH31">
        <v>1</v>
      </c>
      <c r="GI31">
        <v>4</v>
      </c>
      <c r="GJ31">
        <v>0</v>
      </c>
      <c r="GK31">
        <v>0</v>
      </c>
      <c r="GL31">
        <f>ROUND(IF(AND(BH31=3,BI31=3,FS31&lt;&gt;0),P31,0),2)</f>
        <v>0</v>
      </c>
      <c r="GM31">
        <f>ROUND(O31+X31+Y31,2)+GX31</f>
        <v>34620.019999999997</v>
      </c>
      <c r="GN31">
        <f>IF(OR(BI31=0,BI31=1),ROUND(O31+X31+Y31,2),0)</f>
        <v>34620.019999999997</v>
      </c>
      <c r="GO31">
        <f>IF(BI31=2,ROUND(O31+X31+Y31,2),0)</f>
        <v>0</v>
      </c>
      <c r="GP31">
        <f>IF(BI31=4,ROUND(O31+X31+Y31,2)+GX31,0)</f>
        <v>0</v>
      </c>
      <c r="GR31">
        <v>0</v>
      </c>
      <c r="GS31">
        <v>3</v>
      </c>
      <c r="GT31">
        <v>0</v>
      </c>
      <c r="GU31" t="s">
        <v>3</v>
      </c>
      <c r="GV31">
        <f>ROUND((GT31),2)</f>
        <v>0</v>
      </c>
      <c r="GW31">
        <v>1</v>
      </c>
      <c r="GX31">
        <f>ROUND(HC31*I31,2)</f>
        <v>0</v>
      </c>
      <c r="HA31">
        <v>0</v>
      </c>
      <c r="HB31">
        <v>0</v>
      </c>
      <c r="HC31">
        <f>GV31*GW31</f>
        <v>0</v>
      </c>
      <c r="HE31" t="s">
        <v>3</v>
      </c>
      <c r="HF31" t="s">
        <v>3</v>
      </c>
      <c r="HM31" t="s">
        <v>3</v>
      </c>
      <c r="HN31" t="s">
        <v>59</v>
      </c>
      <c r="HO31" t="s">
        <v>60</v>
      </c>
      <c r="HP31" t="s">
        <v>57</v>
      </c>
      <c r="HQ31" t="s">
        <v>57</v>
      </c>
      <c r="IK31">
        <v>0</v>
      </c>
    </row>
    <row r="32" spans="1:245" x14ac:dyDescent="0.2">
      <c r="A32">
        <v>17</v>
      </c>
      <c r="B32">
        <v>1</v>
      </c>
      <c r="C32">
        <f>ROW(SmtRes!A27)</f>
        <v>27</v>
      </c>
      <c r="D32">
        <f>ROW(EtalonRes!A34)</f>
        <v>34</v>
      </c>
      <c r="E32" t="s">
        <v>61</v>
      </c>
      <c r="F32" t="s">
        <v>62</v>
      </c>
      <c r="G32" t="s">
        <v>63</v>
      </c>
      <c r="H32" t="s">
        <v>64</v>
      </c>
      <c r="I32">
        <f>ROUND(2/100,9)</f>
        <v>0.02</v>
      </c>
      <c r="J32">
        <v>0</v>
      </c>
      <c r="K32">
        <f>ROUND(2/100,9)</f>
        <v>0.02</v>
      </c>
      <c r="O32">
        <f>ROUND(CP32,2)</f>
        <v>210.87</v>
      </c>
      <c r="P32">
        <f>ROUND(CQ32*I32,2)</f>
        <v>0</v>
      </c>
      <c r="Q32">
        <f>ROUND(CR32*I32,2)</f>
        <v>83.8</v>
      </c>
      <c r="R32">
        <f>ROUND(CS32*I32,2)</f>
        <v>0</v>
      </c>
      <c r="S32">
        <f>ROUND(CT32*I32,2)</f>
        <v>127.07</v>
      </c>
      <c r="T32">
        <f>ROUND(CU32*I32,2)</f>
        <v>0</v>
      </c>
      <c r="U32">
        <f>CV32*I32</f>
        <v>0.48380000000000006</v>
      </c>
      <c r="V32">
        <f>CW32*I32</f>
        <v>0</v>
      </c>
      <c r="W32">
        <f>ROUND(CX32*I32,2)</f>
        <v>0</v>
      </c>
      <c r="X32">
        <f t="shared" si="21"/>
        <v>130.88</v>
      </c>
      <c r="Y32">
        <f t="shared" si="21"/>
        <v>74.97</v>
      </c>
      <c r="AA32">
        <v>143120906</v>
      </c>
      <c r="AB32">
        <f>ROUND((AC32+AD32+AF32),2)</f>
        <v>606.55999999999995</v>
      </c>
      <c r="AC32">
        <f>ROUND((ES32),2)</f>
        <v>0</v>
      </c>
      <c r="AD32">
        <f>ROUND((((ET32)-(EU32))+AE32),2)</f>
        <v>379.17</v>
      </c>
      <c r="AE32">
        <f>ROUND((EU32),2)</f>
        <v>0</v>
      </c>
      <c r="AF32">
        <f>ROUND((EV32),2)</f>
        <v>227.39</v>
      </c>
      <c r="AG32">
        <f>ROUND((AP32),2)</f>
        <v>0</v>
      </c>
      <c r="AH32">
        <f>(EW32)</f>
        <v>24.19</v>
      </c>
      <c r="AI32">
        <f>(EX32)</f>
        <v>0</v>
      </c>
      <c r="AJ32">
        <f>(AS32)</f>
        <v>0</v>
      </c>
      <c r="AK32">
        <v>606.55999999999995</v>
      </c>
      <c r="AL32">
        <v>0</v>
      </c>
      <c r="AM32">
        <v>379.17</v>
      </c>
      <c r="AN32">
        <v>0</v>
      </c>
      <c r="AO32">
        <v>227.39</v>
      </c>
      <c r="AP32">
        <v>0</v>
      </c>
      <c r="AQ32">
        <v>24.19</v>
      </c>
      <c r="AR32">
        <v>0</v>
      </c>
      <c r="AS32">
        <v>0</v>
      </c>
      <c r="AT32">
        <v>103</v>
      </c>
      <c r="AU32">
        <v>59</v>
      </c>
      <c r="AV32">
        <v>1</v>
      </c>
      <c r="AW32">
        <v>1</v>
      </c>
      <c r="AZ32">
        <v>1</v>
      </c>
      <c r="BA32">
        <v>27.94</v>
      </c>
      <c r="BB32">
        <v>11.05</v>
      </c>
      <c r="BC32">
        <v>7.99</v>
      </c>
      <c r="BD32" t="s">
        <v>3</v>
      </c>
      <c r="BE32" t="s">
        <v>3</v>
      </c>
      <c r="BF32" t="s">
        <v>3</v>
      </c>
      <c r="BG32" t="s">
        <v>3</v>
      </c>
      <c r="BH32">
        <v>0</v>
      </c>
      <c r="BI32">
        <v>1</v>
      </c>
      <c r="BJ32" t="s">
        <v>65</v>
      </c>
      <c r="BM32">
        <v>46001</v>
      </c>
      <c r="BN32">
        <v>0</v>
      </c>
      <c r="BO32" t="s">
        <v>3</v>
      </c>
      <c r="BP32">
        <v>0</v>
      </c>
      <c r="BQ32">
        <v>2</v>
      </c>
      <c r="BR32">
        <v>0</v>
      </c>
      <c r="BS32">
        <v>27.94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103</v>
      </c>
      <c r="CA32">
        <v>59</v>
      </c>
      <c r="CB32" t="s">
        <v>3</v>
      </c>
      <c r="CE32">
        <v>0</v>
      </c>
      <c r="CF32">
        <v>0</v>
      </c>
      <c r="CG32">
        <v>0</v>
      </c>
      <c r="CM32">
        <v>0</v>
      </c>
      <c r="CN32" t="s">
        <v>3</v>
      </c>
      <c r="CO32">
        <v>0</v>
      </c>
      <c r="CP32">
        <f>(P32+Q32+S32)</f>
        <v>210.87</v>
      </c>
      <c r="CQ32">
        <f>AC32*BC32</f>
        <v>0</v>
      </c>
      <c r="CR32">
        <f>(((ET32)*BB32-(EU32)*BS32)+AE32*BS32)</f>
        <v>4189.8285000000005</v>
      </c>
      <c r="CS32">
        <f>AE32*BS32</f>
        <v>0</v>
      </c>
      <c r="CT32">
        <f>AF32*BA32</f>
        <v>6353.2766000000001</v>
      </c>
      <c r="CU32">
        <f t="shared" si="24"/>
        <v>0</v>
      </c>
      <c r="CV32">
        <f t="shared" si="24"/>
        <v>24.19</v>
      </c>
      <c r="CW32">
        <f t="shared" si="24"/>
        <v>0</v>
      </c>
      <c r="CX32">
        <f t="shared" si="24"/>
        <v>0</v>
      </c>
      <c r="CY32">
        <f>(((S32+R32)*AT32)/100)</f>
        <v>130.88209999999998</v>
      </c>
      <c r="CZ32">
        <f>(((S32+R32)*AU32)/100)</f>
        <v>74.971299999999985</v>
      </c>
      <c r="DC32" t="s">
        <v>3</v>
      </c>
      <c r="DD32" t="s">
        <v>3</v>
      </c>
      <c r="DE32" t="s">
        <v>3</v>
      </c>
      <c r="DF32" t="s">
        <v>3</v>
      </c>
      <c r="DG32" t="s">
        <v>3</v>
      </c>
      <c r="DH32" t="s">
        <v>3</v>
      </c>
      <c r="DI32" t="s">
        <v>3</v>
      </c>
      <c r="DJ32" t="s">
        <v>3</v>
      </c>
      <c r="DK32" t="s">
        <v>3</v>
      </c>
      <c r="DL32" t="s">
        <v>3</v>
      </c>
      <c r="DM32" t="s">
        <v>3</v>
      </c>
      <c r="DN32">
        <v>0</v>
      </c>
      <c r="DO32">
        <v>0</v>
      </c>
      <c r="DP32">
        <v>1</v>
      </c>
      <c r="DQ32">
        <v>1</v>
      </c>
      <c r="DU32">
        <v>1003</v>
      </c>
      <c r="DV32" t="s">
        <v>64</v>
      </c>
      <c r="DW32" t="s">
        <v>64</v>
      </c>
      <c r="DX32">
        <v>100</v>
      </c>
      <c r="DZ32" t="s">
        <v>3</v>
      </c>
      <c r="EA32" t="s">
        <v>3</v>
      </c>
      <c r="EB32" t="s">
        <v>3</v>
      </c>
      <c r="EC32" t="s">
        <v>3</v>
      </c>
      <c r="EE32">
        <v>140625131</v>
      </c>
      <c r="EF32">
        <v>2</v>
      </c>
      <c r="EG32" t="s">
        <v>27</v>
      </c>
      <c r="EH32">
        <v>40</v>
      </c>
      <c r="EI32" t="s">
        <v>66</v>
      </c>
      <c r="EJ32">
        <v>1</v>
      </c>
      <c r="EK32">
        <v>46001</v>
      </c>
      <c r="EL32" t="s">
        <v>67</v>
      </c>
      <c r="EM32" t="s">
        <v>68</v>
      </c>
      <c r="EO32" t="s">
        <v>3</v>
      </c>
      <c r="EQ32">
        <v>0</v>
      </c>
      <c r="ER32">
        <v>606.55999999999995</v>
      </c>
      <c r="ES32">
        <v>0</v>
      </c>
      <c r="ET32">
        <v>379.17</v>
      </c>
      <c r="EU32">
        <v>0</v>
      </c>
      <c r="EV32">
        <v>227.39</v>
      </c>
      <c r="EW32">
        <v>24.19</v>
      </c>
      <c r="EX32">
        <v>0</v>
      </c>
      <c r="EY32">
        <v>0</v>
      </c>
      <c r="FQ32">
        <v>0</v>
      </c>
      <c r="FR32">
        <f>ROUND(IF(AND(BH32=3,BI32=3),P32,0),2)</f>
        <v>0</v>
      </c>
      <c r="FS32">
        <v>0</v>
      </c>
      <c r="FX32">
        <v>103</v>
      </c>
      <c r="FY32">
        <v>59</v>
      </c>
      <c r="GA32" t="s">
        <v>3</v>
      </c>
      <c r="GD32">
        <v>1</v>
      </c>
      <c r="GF32">
        <v>1128634228</v>
      </c>
      <c r="GG32">
        <v>2</v>
      </c>
      <c r="GH32">
        <v>1</v>
      </c>
      <c r="GI32">
        <v>4</v>
      </c>
      <c r="GJ32">
        <v>0</v>
      </c>
      <c r="GK32">
        <v>0</v>
      </c>
      <c r="GL32">
        <f>ROUND(IF(AND(BH32=3,BI32=3,FS32&lt;&gt;0),P32,0),2)</f>
        <v>0</v>
      </c>
      <c r="GM32">
        <f>ROUND(O32+X32+Y32,2)+GX32</f>
        <v>416.72</v>
      </c>
      <c r="GN32">
        <f>IF(OR(BI32=0,BI32=1),ROUND(O32+X32+Y32,2),0)</f>
        <v>416.72</v>
      </c>
      <c r="GO32">
        <f>IF(BI32=2,ROUND(O32+X32+Y32,2),0)</f>
        <v>0</v>
      </c>
      <c r="GP32">
        <f>IF(BI32=4,ROUND(O32+X32+Y32,2)+GX32,0)</f>
        <v>0</v>
      </c>
      <c r="GR32">
        <v>0</v>
      </c>
      <c r="GS32">
        <v>3</v>
      </c>
      <c r="GT32">
        <v>0</v>
      </c>
      <c r="GU32" t="s">
        <v>3</v>
      </c>
      <c r="GV32">
        <f>ROUND((GT32),2)</f>
        <v>0</v>
      </c>
      <c r="GW32">
        <v>1</v>
      </c>
      <c r="GX32">
        <f>ROUND(HC32*I32,2)</f>
        <v>0</v>
      </c>
      <c r="HA32">
        <v>0</v>
      </c>
      <c r="HB32">
        <v>0</v>
      </c>
      <c r="HC32">
        <f>GV32*GW32</f>
        <v>0</v>
      </c>
      <c r="HE32" t="s">
        <v>3</v>
      </c>
      <c r="HF32" t="s">
        <v>3</v>
      </c>
      <c r="HM32" t="s">
        <v>3</v>
      </c>
      <c r="HN32" t="s">
        <v>69</v>
      </c>
      <c r="HO32" t="s">
        <v>70</v>
      </c>
      <c r="HP32" t="s">
        <v>67</v>
      </c>
      <c r="HQ32" t="s">
        <v>67</v>
      </c>
      <c r="IK32">
        <v>0</v>
      </c>
    </row>
    <row r="34" spans="1:206" x14ac:dyDescent="0.2">
      <c r="A34" s="2">
        <v>51</v>
      </c>
      <c r="B34" s="2">
        <f>B24</f>
        <v>1</v>
      </c>
      <c r="C34" s="2">
        <f>A24</f>
        <v>4</v>
      </c>
      <c r="D34" s="2">
        <f>ROW(A24)</f>
        <v>24</v>
      </c>
      <c r="E34" s="2"/>
      <c r="F34" s="2" t="str">
        <f>IF(F24&lt;&gt;"",F24,"")</f>
        <v>Новый раздел</v>
      </c>
      <c r="G34" s="2" t="str">
        <f>IF(G24&lt;&gt;"",G24,"")</f>
        <v>Демонтажные работы</v>
      </c>
      <c r="H34" s="2">
        <v>0</v>
      </c>
      <c r="I34" s="2"/>
      <c r="J34" s="2"/>
      <c r="K34" s="2"/>
      <c r="L34" s="2"/>
      <c r="M34" s="2"/>
      <c r="N34" s="2"/>
      <c r="O34" s="2">
        <f t="shared" ref="O34:T34" si="25">ROUND(AB34,2)</f>
        <v>63486.080000000002</v>
      </c>
      <c r="P34" s="2">
        <f t="shared" si="25"/>
        <v>4122.84</v>
      </c>
      <c r="Q34" s="2">
        <f t="shared" si="25"/>
        <v>4853</v>
      </c>
      <c r="R34" s="2">
        <f t="shared" si="25"/>
        <v>1551.83</v>
      </c>
      <c r="S34" s="2">
        <f t="shared" si="25"/>
        <v>54510.239999999998</v>
      </c>
      <c r="T34" s="2">
        <f t="shared" si="25"/>
        <v>0</v>
      </c>
      <c r="U34" s="2">
        <f>AH34</f>
        <v>210.0127856</v>
      </c>
      <c r="V34" s="2">
        <f>AI34</f>
        <v>4.3046688</v>
      </c>
      <c r="W34" s="2">
        <f>ROUND(AJ34,2)</f>
        <v>0</v>
      </c>
      <c r="X34" s="2">
        <f>ROUND(AK34,2)</f>
        <v>57022.65</v>
      </c>
      <c r="Y34" s="2">
        <f>ROUND(AL34,2)</f>
        <v>30167.37</v>
      </c>
      <c r="Z34" s="2"/>
      <c r="AA34" s="2"/>
      <c r="AB34" s="2">
        <f>ROUND(SUMIF(AA28:AA32,"=143120906",O28:O32),2)</f>
        <v>63486.080000000002</v>
      </c>
      <c r="AC34" s="2">
        <f>ROUND(SUMIF(AA28:AA32,"=143120906",P28:P32),2)</f>
        <v>4122.84</v>
      </c>
      <c r="AD34" s="2">
        <f>ROUND(SUMIF(AA28:AA32,"=143120906",Q28:Q32),2)</f>
        <v>4853</v>
      </c>
      <c r="AE34" s="2">
        <f>ROUND(SUMIF(AA28:AA32,"=143120906",R28:R32),2)</f>
        <v>1551.83</v>
      </c>
      <c r="AF34" s="2">
        <f>ROUND(SUMIF(AA28:AA32,"=143120906",S28:S32),2)</f>
        <v>54510.239999999998</v>
      </c>
      <c r="AG34" s="2">
        <f>ROUND(SUMIF(AA28:AA32,"=143120906",T28:T32),2)</f>
        <v>0</v>
      </c>
      <c r="AH34" s="2">
        <f>SUMIF(AA28:AA32,"=143120906",U28:U32)</f>
        <v>210.0127856</v>
      </c>
      <c r="AI34" s="2">
        <f>SUMIF(AA28:AA32,"=143120906",V28:V32)</f>
        <v>4.3046688</v>
      </c>
      <c r="AJ34" s="2">
        <f>ROUND(SUMIF(AA28:AA32,"=143120906",W28:W32),2)</f>
        <v>0</v>
      </c>
      <c r="AK34" s="2">
        <f>ROUND(SUMIF(AA28:AA32,"=143120906",X28:X32),2)</f>
        <v>57022.65</v>
      </c>
      <c r="AL34" s="2">
        <f>ROUND(SUMIF(AA28:AA32,"=143120906",Y28:Y32),2)</f>
        <v>30167.37</v>
      </c>
      <c r="AM34" s="2"/>
      <c r="AN34" s="2"/>
      <c r="AO34" s="2">
        <f t="shared" ref="AO34:BD34" si="26">ROUND(BX34,2)</f>
        <v>0</v>
      </c>
      <c r="AP34" s="2">
        <f t="shared" si="26"/>
        <v>0</v>
      </c>
      <c r="AQ34" s="2">
        <f t="shared" si="26"/>
        <v>0</v>
      </c>
      <c r="AR34" s="2">
        <f t="shared" si="26"/>
        <v>150676.1</v>
      </c>
      <c r="AS34" s="2">
        <f t="shared" si="26"/>
        <v>150676.1</v>
      </c>
      <c r="AT34" s="2">
        <f t="shared" si="26"/>
        <v>0</v>
      </c>
      <c r="AU34" s="2">
        <f t="shared" si="26"/>
        <v>0</v>
      </c>
      <c r="AV34" s="2">
        <f t="shared" si="26"/>
        <v>4122.84</v>
      </c>
      <c r="AW34" s="2">
        <f t="shared" si="26"/>
        <v>4122.84</v>
      </c>
      <c r="AX34" s="2">
        <f t="shared" si="26"/>
        <v>0</v>
      </c>
      <c r="AY34" s="2">
        <f t="shared" si="26"/>
        <v>4122.84</v>
      </c>
      <c r="AZ34" s="2">
        <f t="shared" si="26"/>
        <v>0</v>
      </c>
      <c r="BA34" s="2">
        <f t="shared" si="26"/>
        <v>0</v>
      </c>
      <c r="BB34" s="2">
        <f t="shared" si="26"/>
        <v>0</v>
      </c>
      <c r="BC34" s="2">
        <f t="shared" si="26"/>
        <v>0</v>
      </c>
      <c r="BD34" s="2">
        <f t="shared" si="26"/>
        <v>0</v>
      </c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>
        <f>ROUND(SUMIF(AA28:AA32,"=143120906",FQ28:FQ32),2)</f>
        <v>0</v>
      </c>
      <c r="BY34" s="2">
        <f>ROUND(SUMIF(AA28:AA32,"=143120906",FR28:FR32),2)</f>
        <v>0</v>
      </c>
      <c r="BZ34" s="2">
        <f>ROUND(SUMIF(AA28:AA32,"=143120906",GL28:GL32),2)</f>
        <v>0</v>
      </c>
      <c r="CA34" s="2">
        <f>ROUND(SUMIF(AA28:AA32,"=143120906",GM28:GM32),2)</f>
        <v>150676.1</v>
      </c>
      <c r="CB34" s="2">
        <f>ROUND(SUMIF(AA28:AA32,"=143120906",GN28:GN32),2)</f>
        <v>150676.1</v>
      </c>
      <c r="CC34" s="2">
        <f>ROUND(SUMIF(AA28:AA32,"=143120906",GO28:GO32),2)</f>
        <v>0</v>
      </c>
      <c r="CD34" s="2">
        <f>ROUND(SUMIF(AA28:AA32,"=143120906",GP28:GP32),2)</f>
        <v>0</v>
      </c>
      <c r="CE34" s="2">
        <f>AC34-BX34</f>
        <v>4122.84</v>
      </c>
      <c r="CF34" s="2">
        <f>AC34-BY34</f>
        <v>4122.84</v>
      </c>
      <c r="CG34" s="2">
        <f>BX34-BZ34</f>
        <v>0</v>
      </c>
      <c r="CH34" s="2">
        <f>AC34-BX34-BY34+BZ34</f>
        <v>4122.84</v>
      </c>
      <c r="CI34" s="2">
        <f>BY34-BZ34</f>
        <v>0</v>
      </c>
      <c r="CJ34" s="2">
        <f>ROUND(SUMIF(AA28:AA32,"=143120906",GX28:GX32),2)</f>
        <v>0</v>
      </c>
      <c r="CK34" s="2">
        <f>ROUND(SUMIF(AA28:AA32,"=143120906",GY28:GY32),2)</f>
        <v>0</v>
      </c>
      <c r="CL34" s="2">
        <f>ROUND(SUMIF(AA28:AA32,"=143120906",GZ28:GZ32),2)</f>
        <v>0</v>
      </c>
      <c r="CM34" s="2">
        <f>ROUND(SUMIF(AA28:AA32,"=143120906",HD28:HD32),2)</f>
        <v>0</v>
      </c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>
        <v>0</v>
      </c>
    </row>
    <row r="36" spans="1:206" x14ac:dyDescent="0.2">
      <c r="A36" s="4">
        <v>50</v>
      </c>
      <c r="B36" s="4">
        <v>0</v>
      </c>
      <c r="C36" s="4">
        <v>0</v>
      </c>
      <c r="D36" s="4">
        <v>1</v>
      </c>
      <c r="E36" s="4">
        <v>201</v>
      </c>
      <c r="F36" s="4">
        <f>ROUND(Source!O34,O36)</f>
        <v>63486.080000000002</v>
      </c>
      <c r="G36" s="4" t="s">
        <v>71</v>
      </c>
      <c r="H36" s="4" t="s">
        <v>72</v>
      </c>
      <c r="I36" s="4"/>
      <c r="J36" s="4"/>
      <c r="K36" s="4">
        <v>201</v>
      </c>
      <c r="L36" s="4">
        <v>1</v>
      </c>
      <c r="M36" s="4">
        <v>3</v>
      </c>
      <c r="N36" s="4" t="s">
        <v>3</v>
      </c>
      <c r="O36" s="4">
        <v>2</v>
      </c>
      <c r="P36" s="4"/>
      <c r="Q36" s="4"/>
      <c r="R36" s="4"/>
      <c r="S36" s="4"/>
      <c r="T36" s="4"/>
      <c r="U36" s="4"/>
      <c r="V36" s="4"/>
      <c r="W36" s="4">
        <v>63486.080000000002</v>
      </c>
      <c r="X36" s="4">
        <v>1</v>
      </c>
      <c r="Y36" s="4">
        <v>63486.080000000002</v>
      </c>
      <c r="Z36" s="4"/>
      <c r="AA36" s="4"/>
      <c r="AB36" s="4"/>
    </row>
    <row r="37" spans="1:206" x14ac:dyDescent="0.2">
      <c r="A37" s="4">
        <v>50</v>
      </c>
      <c r="B37" s="4">
        <v>0</v>
      </c>
      <c r="C37" s="4">
        <v>0</v>
      </c>
      <c r="D37" s="4">
        <v>1</v>
      </c>
      <c r="E37" s="4">
        <v>202</v>
      </c>
      <c r="F37" s="4">
        <f>ROUND(Source!P34,O37)</f>
        <v>4122.84</v>
      </c>
      <c r="G37" s="4" t="s">
        <v>73</v>
      </c>
      <c r="H37" s="4" t="s">
        <v>74</v>
      </c>
      <c r="I37" s="4"/>
      <c r="J37" s="4"/>
      <c r="K37" s="4">
        <v>202</v>
      </c>
      <c r="L37" s="4">
        <v>2</v>
      </c>
      <c r="M37" s="4">
        <v>3</v>
      </c>
      <c r="N37" s="4" t="s">
        <v>3</v>
      </c>
      <c r="O37" s="4">
        <v>2</v>
      </c>
      <c r="P37" s="4"/>
      <c r="Q37" s="4"/>
      <c r="R37" s="4"/>
      <c r="S37" s="4"/>
      <c r="T37" s="4"/>
      <c r="U37" s="4"/>
      <c r="V37" s="4"/>
      <c r="W37" s="4">
        <v>4122.84</v>
      </c>
      <c r="X37" s="4">
        <v>1</v>
      </c>
      <c r="Y37" s="4">
        <v>4122.84</v>
      </c>
      <c r="Z37" s="4"/>
      <c r="AA37" s="4"/>
      <c r="AB37" s="4"/>
    </row>
    <row r="38" spans="1:206" x14ac:dyDescent="0.2">
      <c r="A38" s="4">
        <v>50</v>
      </c>
      <c r="B38" s="4">
        <v>0</v>
      </c>
      <c r="C38" s="4">
        <v>0</v>
      </c>
      <c r="D38" s="4">
        <v>1</v>
      </c>
      <c r="E38" s="4">
        <v>222</v>
      </c>
      <c r="F38" s="4">
        <f>ROUND(Source!AO34,O38)</f>
        <v>0</v>
      </c>
      <c r="G38" s="4" t="s">
        <v>75</v>
      </c>
      <c r="H38" s="4" t="s">
        <v>76</v>
      </c>
      <c r="I38" s="4"/>
      <c r="J38" s="4"/>
      <c r="K38" s="4">
        <v>222</v>
      </c>
      <c r="L38" s="4">
        <v>3</v>
      </c>
      <c r="M38" s="4">
        <v>3</v>
      </c>
      <c r="N38" s="4" t="s">
        <v>3</v>
      </c>
      <c r="O38" s="4">
        <v>2</v>
      </c>
      <c r="P38" s="4"/>
      <c r="Q38" s="4"/>
      <c r="R38" s="4"/>
      <c r="S38" s="4"/>
      <c r="T38" s="4"/>
      <c r="U38" s="4"/>
      <c r="V38" s="4"/>
      <c r="W38" s="4">
        <v>0</v>
      </c>
      <c r="X38" s="4">
        <v>1</v>
      </c>
      <c r="Y38" s="4">
        <v>0</v>
      </c>
      <c r="Z38" s="4"/>
      <c r="AA38" s="4"/>
      <c r="AB38" s="4"/>
    </row>
    <row r="39" spans="1:206" x14ac:dyDescent="0.2">
      <c r="A39" s="4">
        <v>50</v>
      </c>
      <c r="B39" s="4">
        <v>0</v>
      </c>
      <c r="C39" s="4">
        <v>0</v>
      </c>
      <c r="D39" s="4">
        <v>1</v>
      </c>
      <c r="E39" s="4">
        <v>225</v>
      </c>
      <c r="F39" s="4">
        <f>ROUND(Source!AV34,O39)</f>
        <v>4122.84</v>
      </c>
      <c r="G39" s="4" t="s">
        <v>77</v>
      </c>
      <c r="H39" s="4" t="s">
        <v>78</v>
      </c>
      <c r="I39" s="4"/>
      <c r="J39" s="4"/>
      <c r="K39" s="4">
        <v>225</v>
      </c>
      <c r="L39" s="4">
        <v>4</v>
      </c>
      <c r="M39" s="4">
        <v>3</v>
      </c>
      <c r="N39" s="4" t="s">
        <v>3</v>
      </c>
      <c r="O39" s="4">
        <v>2</v>
      </c>
      <c r="P39" s="4"/>
      <c r="Q39" s="4"/>
      <c r="R39" s="4"/>
      <c r="S39" s="4"/>
      <c r="T39" s="4"/>
      <c r="U39" s="4"/>
      <c r="V39" s="4"/>
      <c r="W39" s="4">
        <v>4122.84</v>
      </c>
      <c r="X39" s="4">
        <v>1</v>
      </c>
      <c r="Y39" s="4">
        <v>4122.84</v>
      </c>
      <c r="Z39" s="4"/>
      <c r="AA39" s="4"/>
      <c r="AB39" s="4"/>
    </row>
    <row r="40" spans="1:206" x14ac:dyDescent="0.2">
      <c r="A40" s="4">
        <v>50</v>
      </c>
      <c r="B40" s="4">
        <v>0</v>
      </c>
      <c r="C40" s="4">
        <v>0</v>
      </c>
      <c r="D40" s="4">
        <v>1</v>
      </c>
      <c r="E40" s="4">
        <v>226</v>
      </c>
      <c r="F40" s="4">
        <f>ROUND(Source!AW34,O40)</f>
        <v>4122.84</v>
      </c>
      <c r="G40" s="4" t="s">
        <v>79</v>
      </c>
      <c r="H40" s="4" t="s">
        <v>80</v>
      </c>
      <c r="I40" s="4"/>
      <c r="J40" s="4"/>
      <c r="K40" s="4">
        <v>226</v>
      </c>
      <c r="L40" s="4">
        <v>5</v>
      </c>
      <c r="M40" s="4">
        <v>3</v>
      </c>
      <c r="N40" s="4" t="s">
        <v>3</v>
      </c>
      <c r="O40" s="4">
        <v>2</v>
      </c>
      <c r="P40" s="4"/>
      <c r="Q40" s="4"/>
      <c r="R40" s="4"/>
      <c r="S40" s="4"/>
      <c r="T40" s="4"/>
      <c r="U40" s="4"/>
      <c r="V40" s="4"/>
      <c r="W40" s="4">
        <v>4122.84</v>
      </c>
      <c r="X40" s="4">
        <v>1</v>
      </c>
      <c r="Y40" s="4">
        <v>4122.84</v>
      </c>
      <c r="Z40" s="4"/>
      <c r="AA40" s="4"/>
      <c r="AB40" s="4"/>
    </row>
    <row r="41" spans="1:206" x14ac:dyDescent="0.2">
      <c r="A41" s="4">
        <v>50</v>
      </c>
      <c r="B41" s="4">
        <v>0</v>
      </c>
      <c r="C41" s="4">
        <v>0</v>
      </c>
      <c r="D41" s="4">
        <v>1</v>
      </c>
      <c r="E41" s="4">
        <v>227</v>
      </c>
      <c r="F41" s="4">
        <f>ROUND(Source!AX34,O41)</f>
        <v>0</v>
      </c>
      <c r="G41" s="4" t="s">
        <v>81</v>
      </c>
      <c r="H41" s="4" t="s">
        <v>82</v>
      </c>
      <c r="I41" s="4"/>
      <c r="J41" s="4"/>
      <c r="K41" s="4">
        <v>227</v>
      </c>
      <c r="L41" s="4">
        <v>6</v>
      </c>
      <c r="M41" s="4">
        <v>3</v>
      </c>
      <c r="N41" s="4" t="s">
        <v>3</v>
      </c>
      <c r="O41" s="4">
        <v>2</v>
      </c>
      <c r="P41" s="4"/>
      <c r="Q41" s="4"/>
      <c r="R41" s="4"/>
      <c r="S41" s="4"/>
      <c r="T41" s="4"/>
      <c r="U41" s="4"/>
      <c r="V41" s="4"/>
      <c r="W41" s="4">
        <v>0</v>
      </c>
      <c r="X41" s="4">
        <v>1</v>
      </c>
      <c r="Y41" s="4">
        <v>0</v>
      </c>
      <c r="Z41" s="4"/>
      <c r="AA41" s="4"/>
      <c r="AB41" s="4"/>
    </row>
    <row r="42" spans="1:206" x14ac:dyDescent="0.2">
      <c r="A42" s="4">
        <v>50</v>
      </c>
      <c r="B42" s="4">
        <v>0</v>
      </c>
      <c r="C42" s="4">
        <v>0</v>
      </c>
      <c r="D42" s="4">
        <v>1</v>
      </c>
      <c r="E42" s="4">
        <v>228</v>
      </c>
      <c r="F42" s="4">
        <f>ROUND(Source!AY34,O42)</f>
        <v>4122.84</v>
      </c>
      <c r="G42" s="4" t="s">
        <v>83</v>
      </c>
      <c r="H42" s="4" t="s">
        <v>84</v>
      </c>
      <c r="I42" s="4"/>
      <c r="J42" s="4"/>
      <c r="K42" s="4">
        <v>228</v>
      </c>
      <c r="L42" s="4">
        <v>7</v>
      </c>
      <c r="M42" s="4">
        <v>3</v>
      </c>
      <c r="N42" s="4" t="s">
        <v>3</v>
      </c>
      <c r="O42" s="4">
        <v>2</v>
      </c>
      <c r="P42" s="4"/>
      <c r="Q42" s="4"/>
      <c r="R42" s="4"/>
      <c r="S42" s="4"/>
      <c r="T42" s="4"/>
      <c r="U42" s="4"/>
      <c r="V42" s="4"/>
      <c r="W42" s="4">
        <v>4122.84</v>
      </c>
      <c r="X42" s="4">
        <v>1</v>
      </c>
      <c r="Y42" s="4">
        <v>4122.84</v>
      </c>
      <c r="Z42" s="4"/>
      <c r="AA42" s="4"/>
      <c r="AB42" s="4"/>
    </row>
    <row r="43" spans="1:206" x14ac:dyDescent="0.2">
      <c r="A43" s="4">
        <v>50</v>
      </c>
      <c r="B43" s="4">
        <v>0</v>
      </c>
      <c r="C43" s="4">
        <v>0</v>
      </c>
      <c r="D43" s="4">
        <v>1</v>
      </c>
      <c r="E43" s="4">
        <v>216</v>
      </c>
      <c r="F43" s="4">
        <f>ROUND(Source!AP34,O43)</f>
        <v>0</v>
      </c>
      <c r="G43" s="4" t="s">
        <v>85</v>
      </c>
      <c r="H43" s="4" t="s">
        <v>86</v>
      </c>
      <c r="I43" s="4"/>
      <c r="J43" s="4"/>
      <c r="K43" s="4">
        <v>216</v>
      </c>
      <c r="L43" s="4">
        <v>8</v>
      </c>
      <c r="M43" s="4">
        <v>3</v>
      </c>
      <c r="N43" s="4" t="s">
        <v>3</v>
      </c>
      <c r="O43" s="4">
        <v>2</v>
      </c>
      <c r="P43" s="4"/>
      <c r="Q43" s="4"/>
      <c r="R43" s="4"/>
      <c r="S43" s="4"/>
      <c r="T43" s="4"/>
      <c r="U43" s="4"/>
      <c r="V43" s="4"/>
      <c r="W43" s="4">
        <v>0</v>
      </c>
      <c r="X43" s="4">
        <v>1</v>
      </c>
      <c r="Y43" s="4">
        <v>0</v>
      </c>
      <c r="Z43" s="4"/>
      <c r="AA43" s="4"/>
      <c r="AB43" s="4"/>
    </row>
    <row r="44" spans="1:206" x14ac:dyDescent="0.2">
      <c r="A44" s="4">
        <v>50</v>
      </c>
      <c r="B44" s="4">
        <v>0</v>
      </c>
      <c r="C44" s="4">
        <v>0</v>
      </c>
      <c r="D44" s="4">
        <v>1</v>
      </c>
      <c r="E44" s="4">
        <v>223</v>
      </c>
      <c r="F44" s="4">
        <f>ROUND(Source!AQ34,O44)</f>
        <v>0</v>
      </c>
      <c r="G44" s="4" t="s">
        <v>87</v>
      </c>
      <c r="H44" s="4" t="s">
        <v>88</v>
      </c>
      <c r="I44" s="4"/>
      <c r="J44" s="4"/>
      <c r="K44" s="4">
        <v>223</v>
      </c>
      <c r="L44" s="4">
        <v>9</v>
      </c>
      <c r="M44" s="4">
        <v>3</v>
      </c>
      <c r="N44" s="4" t="s">
        <v>3</v>
      </c>
      <c r="O44" s="4">
        <v>2</v>
      </c>
      <c r="P44" s="4"/>
      <c r="Q44" s="4"/>
      <c r="R44" s="4"/>
      <c r="S44" s="4"/>
      <c r="T44" s="4"/>
      <c r="U44" s="4"/>
      <c r="V44" s="4"/>
      <c r="W44" s="4">
        <v>0</v>
      </c>
      <c r="X44" s="4">
        <v>1</v>
      </c>
      <c r="Y44" s="4">
        <v>0</v>
      </c>
      <c r="Z44" s="4"/>
      <c r="AA44" s="4"/>
      <c r="AB44" s="4"/>
    </row>
    <row r="45" spans="1:206" x14ac:dyDescent="0.2">
      <c r="A45" s="4">
        <v>50</v>
      </c>
      <c r="B45" s="4">
        <v>0</v>
      </c>
      <c r="C45" s="4">
        <v>0</v>
      </c>
      <c r="D45" s="4">
        <v>1</v>
      </c>
      <c r="E45" s="4">
        <v>229</v>
      </c>
      <c r="F45" s="4">
        <f>ROUND(Source!AZ34,O45)</f>
        <v>0</v>
      </c>
      <c r="G45" s="4" t="s">
        <v>89</v>
      </c>
      <c r="H45" s="4" t="s">
        <v>90</v>
      </c>
      <c r="I45" s="4"/>
      <c r="J45" s="4"/>
      <c r="K45" s="4">
        <v>229</v>
      </c>
      <c r="L45" s="4">
        <v>10</v>
      </c>
      <c r="M45" s="4">
        <v>3</v>
      </c>
      <c r="N45" s="4" t="s">
        <v>3</v>
      </c>
      <c r="O45" s="4">
        <v>2</v>
      </c>
      <c r="P45" s="4"/>
      <c r="Q45" s="4"/>
      <c r="R45" s="4"/>
      <c r="S45" s="4"/>
      <c r="T45" s="4"/>
      <c r="U45" s="4"/>
      <c r="V45" s="4"/>
      <c r="W45" s="4">
        <v>0</v>
      </c>
      <c r="X45" s="4">
        <v>1</v>
      </c>
      <c r="Y45" s="4">
        <v>0</v>
      </c>
      <c r="Z45" s="4"/>
      <c r="AA45" s="4"/>
      <c r="AB45" s="4"/>
    </row>
    <row r="46" spans="1:206" x14ac:dyDescent="0.2">
      <c r="A46" s="4">
        <v>50</v>
      </c>
      <c r="B46" s="4">
        <v>0</v>
      </c>
      <c r="C46" s="4">
        <v>0</v>
      </c>
      <c r="D46" s="4">
        <v>1</v>
      </c>
      <c r="E46" s="4">
        <v>203</v>
      </c>
      <c r="F46" s="4">
        <f>ROUND(Source!Q34,O46)</f>
        <v>4853</v>
      </c>
      <c r="G46" s="4" t="s">
        <v>91</v>
      </c>
      <c r="H46" s="4" t="s">
        <v>92</v>
      </c>
      <c r="I46" s="4"/>
      <c r="J46" s="4"/>
      <c r="K46" s="4">
        <v>203</v>
      </c>
      <c r="L46" s="4">
        <v>11</v>
      </c>
      <c r="M46" s="4">
        <v>3</v>
      </c>
      <c r="N46" s="4" t="s">
        <v>3</v>
      </c>
      <c r="O46" s="4">
        <v>2</v>
      </c>
      <c r="P46" s="4"/>
      <c r="Q46" s="4"/>
      <c r="R46" s="4"/>
      <c r="S46" s="4"/>
      <c r="T46" s="4"/>
      <c r="U46" s="4"/>
      <c r="V46" s="4"/>
      <c r="W46" s="4">
        <v>4853</v>
      </c>
      <c r="X46" s="4">
        <v>1</v>
      </c>
      <c r="Y46" s="4">
        <v>4853</v>
      </c>
      <c r="Z46" s="4"/>
      <c r="AA46" s="4"/>
      <c r="AB46" s="4"/>
    </row>
    <row r="47" spans="1:206" x14ac:dyDescent="0.2">
      <c r="A47" s="4">
        <v>50</v>
      </c>
      <c r="B47" s="4">
        <v>0</v>
      </c>
      <c r="C47" s="4">
        <v>0</v>
      </c>
      <c r="D47" s="4">
        <v>1</v>
      </c>
      <c r="E47" s="4">
        <v>231</v>
      </c>
      <c r="F47" s="4">
        <f>ROUND(Source!BB34,O47)</f>
        <v>0</v>
      </c>
      <c r="G47" s="4" t="s">
        <v>93</v>
      </c>
      <c r="H47" s="4" t="s">
        <v>94</v>
      </c>
      <c r="I47" s="4"/>
      <c r="J47" s="4"/>
      <c r="K47" s="4">
        <v>231</v>
      </c>
      <c r="L47" s="4">
        <v>12</v>
      </c>
      <c r="M47" s="4">
        <v>3</v>
      </c>
      <c r="N47" s="4" t="s">
        <v>3</v>
      </c>
      <c r="O47" s="4">
        <v>2</v>
      </c>
      <c r="P47" s="4"/>
      <c r="Q47" s="4"/>
      <c r="R47" s="4"/>
      <c r="S47" s="4"/>
      <c r="T47" s="4"/>
      <c r="U47" s="4"/>
      <c r="V47" s="4"/>
      <c r="W47" s="4">
        <v>0</v>
      </c>
      <c r="X47" s="4">
        <v>1</v>
      </c>
      <c r="Y47" s="4">
        <v>0</v>
      </c>
      <c r="Z47" s="4"/>
      <c r="AA47" s="4"/>
      <c r="AB47" s="4"/>
    </row>
    <row r="48" spans="1:206" x14ac:dyDescent="0.2">
      <c r="A48" s="4">
        <v>50</v>
      </c>
      <c r="B48" s="4">
        <v>0</v>
      </c>
      <c r="C48" s="4">
        <v>0</v>
      </c>
      <c r="D48" s="4">
        <v>1</v>
      </c>
      <c r="E48" s="4">
        <v>204</v>
      </c>
      <c r="F48" s="4">
        <f>ROUND(Source!R34,O48)</f>
        <v>1551.83</v>
      </c>
      <c r="G48" s="4" t="s">
        <v>95</v>
      </c>
      <c r="H48" s="4" t="s">
        <v>96</v>
      </c>
      <c r="I48" s="4"/>
      <c r="J48" s="4"/>
      <c r="K48" s="4">
        <v>204</v>
      </c>
      <c r="L48" s="4">
        <v>13</v>
      </c>
      <c r="M48" s="4">
        <v>3</v>
      </c>
      <c r="N48" s="4" t="s">
        <v>3</v>
      </c>
      <c r="O48" s="4">
        <v>2</v>
      </c>
      <c r="P48" s="4"/>
      <c r="Q48" s="4"/>
      <c r="R48" s="4"/>
      <c r="S48" s="4"/>
      <c r="T48" s="4"/>
      <c r="U48" s="4"/>
      <c r="V48" s="4"/>
      <c r="W48" s="4">
        <v>1551.83</v>
      </c>
      <c r="X48" s="4">
        <v>1</v>
      </c>
      <c r="Y48" s="4">
        <v>1551.83</v>
      </c>
      <c r="Z48" s="4"/>
      <c r="AA48" s="4"/>
      <c r="AB48" s="4"/>
    </row>
    <row r="49" spans="1:88" x14ac:dyDescent="0.2">
      <c r="A49" s="4">
        <v>50</v>
      </c>
      <c r="B49" s="4">
        <v>0</v>
      </c>
      <c r="C49" s="4">
        <v>0</v>
      </c>
      <c r="D49" s="4">
        <v>1</v>
      </c>
      <c r="E49" s="4">
        <v>205</v>
      </c>
      <c r="F49" s="4">
        <f>ROUND(Source!S34,O49)</f>
        <v>54510.239999999998</v>
      </c>
      <c r="G49" s="4" t="s">
        <v>97</v>
      </c>
      <c r="H49" s="4" t="s">
        <v>98</v>
      </c>
      <c r="I49" s="4"/>
      <c r="J49" s="4"/>
      <c r="K49" s="4">
        <v>205</v>
      </c>
      <c r="L49" s="4">
        <v>14</v>
      </c>
      <c r="M49" s="4">
        <v>3</v>
      </c>
      <c r="N49" s="4" t="s">
        <v>3</v>
      </c>
      <c r="O49" s="4">
        <v>2</v>
      </c>
      <c r="P49" s="4"/>
      <c r="Q49" s="4"/>
      <c r="R49" s="4"/>
      <c r="S49" s="4"/>
      <c r="T49" s="4"/>
      <c r="U49" s="4"/>
      <c r="V49" s="4"/>
      <c r="W49" s="4">
        <v>54510.239999999998</v>
      </c>
      <c r="X49" s="4">
        <v>1</v>
      </c>
      <c r="Y49" s="4">
        <v>54510.239999999998</v>
      </c>
      <c r="Z49" s="4"/>
      <c r="AA49" s="4"/>
      <c r="AB49" s="4"/>
    </row>
    <row r="50" spans="1:88" x14ac:dyDescent="0.2">
      <c r="A50" s="4">
        <v>50</v>
      </c>
      <c r="B50" s="4">
        <v>0</v>
      </c>
      <c r="C50" s="4">
        <v>0</v>
      </c>
      <c r="D50" s="4">
        <v>1</v>
      </c>
      <c r="E50" s="4">
        <v>232</v>
      </c>
      <c r="F50" s="4">
        <f>ROUND(Source!BC34,O50)</f>
        <v>0</v>
      </c>
      <c r="G50" s="4" t="s">
        <v>99</v>
      </c>
      <c r="H50" s="4" t="s">
        <v>100</v>
      </c>
      <c r="I50" s="4"/>
      <c r="J50" s="4"/>
      <c r="K50" s="4">
        <v>232</v>
      </c>
      <c r="L50" s="4">
        <v>15</v>
      </c>
      <c r="M50" s="4">
        <v>3</v>
      </c>
      <c r="N50" s="4" t="s">
        <v>3</v>
      </c>
      <c r="O50" s="4">
        <v>2</v>
      </c>
      <c r="P50" s="4"/>
      <c r="Q50" s="4"/>
      <c r="R50" s="4"/>
      <c r="S50" s="4"/>
      <c r="T50" s="4"/>
      <c r="U50" s="4"/>
      <c r="V50" s="4"/>
      <c r="W50" s="4">
        <v>0</v>
      </c>
      <c r="X50" s="4">
        <v>1</v>
      </c>
      <c r="Y50" s="4">
        <v>0</v>
      </c>
      <c r="Z50" s="4"/>
      <c r="AA50" s="4"/>
      <c r="AB50" s="4"/>
    </row>
    <row r="51" spans="1:88" x14ac:dyDescent="0.2">
      <c r="A51" s="4">
        <v>50</v>
      </c>
      <c r="B51" s="4">
        <v>0</v>
      </c>
      <c r="C51" s="4">
        <v>0</v>
      </c>
      <c r="D51" s="4">
        <v>1</v>
      </c>
      <c r="E51" s="4">
        <v>214</v>
      </c>
      <c r="F51" s="4">
        <f>ROUND(Source!AS34,O51)</f>
        <v>150676.1</v>
      </c>
      <c r="G51" s="4" t="s">
        <v>101</v>
      </c>
      <c r="H51" s="4" t="s">
        <v>102</v>
      </c>
      <c r="I51" s="4"/>
      <c r="J51" s="4"/>
      <c r="K51" s="4">
        <v>214</v>
      </c>
      <c r="L51" s="4">
        <v>16</v>
      </c>
      <c r="M51" s="4">
        <v>3</v>
      </c>
      <c r="N51" s="4" t="s">
        <v>3</v>
      </c>
      <c r="O51" s="4">
        <v>2</v>
      </c>
      <c r="P51" s="4"/>
      <c r="Q51" s="4"/>
      <c r="R51" s="4"/>
      <c r="S51" s="4"/>
      <c r="T51" s="4"/>
      <c r="U51" s="4"/>
      <c r="V51" s="4"/>
      <c r="W51" s="4">
        <v>150676.1</v>
      </c>
      <c r="X51" s="4">
        <v>1</v>
      </c>
      <c r="Y51" s="4">
        <v>150676.1</v>
      </c>
      <c r="Z51" s="4"/>
      <c r="AA51" s="4"/>
      <c r="AB51" s="4"/>
    </row>
    <row r="52" spans="1:88" x14ac:dyDescent="0.2">
      <c r="A52" s="4">
        <v>50</v>
      </c>
      <c r="B52" s="4">
        <v>0</v>
      </c>
      <c r="C52" s="4">
        <v>0</v>
      </c>
      <c r="D52" s="4">
        <v>1</v>
      </c>
      <c r="E52" s="4">
        <v>215</v>
      </c>
      <c r="F52" s="4">
        <f>ROUND(Source!AT34,O52)</f>
        <v>0</v>
      </c>
      <c r="G52" s="4" t="s">
        <v>103</v>
      </c>
      <c r="H52" s="4" t="s">
        <v>104</v>
      </c>
      <c r="I52" s="4"/>
      <c r="J52" s="4"/>
      <c r="K52" s="4">
        <v>215</v>
      </c>
      <c r="L52" s="4">
        <v>17</v>
      </c>
      <c r="M52" s="4">
        <v>3</v>
      </c>
      <c r="N52" s="4" t="s">
        <v>3</v>
      </c>
      <c r="O52" s="4">
        <v>2</v>
      </c>
      <c r="P52" s="4"/>
      <c r="Q52" s="4"/>
      <c r="R52" s="4"/>
      <c r="S52" s="4"/>
      <c r="T52" s="4"/>
      <c r="U52" s="4"/>
      <c r="V52" s="4"/>
      <c r="W52" s="4">
        <v>0</v>
      </c>
      <c r="X52" s="4">
        <v>1</v>
      </c>
      <c r="Y52" s="4">
        <v>0</v>
      </c>
      <c r="Z52" s="4"/>
      <c r="AA52" s="4"/>
      <c r="AB52" s="4"/>
    </row>
    <row r="53" spans="1:88" x14ac:dyDescent="0.2">
      <c r="A53" s="4">
        <v>50</v>
      </c>
      <c r="B53" s="4">
        <v>0</v>
      </c>
      <c r="C53" s="4">
        <v>0</v>
      </c>
      <c r="D53" s="4">
        <v>1</v>
      </c>
      <c r="E53" s="4">
        <v>217</v>
      </c>
      <c r="F53" s="4">
        <f>ROUND(Source!AU34,O53)</f>
        <v>0</v>
      </c>
      <c r="G53" s="4" t="s">
        <v>105</v>
      </c>
      <c r="H53" s="4" t="s">
        <v>106</v>
      </c>
      <c r="I53" s="4"/>
      <c r="J53" s="4"/>
      <c r="K53" s="4">
        <v>217</v>
      </c>
      <c r="L53" s="4">
        <v>18</v>
      </c>
      <c r="M53" s="4">
        <v>3</v>
      </c>
      <c r="N53" s="4" t="s">
        <v>3</v>
      </c>
      <c r="O53" s="4">
        <v>2</v>
      </c>
      <c r="P53" s="4"/>
      <c r="Q53" s="4"/>
      <c r="R53" s="4"/>
      <c r="S53" s="4"/>
      <c r="T53" s="4"/>
      <c r="U53" s="4"/>
      <c r="V53" s="4"/>
      <c r="W53" s="4">
        <v>0</v>
      </c>
      <c r="X53" s="4">
        <v>1</v>
      </c>
      <c r="Y53" s="4">
        <v>0</v>
      </c>
      <c r="Z53" s="4"/>
      <c r="AA53" s="4"/>
      <c r="AB53" s="4"/>
    </row>
    <row r="54" spans="1:88" x14ac:dyDescent="0.2">
      <c r="A54" s="4">
        <v>50</v>
      </c>
      <c r="B54" s="4">
        <v>0</v>
      </c>
      <c r="C54" s="4">
        <v>0</v>
      </c>
      <c r="D54" s="4">
        <v>1</v>
      </c>
      <c r="E54" s="4">
        <v>230</v>
      </c>
      <c r="F54" s="4">
        <f>ROUND(Source!BA34,O54)</f>
        <v>0</v>
      </c>
      <c r="G54" s="4" t="s">
        <v>107</v>
      </c>
      <c r="H54" s="4" t="s">
        <v>108</v>
      </c>
      <c r="I54" s="4"/>
      <c r="J54" s="4"/>
      <c r="K54" s="4">
        <v>230</v>
      </c>
      <c r="L54" s="4">
        <v>19</v>
      </c>
      <c r="M54" s="4">
        <v>3</v>
      </c>
      <c r="N54" s="4" t="s">
        <v>3</v>
      </c>
      <c r="O54" s="4">
        <v>2</v>
      </c>
      <c r="P54" s="4"/>
      <c r="Q54" s="4"/>
      <c r="R54" s="4"/>
      <c r="S54" s="4"/>
      <c r="T54" s="4"/>
      <c r="U54" s="4"/>
      <c r="V54" s="4"/>
      <c r="W54" s="4">
        <v>0</v>
      </c>
      <c r="X54" s="4">
        <v>1</v>
      </c>
      <c r="Y54" s="4">
        <v>0</v>
      </c>
      <c r="Z54" s="4"/>
      <c r="AA54" s="4"/>
      <c r="AB54" s="4"/>
    </row>
    <row r="55" spans="1:88" x14ac:dyDescent="0.2">
      <c r="A55" s="4">
        <v>50</v>
      </c>
      <c r="B55" s="4">
        <v>0</v>
      </c>
      <c r="C55" s="4">
        <v>0</v>
      </c>
      <c r="D55" s="4">
        <v>1</v>
      </c>
      <c r="E55" s="4">
        <v>206</v>
      </c>
      <c r="F55" s="4">
        <f>ROUND(Source!T34,O55)</f>
        <v>0</v>
      </c>
      <c r="G55" s="4" t="s">
        <v>109</v>
      </c>
      <c r="H55" s="4" t="s">
        <v>110</v>
      </c>
      <c r="I55" s="4"/>
      <c r="J55" s="4"/>
      <c r="K55" s="4">
        <v>206</v>
      </c>
      <c r="L55" s="4">
        <v>20</v>
      </c>
      <c r="M55" s="4">
        <v>3</v>
      </c>
      <c r="N55" s="4" t="s">
        <v>3</v>
      </c>
      <c r="O55" s="4">
        <v>2</v>
      </c>
      <c r="P55" s="4"/>
      <c r="Q55" s="4"/>
      <c r="R55" s="4"/>
      <c r="S55" s="4"/>
      <c r="T55" s="4"/>
      <c r="U55" s="4"/>
      <c r="V55" s="4"/>
      <c r="W55" s="4">
        <v>0</v>
      </c>
      <c r="X55" s="4">
        <v>1</v>
      </c>
      <c r="Y55" s="4">
        <v>0</v>
      </c>
      <c r="Z55" s="4"/>
      <c r="AA55" s="4"/>
      <c r="AB55" s="4"/>
    </row>
    <row r="56" spans="1:88" x14ac:dyDescent="0.2">
      <c r="A56" s="4">
        <v>50</v>
      </c>
      <c r="B56" s="4">
        <v>0</v>
      </c>
      <c r="C56" s="4">
        <v>0</v>
      </c>
      <c r="D56" s="4">
        <v>1</v>
      </c>
      <c r="E56" s="4">
        <v>207</v>
      </c>
      <c r="F56" s="4">
        <f>Source!U34</f>
        <v>210.0127856</v>
      </c>
      <c r="G56" s="4" t="s">
        <v>111</v>
      </c>
      <c r="H56" s="4" t="s">
        <v>112</v>
      </c>
      <c r="I56" s="4"/>
      <c r="J56" s="4"/>
      <c r="K56" s="4">
        <v>207</v>
      </c>
      <c r="L56" s="4">
        <v>21</v>
      </c>
      <c r="M56" s="4">
        <v>3</v>
      </c>
      <c r="N56" s="4" t="s">
        <v>3</v>
      </c>
      <c r="O56" s="4">
        <v>-1</v>
      </c>
      <c r="P56" s="4"/>
      <c r="Q56" s="4"/>
      <c r="R56" s="4"/>
      <c r="S56" s="4"/>
      <c r="T56" s="4"/>
      <c r="U56" s="4"/>
      <c r="V56" s="4"/>
      <c r="W56" s="4">
        <v>210.0127856</v>
      </c>
      <c r="X56" s="4">
        <v>1</v>
      </c>
      <c r="Y56" s="4">
        <v>210.0127856</v>
      </c>
      <c r="Z56" s="4"/>
      <c r="AA56" s="4"/>
      <c r="AB56" s="4"/>
    </row>
    <row r="57" spans="1:88" x14ac:dyDescent="0.2">
      <c r="A57" s="4">
        <v>50</v>
      </c>
      <c r="B57" s="4">
        <v>0</v>
      </c>
      <c r="C57" s="4">
        <v>0</v>
      </c>
      <c r="D57" s="4">
        <v>1</v>
      </c>
      <c r="E57" s="4">
        <v>208</v>
      </c>
      <c r="F57" s="4">
        <f>Source!V34</f>
        <v>4.3046688</v>
      </c>
      <c r="G57" s="4" t="s">
        <v>113</v>
      </c>
      <c r="H57" s="4" t="s">
        <v>114</v>
      </c>
      <c r="I57" s="4"/>
      <c r="J57" s="4"/>
      <c r="K57" s="4">
        <v>208</v>
      </c>
      <c r="L57" s="4">
        <v>22</v>
      </c>
      <c r="M57" s="4">
        <v>3</v>
      </c>
      <c r="N57" s="4" t="s">
        <v>3</v>
      </c>
      <c r="O57" s="4">
        <v>-1</v>
      </c>
      <c r="P57" s="4"/>
      <c r="Q57" s="4"/>
      <c r="R57" s="4"/>
      <c r="S57" s="4"/>
      <c r="T57" s="4"/>
      <c r="U57" s="4"/>
      <c r="V57" s="4"/>
      <c r="W57" s="4">
        <v>4.3046688</v>
      </c>
      <c r="X57" s="4">
        <v>1</v>
      </c>
      <c r="Y57" s="4">
        <v>4.3046688</v>
      </c>
      <c r="Z57" s="4"/>
      <c r="AA57" s="4"/>
      <c r="AB57" s="4"/>
    </row>
    <row r="58" spans="1:88" x14ac:dyDescent="0.2">
      <c r="A58" s="4">
        <v>50</v>
      </c>
      <c r="B58" s="4">
        <v>0</v>
      </c>
      <c r="C58" s="4">
        <v>0</v>
      </c>
      <c r="D58" s="4">
        <v>1</v>
      </c>
      <c r="E58" s="4">
        <v>209</v>
      </c>
      <c r="F58" s="4">
        <f>ROUND(Source!W34,O58)</f>
        <v>0</v>
      </c>
      <c r="G58" s="4" t="s">
        <v>115</v>
      </c>
      <c r="H58" s="4" t="s">
        <v>116</v>
      </c>
      <c r="I58" s="4"/>
      <c r="J58" s="4"/>
      <c r="K58" s="4">
        <v>209</v>
      </c>
      <c r="L58" s="4">
        <v>23</v>
      </c>
      <c r="M58" s="4">
        <v>3</v>
      </c>
      <c r="N58" s="4" t="s">
        <v>3</v>
      </c>
      <c r="O58" s="4">
        <v>2</v>
      </c>
      <c r="P58" s="4"/>
      <c r="Q58" s="4"/>
      <c r="R58" s="4"/>
      <c r="S58" s="4"/>
      <c r="T58" s="4"/>
      <c r="U58" s="4"/>
      <c r="V58" s="4"/>
      <c r="W58" s="4">
        <v>0</v>
      </c>
      <c r="X58" s="4">
        <v>1</v>
      </c>
      <c r="Y58" s="4">
        <v>0</v>
      </c>
      <c r="Z58" s="4"/>
      <c r="AA58" s="4"/>
      <c r="AB58" s="4"/>
    </row>
    <row r="59" spans="1:88" x14ac:dyDescent="0.2">
      <c r="A59" s="4">
        <v>50</v>
      </c>
      <c r="B59" s="4">
        <v>0</v>
      </c>
      <c r="C59" s="4">
        <v>0</v>
      </c>
      <c r="D59" s="4">
        <v>1</v>
      </c>
      <c r="E59" s="4">
        <v>233</v>
      </c>
      <c r="F59" s="4">
        <f>ROUND(Source!BD34,O59)</f>
        <v>0</v>
      </c>
      <c r="G59" s="4" t="s">
        <v>117</v>
      </c>
      <c r="H59" s="4" t="s">
        <v>118</v>
      </c>
      <c r="I59" s="4"/>
      <c r="J59" s="4"/>
      <c r="K59" s="4">
        <v>233</v>
      </c>
      <c r="L59" s="4">
        <v>24</v>
      </c>
      <c r="M59" s="4">
        <v>3</v>
      </c>
      <c r="N59" s="4" t="s">
        <v>3</v>
      </c>
      <c r="O59" s="4">
        <v>2</v>
      </c>
      <c r="P59" s="4"/>
      <c r="Q59" s="4"/>
      <c r="R59" s="4"/>
      <c r="S59" s="4"/>
      <c r="T59" s="4"/>
      <c r="U59" s="4"/>
      <c r="V59" s="4"/>
      <c r="W59" s="4">
        <v>0</v>
      </c>
      <c r="X59" s="4">
        <v>1</v>
      </c>
      <c r="Y59" s="4">
        <v>0</v>
      </c>
      <c r="Z59" s="4"/>
      <c r="AA59" s="4"/>
      <c r="AB59" s="4"/>
    </row>
    <row r="60" spans="1:88" x14ac:dyDescent="0.2">
      <c r="A60" s="4">
        <v>50</v>
      </c>
      <c r="B60" s="4">
        <v>0</v>
      </c>
      <c r="C60" s="4">
        <v>0</v>
      </c>
      <c r="D60" s="4">
        <v>1</v>
      </c>
      <c r="E60" s="4">
        <v>210</v>
      </c>
      <c r="F60" s="4">
        <f>ROUND(Source!X34,O60)</f>
        <v>57022.65</v>
      </c>
      <c r="G60" s="4" t="s">
        <v>119</v>
      </c>
      <c r="H60" s="4" t="s">
        <v>120</v>
      </c>
      <c r="I60" s="4"/>
      <c r="J60" s="4"/>
      <c r="K60" s="4">
        <v>210</v>
      </c>
      <c r="L60" s="4">
        <v>25</v>
      </c>
      <c r="M60" s="4">
        <v>3</v>
      </c>
      <c r="N60" s="4" t="s">
        <v>3</v>
      </c>
      <c r="O60" s="4">
        <v>2</v>
      </c>
      <c r="P60" s="4"/>
      <c r="Q60" s="4"/>
      <c r="R60" s="4"/>
      <c r="S60" s="4"/>
      <c r="T60" s="4"/>
      <c r="U60" s="4"/>
      <c r="V60" s="4"/>
      <c r="W60" s="4">
        <v>57022.65</v>
      </c>
      <c r="X60" s="4">
        <v>1</v>
      </c>
      <c r="Y60" s="4">
        <v>57022.65</v>
      </c>
      <c r="Z60" s="4"/>
      <c r="AA60" s="4"/>
      <c r="AB60" s="4"/>
    </row>
    <row r="61" spans="1:88" x14ac:dyDescent="0.2">
      <c r="A61" s="4">
        <v>50</v>
      </c>
      <c r="B61" s="4">
        <v>0</v>
      </c>
      <c r="C61" s="4">
        <v>0</v>
      </c>
      <c r="D61" s="4">
        <v>1</v>
      </c>
      <c r="E61" s="4">
        <v>211</v>
      </c>
      <c r="F61" s="4">
        <f>ROUND(Source!Y34,O61)</f>
        <v>30167.37</v>
      </c>
      <c r="G61" s="4" t="s">
        <v>121</v>
      </c>
      <c r="H61" s="4" t="s">
        <v>122</v>
      </c>
      <c r="I61" s="4"/>
      <c r="J61" s="4"/>
      <c r="K61" s="4">
        <v>211</v>
      </c>
      <c r="L61" s="4">
        <v>26</v>
      </c>
      <c r="M61" s="4">
        <v>3</v>
      </c>
      <c r="N61" s="4" t="s">
        <v>3</v>
      </c>
      <c r="O61" s="4">
        <v>2</v>
      </c>
      <c r="P61" s="4"/>
      <c r="Q61" s="4"/>
      <c r="R61" s="4"/>
      <c r="S61" s="4"/>
      <c r="T61" s="4"/>
      <c r="U61" s="4"/>
      <c r="V61" s="4"/>
      <c r="W61" s="4">
        <v>30167.37</v>
      </c>
      <c r="X61" s="4">
        <v>1</v>
      </c>
      <c r="Y61" s="4">
        <v>30167.37</v>
      </c>
      <c r="Z61" s="4"/>
      <c r="AA61" s="4"/>
      <c r="AB61" s="4"/>
    </row>
    <row r="62" spans="1:88" x14ac:dyDescent="0.2">
      <c r="A62" s="4">
        <v>50</v>
      </c>
      <c r="B62" s="4">
        <v>0</v>
      </c>
      <c r="C62" s="4">
        <v>0</v>
      </c>
      <c r="D62" s="4">
        <v>1</v>
      </c>
      <c r="E62" s="4">
        <v>224</v>
      </c>
      <c r="F62" s="4">
        <f>ROUND(Source!AR34,O62)</f>
        <v>150676.1</v>
      </c>
      <c r="G62" s="4" t="s">
        <v>123</v>
      </c>
      <c r="H62" s="4" t="s">
        <v>124</v>
      </c>
      <c r="I62" s="4"/>
      <c r="J62" s="4"/>
      <c r="K62" s="4">
        <v>224</v>
      </c>
      <c r="L62" s="4">
        <v>27</v>
      </c>
      <c r="M62" s="4">
        <v>3</v>
      </c>
      <c r="N62" s="4" t="s">
        <v>3</v>
      </c>
      <c r="O62" s="4">
        <v>2</v>
      </c>
      <c r="P62" s="4"/>
      <c r="Q62" s="4"/>
      <c r="R62" s="4"/>
      <c r="S62" s="4"/>
      <c r="T62" s="4"/>
      <c r="U62" s="4"/>
      <c r="V62" s="4"/>
      <c r="W62" s="4">
        <v>150676.1</v>
      </c>
      <c r="X62" s="4">
        <v>1</v>
      </c>
      <c r="Y62" s="4">
        <v>150676.1</v>
      </c>
      <c r="Z62" s="4"/>
      <c r="AA62" s="4"/>
      <c r="AB62" s="4"/>
    </row>
    <row r="64" spans="1:88" x14ac:dyDescent="0.2">
      <c r="A64" s="1">
        <v>4</v>
      </c>
      <c r="B64" s="1">
        <v>1</v>
      </c>
      <c r="C64" s="1"/>
      <c r="D64" s="1">
        <f>ROW(A101)</f>
        <v>101</v>
      </c>
      <c r="E64" s="1"/>
      <c r="F64" s="1" t="s">
        <v>19</v>
      </c>
      <c r="G64" s="1" t="s">
        <v>125</v>
      </c>
      <c r="H64" s="1" t="s">
        <v>3</v>
      </c>
      <c r="I64" s="1">
        <v>0</v>
      </c>
      <c r="J64" s="1"/>
      <c r="K64" s="1">
        <v>0</v>
      </c>
      <c r="L64" s="1"/>
      <c r="M64" s="1" t="s">
        <v>3</v>
      </c>
      <c r="N64" s="1"/>
      <c r="O64" s="1"/>
      <c r="P64" s="1"/>
      <c r="Q64" s="1"/>
      <c r="R64" s="1"/>
      <c r="S64" s="1">
        <v>0</v>
      </c>
      <c r="T64" s="1"/>
      <c r="U64" s="1" t="s">
        <v>3</v>
      </c>
      <c r="V64" s="1">
        <v>0</v>
      </c>
      <c r="W64" s="1"/>
      <c r="X64" s="1"/>
      <c r="Y64" s="1"/>
      <c r="Z64" s="1"/>
      <c r="AA64" s="1"/>
      <c r="AB64" s="1" t="s">
        <v>3</v>
      </c>
      <c r="AC64" s="1" t="s">
        <v>3</v>
      </c>
      <c r="AD64" s="1" t="s">
        <v>3</v>
      </c>
      <c r="AE64" s="1" t="s">
        <v>3</v>
      </c>
      <c r="AF64" s="1" t="s">
        <v>3</v>
      </c>
      <c r="AG64" s="1" t="s">
        <v>3</v>
      </c>
      <c r="AH64" s="1"/>
      <c r="AI64" s="1"/>
      <c r="AJ64" s="1"/>
      <c r="AK64" s="1"/>
      <c r="AL64" s="1"/>
      <c r="AM64" s="1"/>
      <c r="AN64" s="1"/>
      <c r="AO64" s="1"/>
      <c r="AP64" s="1" t="s">
        <v>3</v>
      </c>
      <c r="AQ64" s="1" t="s">
        <v>3</v>
      </c>
      <c r="AR64" s="1" t="s">
        <v>3</v>
      </c>
      <c r="AS64" s="1"/>
      <c r="AT64" s="1"/>
      <c r="AU64" s="1"/>
      <c r="AV64" s="1"/>
      <c r="AW64" s="1"/>
      <c r="AX64" s="1"/>
      <c r="AY64" s="1"/>
      <c r="AZ64" s="1" t="s">
        <v>3</v>
      </c>
      <c r="BA64" s="1"/>
      <c r="BB64" s="1" t="s">
        <v>3</v>
      </c>
      <c r="BC64" s="1" t="s">
        <v>3</v>
      </c>
      <c r="BD64" s="1" t="s">
        <v>16</v>
      </c>
      <c r="BE64" s="1" t="s">
        <v>16</v>
      </c>
      <c r="BF64" s="1" t="s">
        <v>17</v>
      </c>
      <c r="BG64" s="1" t="s">
        <v>3</v>
      </c>
      <c r="BH64" s="1" t="s">
        <v>17</v>
      </c>
      <c r="BI64" s="1" t="s">
        <v>16</v>
      </c>
      <c r="BJ64" s="1" t="s">
        <v>3</v>
      </c>
      <c r="BK64" s="1" t="s">
        <v>3</v>
      </c>
      <c r="BL64" s="1" t="s">
        <v>3</v>
      </c>
      <c r="BM64" s="1" t="s">
        <v>3</v>
      </c>
      <c r="BN64" s="1" t="s">
        <v>16</v>
      </c>
      <c r="BO64" s="1" t="s">
        <v>556</v>
      </c>
      <c r="BP64" s="1" t="s">
        <v>18</v>
      </c>
      <c r="BQ64" s="1"/>
      <c r="BR64" s="1"/>
      <c r="BS64" s="1"/>
      <c r="BT64" s="1"/>
      <c r="BU64" s="1"/>
      <c r="BV64" s="1"/>
      <c r="BW64" s="1"/>
      <c r="BX64" s="1">
        <v>0</v>
      </c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>
        <v>0</v>
      </c>
    </row>
    <row r="66" spans="1:245" x14ac:dyDescent="0.2">
      <c r="A66" s="2">
        <v>52</v>
      </c>
      <c r="B66" s="2">
        <f t="shared" ref="B66:G66" si="27">B101</f>
        <v>1</v>
      </c>
      <c r="C66" s="2">
        <f t="shared" si="27"/>
        <v>4</v>
      </c>
      <c r="D66" s="2">
        <f t="shared" si="27"/>
        <v>64</v>
      </c>
      <c r="E66" s="2">
        <f t="shared" si="27"/>
        <v>0</v>
      </c>
      <c r="F66" s="2" t="str">
        <f t="shared" si="27"/>
        <v>Новый раздел</v>
      </c>
      <c r="G66" s="2" t="str">
        <f t="shared" si="27"/>
        <v>Строительные работы</v>
      </c>
      <c r="H66" s="2"/>
      <c r="I66" s="2"/>
      <c r="J66" s="2"/>
      <c r="K66" s="2"/>
      <c r="L66" s="2"/>
      <c r="M66" s="2"/>
      <c r="N66" s="2"/>
      <c r="O66" s="2">
        <f t="shared" ref="O66:AT66" si="28">O101</f>
        <v>265531.48</v>
      </c>
      <c r="P66" s="2">
        <f t="shared" si="28"/>
        <v>165636.96</v>
      </c>
      <c r="Q66" s="2">
        <f t="shared" si="28"/>
        <v>16745.080000000002</v>
      </c>
      <c r="R66" s="2">
        <f t="shared" si="28"/>
        <v>5379.22</v>
      </c>
      <c r="S66" s="2">
        <f t="shared" si="28"/>
        <v>83149.440000000002</v>
      </c>
      <c r="T66" s="2">
        <f t="shared" si="28"/>
        <v>0</v>
      </c>
      <c r="U66" s="2">
        <f t="shared" si="28"/>
        <v>328.73868942000001</v>
      </c>
      <c r="V66" s="2">
        <f t="shared" si="28"/>
        <v>14.640184999999999</v>
      </c>
      <c r="W66" s="2">
        <f t="shared" si="28"/>
        <v>0</v>
      </c>
      <c r="X66" s="2">
        <f t="shared" si="28"/>
        <v>89093.61</v>
      </c>
      <c r="Y66" s="2">
        <f t="shared" si="28"/>
        <v>41828.29</v>
      </c>
      <c r="Z66" s="2">
        <f t="shared" si="28"/>
        <v>0</v>
      </c>
      <c r="AA66" s="2">
        <f t="shared" si="28"/>
        <v>0</v>
      </c>
      <c r="AB66" s="2">
        <f t="shared" si="28"/>
        <v>265531.48</v>
      </c>
      <c r="AC66" s="2">
        <f t="shared" si="28"/>
        <v>165636.96</v>
      </c>
      <c r="AD66" s="2">
        <f t="shared" si="28"/>
        <v>16745.080000000002</v>
      </c>
      <c r="AE66" s="2">
        <f t="shared" si="28"/>
        <v>5379.22</v>
      </c>
      <c r="AF66" s="2">
        <f t="shared" si="28"/>
        <v>83149.440000000002</v>
      </c>
      <c r="AG66" s="2">
        <f t="shared" si="28"/>
        <v>0</v>
      </c>
      <c r="AH66" s="2">
        <f t="shared" si="28"/>
        <v>328.73868942000001</v>
      </c>
      <c r="AI66" s="2">
        <f t="shared" si="28"/>
        <v>14.640184999999999</v>
      </c>
      <c r="AJ66" s="2">
        <f t="shared" si="28"/>
        <v>0</v>
      </c>
      <c r="AK66" s="2">
        <f t="shared" si="28"/>
        <v>89093.61</v>
      </c>
      <c r="AL66" s="2">
        <f t="shared" si="28"/>
        <v>41828.29</v>
      </c>
      <c r="AM66" s="2">
        <f t="shared" si="28"/>
        <v>0</v>
      </c>
      <c r="AN66" s="2">
        <f t="shared" si="28"/>
        <v>0</v>
      </c>
      <c r="AO66" s="2">
        <f t="shared" si="28"/>
        <v>0</v>
      </c>
      <c r="AP66" s="2">
        <f t="shared" si="28"/>
        <v>0</v>
      </c>
      <c r="AQ66" s="2">
        <f t="shared" si="28"/>
        <v>0</v>
      </c>
      <c r="AR66" s="2">
        <f t="shared" si="28"/>
        <v>396453.38</v>
      </c>
      <c r="AS66" s="2">
        <f t="shared" si="28"/>
        <v>396453.38</v>
      </c>
      <c r="AT66" s="2">
        <f t="shared" si="28"/>
        <v>0</v>
      </c>
      <c r="AU66" s="2">
        <f t="shared" ref="AU66:BZ66" si="29">AU101</f>
        <v>0</v>
      </c>
      <c r="AV66" s="2">
        <f t="shared" si="29"/>
        <v>165636.96</v>
      </c>
      <c r="AW66" s="2">
        <f t="shared" si="29"/>
        <v>165636.96</v>
      </c>
      <c r="AX66" s="2">
        <f t="shared" si="29"/>
        <v>0</v>
      </c>
      <c r="AY66" s="2">
        <f t="shared" si="29"/>
        <v>165636.96</v>
      </c>
      <c r="AZ66" s="2">
        <f t="shared" si="29"/>
        <v>0</v>
      </c>
      <c r="BA66" s="2">
        <f t="shared" si="29"/>
        <v>0</v>
      </c>
      <c r="BB66" s="2">
        <f t="shared" si="29"/>
        <v>0</v>
      </c>
      <c r="BC66" s="2">
        <f t="shared" si="29"/>
        <v>0</v>
      </c>
      <c r="BD66" s="2">
        <f t="shared" si="29"/>
        <v>0</v>
      </c>
      <c r="BE66" s="2">
        <f t="shared" si="29"/>
        <v>0</v>
      </c>
      <c r="BF66" s="2">
        <f t="shared" si="29"/>
        <v>0</v>
      </c>
      <c r="BG66" s="2">
        <f t="shared" si="29"/>
        <v>0</v>
      </c>
      <c r="BH66" s="2">
        <f t="shared" si="29"/>
        <v>0</v>
      </c>
      <c r="BI66" s="2">
        <f t="shared" si="29"/>
        <v>0</v>
      </c>
      <c r="BJ66" s="2">
        <f t="shared" si="29"/>
        <v>0</v>
      </c>
      <c r="BK66" s="2">
        <f t="shared" si="29"/>
        <v>0</v>
      </c>
      <c r="BL66" s="2">
        <f t="shared" si="29"/>
        <v>0</v>
      </c>
      <c r="BM66" s="2">
        <f t="shared" si="29"/>
        <v>0</v>
      </c>
      <c r="BN66" s="2">
        <f t="shared" si="29"/>
        <v>0</v>
      </c>
      <c r="BO66" s="2">
        <f t="shared" si="29"/>
        <v>0</v>
      </c>
      <c r="BP66" s="2">
        <f t="shared" si="29"/>
        <v>0</v>
      </c>
      <c r="BQ66" s="2">
        <f t="shared" si="29"/>
        <v>0</v>
      </c>
      <c r="BR66" s="2">
        <f t="shared" si="29"/>
        <v>0</v>
      </c>
      <c r="BS66" s="2">
        <f t="shared" si="29"/>
        <v>0</v>
      </c>
      <c r="BT66" s="2">
        <f t="shared" si="29"/>
        <v>0</v>
      </c>
      <c r="BU66" s="2">
        <f t="shared" si="29"/>
        <v>0</v>
      </c>
      <c r="BV66" s="2">
        <f t="shared" si="29"/>
        <v>0</v>
      </c>
      <c r="BW66" s="2">
        <f t="shared" si="29"/>
        <v>0</v>
      </c>
      <c r="BX66" s="2">
        <f t="shared" si="29"/>
        <v>0</v>
      </c>
      <c r="BY66" s="2">
        <f t="shared" si="29"/>
        <v>0</v>
      </c>
      <c r="BZ66" s="2">
        <f t="shared" si="29"/>
        <v>0</v>
      </c>
      <c r="CA66" s="2">
        <f t="shared" ref="CA66:DF66" si="30">CA101</f>
        <v>396453.38</v>
      </c>
      <c r="CB66" s="2">
        <f t="shared" si="30"/>
        <v>396453.38</v>
      </c>
      <c r="CC66" s="2">
        <f t="shared" si="30"/>
        <v>0</v>
      </c>
      <c r="CD66" s="2">
        <f t="shared" si="30"/>
        <v>0</v>
      </c>
      <c r="CE66" s="2">
        <f t="shared" si="30"/>
        <v>165636.96</v>
      </c>
      <c r="CF66" s="2">
        <f t="shared" si="30"/>
        <v>165636.96</v>
      </c>
      <c r="CG66" s="2">
        <f t="shared" si="30"/>
        <v>0</v>
      </c>
      <c r="CH66" s="2">
        <f t="shared" si="30"/>
        <v>165636.96</v>
      </c>
      <c r="CI66" s="2">
        <f t="shared" si="30"/>
        <v>0</v>
      </c>
      <c r="CJ66" s="2">
        <f t="shared" si="30"/>
        <v>0</v>
      </c>
      <c r="CK66" s="2">
        <f t="shared" si="30"/>
        <v>0</v>
      </c>
      <c r="CL66" s="2">
        <f t="shared" si="30"/>
        <v>0</v>
      </c>
      <c r="CM66" s="2">
        <f t="shared" si="30"/>
        <v>0</v>
      </c>
      <c r="CN66" s="2">
        <f t="shared" si="30"/>
        <v>0</v>
      </c>
      <c r="CO66" s="2">
        <f t="shared" si="30"/>
        <v>0</v>
      </c>
      <c r="CP66" s="2">
        <f t="shared" si="30"/>
        <v>0</v>
      </c>
      <c r="CQ66" s="2">
        <f t="shared" si="30"/>
        <v>0</v>
      </c>
      <c r="CR66" s="2">
        <f t="shared" si="30"/>
        <v>0</v>
      </c>
      <c r="CS66" s="2">
        <f t="shared" si="30"/>
        <v>0</v>
      </c>
      <c r="CT66" s="2">
        <f t="shared" si="30"/>
        <v>0</v>
      </c>
      <c r="CU66" s="2">
        <f t="shared" si="30"/>
        <v>0</v>
      </c>
      <c r="CV66" s="2">
        <f t="shared" si="30"/>
        <v>0</v>
      </c>
      <c r="CW66" s="2">
        <f t="shared" si="30"/>
        <v>0</v>
      </c>
      <c r="CX66" s="2">
        <f t="shared" si="30"/>
        <v>0</v>
      </c>
      <c r="CY66" s="2">
        <f t="shared" si="30"/>
        <v>0</v>
      </c>
      <c r="CZ66" s="2">
        <f t="shared" si="30"/>
        <v>0</v>
      </c>
      <c r="DA66" s="2">
        <f t="shared" si="30"/>
        <v>0</v>
      </c>
      <c r="DB66" s="2">
        <f t="shared" si="30"/>
        <v>0</v>
      </c>
      <c r="DC66" s="2">
        <f t="shared" si="30"/>
        <v>0</v>
      </c>
      <c r="DD66" s="2">
        <f t="shared" si="30"/>
        <v>0</v>
      </c>
      <c r="DE66" s="2">
        <f t="shared" si="30"/>
        <v>0</v>
      </c>
      <c r="DF66" s="2">
        <f t="shared" si="30"/>
        <v>0</v>
      </c>
      <c r="DG66" s="3">
        <f t="shared" ref="DG66:EL66" si="31">DG101</f>
        <v>0</v>
      </c>
      <c r="DH66" s="3">
        <f t="shared" si="31"/>
        <v>0</v>
      </c>
      <c r="DI66" s="3">
        <f t="shared" si="31"/>
        <v>0</v>
      </c>
      <c r="DJ66" s="3">
        <f t="shared" si="31"/>
        <v>0</v>
      </c>
      <c r="DK66" s="3">
        <f t="shared" si="31"/>
        <v>0</v>
      </c>
      <c r="DL66" s="3">
        <f t="shared" si="31"/>
        <v>0</v>
      </c>
      <c r="DM66" s="3">
        <f t="shared" si="31"/>
        <v>0</v>
      </c>
      <c r="DN66" s="3">
        <f t="shared" si="31"/>
        <v>0</v>
      </c>
      <c r="DO66" s="3">
        <f t="shared" si="31"/>
        <v>0</v>
      </c>
      <c r="DP66" s="3">
        <f t="shared" si="31"/>
        <v>0</v>
      </c>
      <c r="DQ66" s="3">
        <f t="shared" si="31"/>
        <v>0</v>
      </c>
      <c r="DR66" s="3">
        <f t="shared" si="31"/>
        <v>0</v>
      </c>
      <c r="DS66" s="3">
        <f t="shared" si="31"/>
        <v>0</v>
      </c>
      <c r="DT66" s="3">
        <f t="shared" si="31"/>
        <v>0</v>
      </c>
      <c r="DU66" s="3">
        <f t="shared" si="31"/>
        <v>0</v>
      </c>
      <c r="DV66" s="3">
        <f t="shared" si="31"/>
        <v>0</v>
      </c>
      <c r="DW66" s="3">
        <f t="shared" si="31"/>
        <v>0</v>
      </c>
      <c r="DX66" s="3">
        <f t="shared" si="31"/>
        <v>0</v>
      </c>
      <c r="DY66" s="3">
        <f t="shared" si="31"/>
        <v>0</v>
      </c>
      <c r="DZ66" s="3">
        <f t="shared" si="31"/>
        <v>0</v>
      </c>
      <c r="EA66" s="3">
        <f t="shared" si="31"/>
        <v>0</v>
      </c>
      <c r="EB66" s="3">
        <f t="shared" si="31"/>
        <v>0</v>
      </c>
      <c r="EC66" s="3">
        <f t="shared" si="31"/>
        <v>0</v>
      </c>
      <c r="ED66" s="3">
        <f t="shared" si="31"/>
        <v>0</v>
      </c>
      <c r="EE66" s="3">
        <f t="shared" si="31"/>
        <v>0</v>
      </c>
      <c r="EF66" s="3">
        <f t="shared" si="31"/>
        <v>0</v>
      </c>
      <c r="EG66" s="3">
        <f t="shared" si="31"/>
        <v>0</v>
      </c>
      <c r="EH66" s="3">
        <f t="shared" si="31"/>
        <v>0</v>
      </c>
      <c r="EI66" s="3">
        <f t="shared" si="31"/>
        <v>0</v>
      </c>
      <c r="EJ66" s="3">
        <f t="shared" si="31"/>
        <v>0</v>
      </c>
      <c r="EK66" s="3">
        <f t="shared" si="31"/>
        <v>0</v>
      </c>
      <c r="EL66" s="3">
        <f t="shared" si="31"/>
        <v>0</v>
      </c>
      <c r="EM66" s="3">
        <f t="shared" ref="EM66:FR66" si="32">EM101</f>
        <v>0</v>
      </c>
      <c r="EN66" s="3">
        <f t="shared" si="32"/>
        <v>0</v>
      </c>
      <c r="EO66" s="3">
        <f t="shared" si="32"/>
        <v>0</v>
      </c>
      <c r="EP66" s="3">
        <f t="shared" si="32"/>
        <v>0</v>
      </c>
      <c r="EQ66" s="3">
        <f t="shared" si="32"/>
        <v>0</v>
      </c>
      <c r="ER66" s="3">
        <f t="shared" si="32"/>
        <v>0</v>
      </c>
      <c r="ES66" s="3">
        <f t="shared" si="32"/>
        <v>0</v>
      </c>
      <c r="ET66" s="3">
        <f t="shared" si="32"/>
        <v>0</v>
      </c>
      <c r="EU66" s="3">
        <f t="shared" si="32"/>
        <v>0</v>
      </c>
      <c r="EV66" s="3">
        <f t="shared" si="32"/>
        <v>0</v>
      </c>
      <c r="EW66" s="3">
        <f t="shared" si="32"/>
        <v>0</v>
      </c>
      <c r="EX66" s="3">
        <f t="shared" si="32"/>
        <v>0</v>
      </c>
      <c r="EY66" s="3">
        <f t="shared" si="32"/>
        <v>0</v>
      </c>
      <c r="EZ66" s="3">
        <f t="shared" si="32"/>
        <v>0</v>
      </c>
      <c r="FA66" s="3">
        <f t="shared" si="32"/>
        <v>0</v>
      </c>
      <c r="FB66" s="3">
        <f t="shared" si="32"/>
        <v>0</v>
      </c>
      <c r="FC66" s="3">
        <f t="shared" si="32"/>
        <v>0</v>
      </c>
      <c r="FD66" s="3">
        <f t="shared" si="32"/>
        <v>0</v>
      </c>
      <c r="FE66" s="3">
        <f t="shared" si="32"/>
        <v>0</v>
      </c>
      <c r="FF66" s="3">
        <f t="shared" si="32"/>
        <v>0</v>
      </c>
      <c r="FG66" s="3">
        <f t="shared" si="32"/>
        <v>0</v>
      </c>
      <c r="FH66" s="3">
        <f t="shared" si="32"/>
        <v>0</v>
      </c>
      <c r="FI66" s="3">
        <f t="shared" si="32"/>
        <v>0</v>
      </c>
      <c r="FJ66" s="3">
        <f t="shared" si="32"/>
        <v>0</v>
      </c>
      <c r="FK66" s="3">
        <f t="shared" si="32"/>
        <v>0</v>
      </c>
      <c r="FL66" s="3">
        <f t="shared" si="32"/>
        <v>0</v>
      </c>
      <c r="FM66" s="3">
        <f t="shared" si="32"/>
        <v>0</v>
      </c>
      <c r="FN66" s="3">
        <f t="shared" si="32"/>
        <v>0</v>
      </c>
      <c r="FO66" s="3">
        <f t="shared" si="32"/>
        <v>0</v>
      </c>
      <c r="FP66" s="3">
        <f t="shared" si="32"/>
        <v>0</v>
      </c>
      <c r="FQ66" s="3">
        <f t="shared" si="32"/>
        <v>0</v>
      </c>
      <c r="FR66" s="3">
        <f t="shared" si="32"/>
        <v>0</v>
      </c>
      <c r="FS66" s="3">
        <f t="shared" ref="FS66:GX66" si="33">FS101</f>
        <v>0</v>
      </c>
      <c r="FT66" s="3">
        <f t="shared" si="33"/>
        <v>0</v>
      </c>
      <c r="FU66" s="3">
        <f t="shared" si="33"/>
        <v>0</v>
      </c>
      <c r="FV66" s="3">
        <f t="shared" si="33"/>
        <v>0</v>
      </c>
      <c r="FW66" s="3">
        <f t="shared" si="33"/>
        <v>0</v>
      </c>
      <c r="FX66" s="3">
        <f t="shared" si="33"/>
        <v>0</v>
      </c>
      <c r="FY66" s="3">
        <f t="shared" si="33"/>
        <v>0</v>
      </c>
      <c r="FZ66" s="3">
        <f t="shared" si="33"/>
        <v>0</v>
      </c>
      <c r="GA66" s="3">
        <f t="shared" si="33"/>
        <v>0</v>
      </c>
      <c r="GB66" s="3">
        <f t="shared" si="33"/>
        <v>0</v>
      </c>
      <c r="GC66" s="3">
        <f t="shared" si="33"/>
        <v>0</v>
      </c>
      <c r="GD66" s="3">
        <f t="shared" si="33"/>
        <v>0</v>
      </c>
      <c r="GE66" s="3">
        <f t="shared" si="33"/>
        <v>0</v>
      </c>
      <c r="GF66" s="3">
        <f t="shared" si="33"/>
        <v>0</v>
      </c>
      <c r="GG66" s="3">
        <f t="shared" si="33"/>
        <v>0</v>
      </c>
      <c r="GH66" s="3">
        <f t="shared" si="33"/>
        <v>0</v>
      </c>
      <c r="GI66" s="3">
        <f t="shared" si="33"/>
        <v>0</v>
      </c>
      <c r="GJ66" s="3">
        <f t="shared" si="33"/>
        <v>0</v>
      </c>
      <c r="GK66" s="3">
        <f t="shared" si="33"/>
        <v>0</v>
      </c>
      <c r="GL66" s="3">
        <f t="shared" si="33"/>
        <v>0</v>
      </c>
      <c r="GM66" s="3">
        <f t="shared" si="33"/>
        <v>0</v>
      </c>
      <c r="GN66" s="3">
        <f t="shared" si="33"/>
        <v>0</v>
      </c>
      <c r="GO66" s="3">
        <f t="shared" si="33"/>
        <v>0</v>
      </c>
      <c r="GP66" s="3">
        <f t="shared" si="33"/>
        <v>0</v>
      </c>
      <c r="GQ66" s="3">
        <f t="shared" si="33"/>
        <v>0</v>
      </c>
      <c r="GR66" s="3">
        <f t="shared" si="33"/>
        <v>0</v>
      </c>
      <c r="GS66" s="3">
        <f t="shared" si="33"/>
        <v>0</v>
      </c>
      <c r="GT66" s="3">
        <f t="shared" si="33"/>
        <v>0</v>
      </c>
      <c r="GU66" s="3">
        <f t="shared" si="33"/>
        <v>0</v>
      </c>
      <c r="GV66" s="3">
        <f t="shared" si="33"/>
        <v>0</v>
      </c>
      <c r="GW66" s="3">
        <f t="shared" si="33"/>
        <v>0</v>
      </c>
      <c r="GX66" s="3">
        <f t="shared" si="33"/>
        <v>0</v>
      </c>
    </row>
    <row r="68" spans="1:245" x14ac:dyDescent="0.2">
      <c r="A68">
        <v>17</v>
      </c>
      <c r="B68">
        <v>1</v>
      </c>
      <c r="C68">
        <f>ROW(SmtRes!A35)</f>
        <v>35</v>
      </c>
      <c r="D68">
        <f>ROW(EtalonRes!A46)</f>
        <v>46</v>
      </c>
      <c r="E68" t="s">
        <v>126</v>
      </c>
      <c r="F68" t="s">
        <v>127</v>
      </c>
      <c r="G68" t="s">
        <v>128</v>
      </c>
      <c r="H68" t="s">
        <v>64</v>
      </c>
      <c r="I68">
        <f>ROUND(3.2/100,9)</f>
        <v>3.2000000000000001E-2</v>
      </c>
      <c r="J68">
        <v>0</v>
      </c>
      <c r="K68">
        <f>ROUND(3.2/100,9)</f>
        <v>3.2000000000000001E-2</v>
      </c>
      <c r="O68">
        <f t="shared" ref="O68:O99" si="34">ROUND(CP68,2)</f>
        <v>683.51</v>
      </c>
      <c r="P68">
        <f t="shared" ref="P68:P99" si="35">ROUND(CQ68*I68,2)</f>
        <v>58.68</v>
      </c>
      <c r="Q68">
        <f t="shared" ref="Q68:Q99" si="36">ROUND(CR68*I68,2)</f>
        <v>4.72</v>
      </c>
      <c r="R68">
        <f t="shared" ref="R68:R99" si="37">ROUND(CS68*I68,2)</f>
        <v>1.74</v>
      </c>
      <c r="S68">
        <f t="shared" ref="S68:S99" si="38">ROUND(CT68*I68,2)</f>
        <v>620.11</v>
      </c>
      <c r="T68">
        <f t="shared" ref="T68:T99" si="39">ROUND(CU68*I68,2)</f>
        <v>0</v>
      </c>
      <c r="U68">
        <f t="shared" ref="U68:U99" si="40">CV68*I68</f>
        <v>2.3890559999999996</v>
      </c>
      <c r="V68">
        <f t="shared" ref="V68:V99" si="41">CW68*I68</f>
        <v>4.7999999999999996E-3</v>
      </c>
      <c r="W68">
        <f t="shared" ref="W68:W99" si="42">ROUND(CX68*I68,2)</f>
        <v>0</v>
      </c>
      <c r="X68">
        <f t="shared" ref="X68:X99" si="43">ROUND(CY68,2)</f>
        <v>752.44</v>
      </c>
      <c r="Y68">
        <f t="shared" ref="Y68:Y99" si="44">ROUND(CZ68,2)</f>
        <v>380.57</v>
      </c>
      <c r="AA68">
        <v>143120906</v>
      </c>
      <c r="AB68">
        <f t="shared" ref="AB68:AB99" si="45">ROUND((AC68+AD68+AF68),2)</f>
        <v>936.41</v>
      </c>
      <c r="AC68">
        <f t="shared" ref="AC68:AC94" si="46">ROUND((ES68),2)</f>
        <v>229.5</v>
      </c>
      <c r="AD68">
        <f>ROUND((((((ET68*1.25)*1.2))-(((EU68*1.25)*1.2)))+AE68),2)</f>
        <v>13.34</v>
      </c>
      <c r="AE68">
        <f>ROUND((((EU68*1.25)*1.2)),2)</f>
        <v>1.95</v>
      </c>
      <c r="AF68">
        <f>ROUND((((EV68*1.15)*1.2)),2)</f>
        <v>693.57</v>
      </c>
      <c r="AG68">
        <f t="shared" ref="AG68:AG99" si="47">ROUND((AP68),2)</f>
        <v>0</v>
      </c>
      <c r="AH68">
        <f>(((EW68*1.15)*1.2))</f>
        <v>74.657999999999987</v>
      </c>
      <c r="AI68">
        <f>(((EX68*1.25)*1.2))</f>
        <v>0.15</v>
      </c>
      <c r="AJ68">
        <f t="shared" ref="AJ68:AJ99" si="48">(AS68)</f>
        <v>0</v>
      </c>
      <c r="AK68">
        <v>740.98</v>
      </c>
      <c r="AL68">
        <v>229.5</v>
      </c>
      <c r="AM68">
        <v>8.89</v>
      </c>
      <c r="AN68">
        <v>1.3</v>
      </c>
      <c r="AO68">
        <v>502.59</v>
      </c>
      <c r="AP68">
        <v>0</v>
      </c>
      <c r="AQ68">
        <v>54.1</v>
      </c>
      <c r="AR68">
        <v>0.1</v>
      </c>
      <c r="AS68">
        <v>0</v>
      </c>
      <c r="AT68">
        <v>121</v>
      </c>
      <c r="AU68">
        <v>61.2</v>
      </c>
      <c r="AV68">
        <v>1</v>
      </c>
      <c r="AW68">
        <v>1</v>
      </c>
      <c r="AZ68">
        <v>1</v>
      </c>
      <c r="BA68">
        <v>27.94</v>
      </c>
      <c r="BB68">
        <v>11.05</v>
      </c>
      <c r="BC68">
        <v>7.99</v>
      </c>
      <c r="BD68" t="s">
        <v>3</v>
      </c>
      <c r="BE68" t="s">
        <v>3</v>
      </c>
      <c r="BF68" t="s">
        <v>3</v>
      </c>
      <c r="BG68" t="s">
        <v>3</v>
      </c>
      <c r="BH68">
        <v>0</v>
      </c>
      <c r="BI68">
        <v>1</v>
      </c>
      <c r="BJ68" t="s">
        <v>129</v>
      </c>
      <c r="BM68">
        <v>16001</v>
      </c>
      <c r="BN68">
        <v>0</v>
      </c>
      <c r="BO68" t="s">
        <v>3</v>
      </c>
      <c r="BP68">
        <v>0</v>
      </c>
      <c r="BQ68">
        <v>2</v>
      </c>
      <c r="BR68">
        <v>0</v>
      </c>
      <c r="BS68">
        <v>27.94</v>
      </c>
      <c r="BT68">
        <v>1</v>
      </c>
      <c r="BU68">
        <v>1</v>
      </c>
      <c r="BV68">
        <v>1</v>
      </c>
      <c r="BW68">
        <v>1</v>
      </c>
      <c r="BX68">
        <v>1</v>
      </c>
      <c r="BY68" t="s">
        <v>3</v>
      </c>
      <c r="BZ68">
        <v>121</v>
      </c>
      <c r="CA68">
        <v>72</v>
      </c>
      <c r="CB68" t="s">
        <v>3</v>
      </c>
      <c r="CE68">
        <v>0</v>
      </c>
      <c r="CF68">
        <v>0</v>
      </c>
      <c r="CG68">
        <v>0</v>
      </c>
      <c r="CM68">
        <v>0</v>
      </c>
      <c r="CN68" t="s">
        <v>556</v>
      </c>
      <c r="CO68">
        <v>0</v>
      </c>
      <c r="CP68">
        <f t="shared" ref="CP68:CP99" si="49">(P68+Q68+S68)</f>
        <v>683.51</v>
      </c>
      <c r="CQ68">
        <f t="shared" ref="CQ68:CQ99" si="50">AC68*BC68</f>
        <v>1833.7050000000002</v>
      </c>
      <c r="CR68">
        <f>(((((ET68*1.25)*1.2))*BB68-(((EU68*1.25)*1.2))*BS68)+AE68*BS68)</f>
        <v>147.35175000000001</v>
      </c>
      <c r="CS68">
        <f t="shared" ref="CS68:CS99" si="51">AE68*BS68</f>
        <v>54.483000000000004</v>
      </c>
      <c r="CT68">
        <f t="shared" ref="CT68:CT99" si="52">AF68*BA68</f>
        <v>19378.345800000003</v>
      </c>
      <c r="CU68">
        <f t="shared" ref="CU68:CU99" si="53">AG68</f>
        <v>0</v>
      </c>
      <c r="CV68">
        <f t="shared" ref="CV68:CV99" si="54">AH68</f>
        <v>74.657999999999987</v>
      </c>
      <c r="CW68">
        <f t="shared" ref="CW68:CW99" si="55">AI68</f>
        <v>0.15</v>
      </c>
      <c r="CX68">
        <f t="shared" ref="CX68:CX99" si="56">AJ68</f>
        <v>0</v>
      </c>
      <c r="CY68">
        <f t="shared" ref="CY68:CY99" si="57">(((S68+R68)*AT68)/100)</f>
        <v>752.43850000000009</v>
      </c>
      <c r="CZ68">
        <f t="shared" ref="CZ68:CZ99" si="58">(((S68+R68)*AU68)/100)</f>
        <v>380.57220000000001</v>
      </c>
      <c r="DC68" t="s">
        <v>3</v>
      </c>
      <c r="DD68" t="s">
        <v>3</v>
      </c>
      <c r="DE68" t="s">
        <v>16</v>
      </c>
      <c r="DF68" t="s">
        <v>16</v>
      </c>
      <c r="DG68" t="s">
        <v>17</v>
      </c>
      <c r="DH68" t="s">
        <v>3</v>
      </c>
      <c r="DI68" t="s">
        <v>17</v>
      </c>
      <c r="DJ68" t="s">
        <v>16</v>
      </c>
      <c r="DK68" t="s">
        <v>3</v>
      </c>
      <c r="DL68" t="s">
        <v>3</v>
      </c>
      <c r="DM68" t="s">
        <v>55</v>
      </c>
      <c r="DN68">
        <v>0</v>
      </c>
      <c r="DO68">
        <v>0</v>
      </c>
      <c r="DP68">
        <v>1</v>
      </c>
      <c r="DQ68">
        <v>1</v>
      </c>
      <c r="DU68">
        <v>1003</v>
      </c>
      <c r="DV68" t="s">
        <v>64</v>
      </c>
      <c r="DW68" t="s">
        <v>64</v>
      </c>
      <c r="DX68">
        <v>100</v>
      </c>
      <c r="DZ68" t="s">
        <v>3</v>
      </c>
      <c r="EA68" t="s">
        <v>3</v>
      </c>
      <c r="EB68" t="s">
        <v>3</v>
      </c>
      <c r="EC68" t="s">
        <v>3</v>
      </c>
      <c r="EE68">
        <v>140625063</v>
      </c>
      <c r="EF68">
        <v>2</v>
      </c>
      <c r="EG68" t="s">
        <v>27</v>
      </c>
      <c r="EH68">
        <v>16</v>
      </c>
      <c r="EI68" t="s">
        <v>130</v>
      </c>
      <c r="EJ68">
        <v>1</v>
      </c>
      <c r="EK68">
        <v>16001</v>
      </c>
      <c r="EL68" t="s">
        <v>131</v>
      </c>
      <c r="EM68" t="s">
        <v>132</v>
      </c>
      <c r="EO68" t="s">
        <v>18</v>
      </c>
      <c r="EQ68">
        <v>0</v>
      </c>
      <c r="ER68">
        <v>740.98</v>
      </c>
      <c r="ES68">
        <v>229.5</v>
      </c>
      <c r="ET68">
        <v>8.89</v>
      </c>
      <c r="EU68">
        <v>1.3</v>
      </c>
      <c r="EV68">
        <v>502.59</v>
      </c>
      <c r="EW68">
        <v>54.1</v>
      </c>
      <c r="EX68">
        <v>0.1</v>
      </c>
      <c r="EY68">
        <v>0</v>
      </c>
      <c r="FQ68">
        <v>0</v>
      </c>
      <c r="FR68">
        <f t="shared" ref="FR68:FR99" si="59">ROUND(IF(AND(BH68=3,BI68=3),P68,0),2)</f>
        <v>0</v>
      </c>
      <c r="FS68">
        <v>0</v>
      </c>
      <c r="FX68">
        <v>121</v>
      </c>
      <c r="FY68">
        <v>61.2</v>
      </c>
      <c r="GA68" t="s">
        <v>3</v>
      </c>
      <c r="GD68">
        <v>1</v>
      </c>
      <c r="GF68">
        <v>-1028349087</v>
      </c>
      <c r="GG68">
        <v>2</v>
      </c>
      <c r="GH68">
        <v>1</v>
      </c>
      <c r="GI68">
        <v>4</v>
      </c>
      <c r="GJ68">
        <v>0</v>
      </c>
      <c r="GK68">
        <v>0</v>
      </c>
      <c r="GL68">
        <f t="shared" ref="GL68:GL99" si="60">ROUND(IF(AND(BH68=3,BI68=3,FS68&lt;&gt;0),P68,0),2)</f>
        <v>0</v>
      </c>
      <c r="GM68">
        <f t="shared" ref="GM68:GM99" si="61">ROUND(O68+X68+Y68,2)+GX68</f>
        <v>1816.52</v>
      </c>
      <c r="GN68">
        <f t="shared" ref="GN68:GN99" si="62">IF(OR(BI68=0,BI68=1),ROUND(O68+X68+Y68,2),0)</f>
        <v>1816.52</v>
      </c>
      <c r="GO68">
        <f t="shared" ref="GO68:GO99" si="63">IF(BI68=2,ROUND(O68+X68+Y68,2),0)</f>
        <v>0</v>
      </c>
      <c r="GP68">
        <f t="shared" ref="GP68:GP99" si="64">IF(BI68=4,ROUND(O68+X68+Y68,2)+GX68,0)</f>
        <v>0</v>
      </c>
      <c r="GR68">
        <v>0</v>
      </c>
      <c r="GS68">
        <v>3</v>
      </c>
      <c r="GT68">
        <v>0</v>
      </c>
      <c r="GU68" t="s">
        <v>3</v>
      </c>
      <c r="GV68">
        <f t="shared" ref="GV68:GV99" si="65">ROUND((GT68),2)</f>
        <v>0</v>
      </c>
      <c r="GW68">
        <v>1</v>
      </c>
      <c r="GX68">
        <f t="shared" ref="GX68:GX99" si="66">ROUND(HC68*I68,2)</f>
        <v>0</v>
      </c>
      <c r="HA68">
        <v>0</v>
      </c>
      <c r="HB68">
        <v>0</v>
      </c>
      <c r="HC68">
        <f t="shared" ref="HC68:HC99" si="67">GV68*GW68</f>
        <v>0</v>
      </c>
      <c r="HE68" t="s">
        <v>3</v>
      </c>
      <c r="HF68" t="s">
        <v>3</v>
      </c>
      <c r="HM68" t="s">
        <v>3</v>
      </c>
      <c r="HN68" t="s">
        <v>133</v>
      </c>
      <c r="HO68" t="s">
        <v>134</v>
      </c>
      <c r="HP68" t="s">
        <v>130</v>
      </c>
      <c r="HQ68" t="s">
        <v>130</v>
      </c>
      <c r="IK68">
        <v>0</v>
      </c>
    </row>
    <row r="69" spans="1:245" x14ac:dyDescent="0.2">
      <c r="A69">
        <v>17</v>
      </c>
      <c r="B69">
        <v>1</v>
      </c>
      <c r="E69" t="s">
        <v>135</v>
      </c>
      <c r="F69" t="s">
        <v>136</v>
      </c>
      <c r="G69" t="s">
        <v>137</v>
      </c>
      <c r="H69" t="s">
        <v>138</v>
      </c>
      <c r="I69">
        <v>2</v>
      </c>
      <c r="J69">
        <v>0</v>
      </c>
      <c r="K69">
        <v>2</v>
      </c>
      <c r="O69">
        <f t="shared" si="34"/>
        <v>833.68</v>
      </c>
      <c r="P69">
        <f t="shared" si="35"/>
        <v>833.68</v>
      </c>
      <c r="Q69">
        <f t="shared" si="36"/>
        <v>0</v>
      </c>
      <c r="R69">
        <f t="shared" si="37"/>
        <v>0</v>
      </c>
      <c r="S69">
        <f t="shared" si="38"/>
        <v>0</v>
      </c>
      <c r="T69">
        <f t="shared" si="39"/>
        <v>0</v>
      </c>
      <c r="U69">
        <f t="shared" si="40"/>
        <v>0</v>
      </c>
      <c r="V69">
        <f t="shared" si="41"/>
        <v>0</v>
      </c>
      <c r="W69">
        <f t="shared" si="42"/>
        <v>0</v>
      </c>
      <c r="X69">
        <f t="shared" si="43"/>
        <v>0</v>
      </c>
      <c r="Y69">
        <f t="shared" si="44"/>
        <v>0</v>
      </c>
      <c r="AA69">
        <v>143120906</v>
      </c>
      <c r="AB69">
        <f t="shared" si="45"/>
        <v>52.17</v>
      </c>
      <c r="AC69">
        <f t="shared" si="46"/>
        <v>52.17</v>
      </c>
      <c r="AD69">
        <f>ROUND((((ET69)-(EU69))+AE69),2)</f>
        <v>0</v>
      </c>
      <c r="AE69">
        <f t="shared" ref="AE69:AF72" si="68">ROUND((EU69),2)</f>
        <v>0</v>
      </c>
      <c r="AF69">
        <f t="shared" si="68"/>
        <v>0</v>
      </c>
      <c r="AG69">
        <f t="shared" si="47"/>
        <v>0</v>
      </c>
      <c r="AH69">
        <f t="shared" ref="AH69:AI72" si="69">(EW69)</f>
        <v>0</v>
      </c>
      <c r="AI69">
        <f t="shared" si="69"/>
        <v>0</v>
      </c>
      <c r="AJ69">
        <f t="shared" si="48"/>
        <v>0</v>
      </c>
      <c r="AK69">
        <v>52.17</v>
      </c>
      <c r="AL69">
        <v>52.17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v>7.99</v>
      </c>
      <c r="BD69" t="s">
        <v>3</v>
      </c>
      <c r="BE69" t="s">
        <v>3</v>
      </c>
      <c r="BF69" t="s">
        <v>3</v>
      </c>
      <c r="BG69" t="s">
        <v>3</v>
      </c>
      <c r="BH69">
        <v>3</v>
      </c>
      <c r="BI69">
        <v>1</v>
      </c>
      <c r="BJ69" t="s">
        <v>3</v>
      </c>
      <c r="BM69">
        <v>1100</v>
      </c>
      <c r="BN69">
        <v>0</v>
      </c>
      <c r="BO69" t="s">
        <v>3</v>
      </c>
      <c r="BP69">
        <v>0</v>
      </c>
      <c r="BQ69">
        <v>8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0</v>
      </c>
      <c r="CA69">
        <v>0</v>
      </c>
      <c r="CB69" t="s">
        <v>3</v>
      </c>
      <c r="CE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49"/>
        <v>833.68</v>
      </c>
      <c r="CQ69">
        <f t="shared" si="50"/>
        <v>416.8383</v>
      </c>
      <c r="CR69">
        <f>(((ET69)*BB69-(EU69)*BS69)+AE69*BS69)</f>
        <v>0</v>
      </c>
      <c r="CS69">
        <f t="shared" si="51"/>
        <v>0</v>
      </c>
      <c r="CT69">
        <f t="shared" si="52"/>
        <v>0</v>
      </c>
      <c r="CU69">
        <f t="shared" si="53"/>
        <v>0</v>
      </c>
      <c r="CV69">
        <f t="shared" si="54"/>
        <v>0</v>
      </c>
      <c r="CW69">
        <f t="shared" si="55"/>
        <v>0</v>
      </c>
      <c r="CX69">
        <f t="shared" si="56"/>
        <v>0</v>
      </c>
      <c r="CY69">
        <f t="shared" si="57"/>
        <v>0</v>
      </c>
      <c r="CZ69">
        <f t="shared" si="58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1003</v>
      </c>
      <c r="DV69" t="s">
        <v>138</v>
      </c>
      <c r="DW69" t="s">
        <v>138</v>
      </c>
      <c r="DX69">
        <v>1</v>
      </c>
      <c r="DZ69" t="s">
        <v>3</v>
      </c>
      <c r="EA69" t="s">
        <v>3</v>
      </c>
      <c r="EB69" t="s">
        <v>3</v>
      </c>
      <c r="EC69" t="s">
        <v>3</v>
      </c>
      <c r="EE69">
        <v>140625274</v>
      </c>
      <c r="EF69">
        <v>8</v>
      </c>
      <c r="EG69" t="s">
        <v>139</v>
      </c>
      <c r="EH69">
        <v>0</v>
      </c>
      <c r="EI69" t="s">
        <v>3</v>
      </c>
      <c r="EJ69">
        <v>1</v>
      </c>
      <c r="EK69">
        <v>1100</v>
      </c>
      <c r="EL69" t="s">
        <v>140</v>
      </c>
      <c r="EM69" t="s">
        <v>141</v>
      </c>
      <c r="EO69" t="s">
        <v>3</v>
      </c>
      <c r="EQ69">
        <v>0</v>
      </c>
      <c r="ER69">
        <v>52.17</v>
      </c>
      <c r="ES69">
        <v>52.17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5</v>
      </c>
      <c r="FC69">
        <v>1</v>
      </c>
      <c r="FD69">
        <v>18</v>
      </c>
      <c r="FF69">
        <v>467</v>
      </c>
      <c r="FQ69">
        <v>0</v>
      </c>
      <c r="FR69">
        <f t="shared" si="59"/>
        <v>0</v>
      </c>
      <c r="FS69">
        <v>0</v>
      </c>
      <c r="FX69">
        <v>0</v>
      </c>
      <c r="FY69">
        <v>0</v>
      </c>
      <c r="GA69" t="s">
        <v>142</v>
      </c>
      <c r="GD69">
        <v>1</v>
      </c>
      <c r="GF69">
        <v>-812059552</v>
      </c>
      <c r="GG69">
        <v>2</v>
      </c>
      <c r="GH69">
        <v>3</v>
      </c>
      <c r="GI69">
        <v>4</v>
      </c>
      <c r="GJ69">
        <v>0</v>
      </c>
      <c r="GK69">
        <v>0</v>
      </c>
      <c r="GL69">
        <f t="shared" si="60"/>
        <v>0</v>
      </c>
      <c r="GM69">
        <f t="shared" si="61"/>
        <v>833.68</v>
      </c>
      <c r="GN69">
        <f t="shared" si="62"/>
        <v>833.68</v>
      </c>
      <c r="GO69">
        <f t="shared" si="63"/>
        <v>0</v>
      </c>
      <c r="GP69">
        <f t="shared" si="64"/>
        <v>0</v>
      </c>
      <c r="GR69">
        <v>1</v>
      </c>
      <c r="GS69">
        <v>1</v>
      </c>
      <c r="GT69">
        <v>0</v>
      </c>
      <c r="GU69" t="s">
        <v>3</v>
      </c>
      <c r="GV69">
        <f t="shared" si="65"/>
        <v>0</v>
      </c>
      <c r="GW69">
        <v>1</v>
      </c>
      <c r="GX69">
        <f t="shared" si="66"/>
        <v>0</v>
      </c>
      <c r="HA69">
        <v>0</v>
      </c>
      <c r="HB69">
        <v>0</v>
      </c>
      <c r="HC69">
        <f t="shared" si="67"/>
        <v>0</v>
      </c>
      <c r="HE69" t="s">
        <v>61</v>
      </c>
      <c r="HF69" t="s">
        <v>33</v>
      </c>
      <c r="HM69" t="s">
        <v>3</v>
      </c>
      <c r="HN69" t="s">
        <v>3</v>
      </c>
      <c r="HO69" t="s">
        <v>3</v>
      </c>
      <c r="HP69" t="s">
        <v>3</v>
      </c>
      <c r="HQ69" t="s">
        <v>3</v>
      </c>
      <c r="IK69">
        <v>0</v>
      </c>
    </row>
    <row r="70" spans="1:245" x14ac:dyDescent="0.2">
      <c r="A70">
        <v>17</v>
      </c>
      <c r="B70">
        <v>1</v>
      </c>
      <c r="E70" t="s">
        <v>143</v>
      </c>
      <c r="F70" t="s">
        <v>136</v>
      </c>
      <c r="G70" t="s">
        <v>144</v>
      </c>
      <c r="H70" t="s">
        <v>44</v>
      </c>
      <c r="I70">
        <v>6</v>
      </c>
      <c r="J70">
        <v>0</v>
      </c>
      <c r="K70">
        <v>6</v>
      </c>
      <c r="O70">
        <f t="shared" si="34"/>
        <v>2067.17</v>
      </c>
      <c r="P70">
        <f t="shared" si="35"/>
        <v>2067.17</v>
      </c>
      <c r="Q70">
        <f t="shared" si="36"/>
        <v>0</v>
      </c>
      <c r="R70">
        <f t="shared" si="37"/>
        <v>0</v>
      </c>
      <c r="S70">
        <f t="shared" si="38"/>
        <v>0</v>
      </c>
      <c r="T70">
        <f t="shared" si="39"/>
        <v>0</v>
      </c>
      <c r="U70">
        <f t="shared" si="40"/>
        <v>0</v>
      </c>
      <c r="V70">
        <f t="shared" si="41"/>
        <v>0</v>
      </c>
      <c r="W70">
        <f t="shared" si="42"/>
        <v>0</v>
      </c>
      <c r="X70">
        <f t="shared" si="43"/>
        <v>0</v>
      </c>
      <c r="Y70">
        <f t="shared" si="44"/>
        <v>0</v>
      </c>
      <c r="AA70">
        <v>143120906</v>
      </c>
      <c r="AB70">
        <f t="shared" si="45"/>
        <v>43.12</v>
      </c>
      <c r="AC70">
        <f t="shared" si="46"/>
        <v>43.12</v>
      </c>
      <c r="AD70">
        <f>ROUND((((ET70)-(EU70))+AE70),2)</f>
        <v>0</v>
      </c>
      <c r="AE70">
        <f t="shared" si="68"/>
        <v>0</v>
      </c>
      <c r="AF70">
        <f t="shared" si="68"/>
        <v>0</v>
      </c>
      <c r="AG70">
        <f t="shared" si="47"/>
        <v>0</v>
      </c>
      <c r="AH70">
        <f t="shared" si="69"/>
        <v>0</v>
      </c>
      <c r="AI70">
        <f t="shared" si="69"/>
        <v>0</v>
      </c>
      <c r="AJ70">
        <f t="shared" si="48"/>
        <v>0</v>
      </c>
      <c r="AK70">
        <v>43.12</v>
      </c>
      <c r="AL70">
        <v>43.12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1</v>
      </c>
      <c r="AW70">
        <v>1</v>
      </c>
      <c r="AZ70">
        <v>1</v>
      </c>
      <c r="BA70">
        <v>1</v>
      </c>
      <c r="BB70">
        <v>1</v>
      </c>
      <c r="BC70">
        <v>7.99</v>
      </c>
      <c r="BD70" t="s">
        <v>3</v>
      </c>
      <c r="BE70" t="s">
        <v>3</v>
      </c>
      <c r="BF70" t="s">
        <v>3</v>
      </c>
      <c r="BG70" t="s">
        <v>3</v>
      </c>
      <c r="BH70">
        <v>3</v>
      </c>
      <c r="BI70">
        <v>1</v>
      </c>
      <c r="BJ70" t="s">
        <v>3</v>
      </c>
      <c r="BM70">
        <v>1100</v>
      </c>
      <c r="BN70">
        <v>0</v>
      </c>
      <c r="BO70" t="s">
        <v>3</v>
      </c>
      <c r="BP70">
        <v>0</v>
      </c>
      <c r="BQ70">
        <v>8</v>
      </c>
      <c r="BR70">
        <v>0</v>
      </c>
      <c r="BS70">
        <v>1</v>
      </c>
      <c r="BT70">
        <v>1</v>
      </c>
      <c r="BU70">
        <v>1</v>
      </c>
      <c r="BV70">
        <v>1</v>
      </c>
      <c r="BW70">
        <v>1</v>
      </c>
      <c r="BX70">
        <v>1</v>
      </c>
      <c r="BY70" t="s">
        <v>3</v>
      </c>
      <c r="BZ70">
        <v>0</v>
      </c>
      <c r="CA70">
        <v>0</v>
      </c>
      <c r="CB70" t="s">
        <v>3</v>
      </c>
      <c r="CE70">
        <v>0</v>
      </c>
      <c r="CF70">
        <v>0</v>
      </c>
      <c r="CG70">
        <v>0</v>
      </c>
      <c r="CM70">
        <v>0</v>
      </c>
      <c r="CN70" t="s">
        <v>3</v>
      </c>
      <c r="CO70">
        <v>0</v>
      </c>
      <c r="CP70">
        <f t="shared" si="49"/>
        <v>2067.17</v>
      </c>
      <c r="CQ70">
        <f t="shared" si="50"/>
        <v>344.52879999999999</v>
      </c>
      <c r="CR70">
        <f>(((ET70)*BB70-(EU70)*BS70)+AE70*BS70)</f>
        <v>0</v>
      </c>
      <c r="CS70">
        <f t="shared" si="51"/>
        <v>0</v>
      </c>
      <c r="CT70">
        <f t="shared" si="52"/>
        <v>0</v>
      </c>
      <c r="CU70">
        <f t="shared" si="53"/>
        <v>0</v>
      </c>
      <c r="CV70">
        <f t="shared" si="54"/>
        <v>0</v>
      </c>
      <c r="CW70">
        <f t="shared" si="55"/>
        <v>0</v>
      </c>
      <c r="CX70">
        <f t="shared" si="56"/>
        <v>0</v>
      </c>
      <c r="CY70">
        <f t="shared" si="57"/>
        <v>0</v>
      </c>
      <c r="CZ70">
        <f t="shared" si="58"/>
        <v>0</v>
      </c>
      <c r="DC70" t="s">
        <v>3</v>
      </c>
      <c r="DD70" t="s">
        <v>3</v>
      </c>
      <c r="DE70" t="s">
        <v>3</v>
      </c>
      <c r="DF70" t="s">
        <v>3</v>
      </c>
      <c r="DG70" t="s">
        <v>3</v>
      </c>
      <c r="DH70" t="s">
        <v>3</v>
      </c>
      <c r="DI70" t="s">
        <v>3</v>
      </c>
      <c r="DJ70" t="s">
        <v>3</v>
      </c>
      <c r="DK70" t="s">
        <v>3</v>
      </c>
      <c r="DL70" t="s">
        <v>3</v>
      </c>
      <c r="DM70" t="s">
        <v>3</v>
      </c>
      <c r="DN70">
        <v>0</v>
      </c>
      <c r="DO70">
        <v>0</v>
      </c>
      <c r="DP70">
        <v>1</v>
      </c>
      <c r="DQ70">
        <v>1</v>
      </c>
      <c r="DU70">
        <v>1013</v>
      </c>
      <c r="DV70" t="s">
        <v>44</v>
      </c>
      <c r="DW70" t="s">
        <v>44</v>
      </c>
      <c r="DX70">
        <v>1</v>
      </c>
      <c r="DZ70" t="s">
        <v>3</v>
      </c>
      <c r="EA70" t="s">
        <v>3</v>
      </c>
      <c r="EB70" t="s">
        <v>3</v>
      </c>
      <c r="EC70" t="s">
        <v>3</v>
      </c>
      <c r="EE70">
        <v>140625274</v>
      </c>
      <c r="EF70">
        <v>8</v>
      </c>
      <c r="EG70" t="s">
        <v>139</v>
      </c>
      <c r="EH70">
        <v>0</v>
      </c>
      <c r="EI70" t="s">
        <v>3</v>
      </c>
      <c r="EJ70">
        <v>1</v>
      </c>
      <c r="EK70">
        <v>1100</v>
      </c>
      <c r="EL70" t="s">
        <v>140</v>
      </c>
      <c r="EM70" t="s">
        <v>141</v>
      </c>
      <c r="EO70" t="s">
        <v>3</v>
      </c>
      <c r="EQ70">
        <v>0</v>
      </c>
      <c r="ER70">
        <v>43.12</v>
      </c>
      <c r="ES70">
        <v>43.12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5</v>
      </c>
      <c r="FC70">
        <v>1</v>
      </c>
      <c r="FD70">
        <v>18</v>
      </c>
      <c r="FF70">
        <v>386</v>
      </c>
      <c r="FQ70">
        <v>0</v>
      </c>
      <c r="FR70">
        <f t="shared" si="59"/>
        <v>0</v>
      </c>
      <c r="FS70">
        <v>0</v>
      </c>
      <c r="FX70">
        <v>0</v>
      </c>
      <c r="FY70">
        <v>0</v>
      </c>
      <c r="GA70" t="s">
        <v>145</v>
      </c>
      <c r="GD70">
        <v>1</v>
      </c>
      <c r="GF70">
        <v>1439997953</v>
      </c>
      <c r="GG70">
        <v>2</v>
      </c>
      <c r="GH70">
        <v>3</v>
      </c>
      <c r="GI70">
        <v>4</v>
      </c>
      <c r="GJ70">
        <v>0</v>
      </c>
      <c r="GK70">
        <v>0</v>
      </c>
      <c r="GL70">
        <f t="shared" si="60"/>
        <v>0</v>
      </c>
      <c r="GM70">
        <f t="shared" si="61"/>
        <v>2067.17</v>
      </c>
      <c r="GN70">
        <f t="shared" si="62"/>
        <v>2067.17</v>
      </c>
      <c r="GO70">
        <f t="shared" si="63"/>
        <v>0</v>
      </c>
      <c r="GP70">
        <f t="shared" si="64"/>
        <v>0</v>
      </c>
      <c r="GR70">
        <v>1</v>
      </c>
      <c r="GS70">
        <v>1</v>
      </c>
      <c r="GT70">
        <v>0</v>
      </c>
      <c r="GU70" t="s">
        <v>3</v>
      </c>
      <c r="GV70">
        <f t="shared" si="65"/>
        <v>0</v>
      </c>
      <c r="GW70">
        <v>1</v>
      </c>
      <c r="GX70">
        <f t="shared" si="66"/>
        <v>0</v>
      </c>
      <c r="HA70">
        <v>0</v>
      </c>
      <c r="HB70">
        <v>0</v>
      </c>
      <c r="HC70">
        <f t="shared" si="67"/>
        <v>0</v>
      </c>
      <c r="HE70" t="s">
        <v>61</v>
      </c>
      <c r="HF70" t="s">
        <v>33</v>
      </c>
      <c r="HM70" t="s">
        <v>3</v>
      </c>
      <c r="HN70" t="s">
        <v>3</v>
      </c>
      <c r="HO70" t="s">
        <v>3</v>
      </c>
      <c r="HP70" t="s">
        <v>3</v>
      </c>
      <c r="HQ70" t="s">
        <v>3</v>
      </c>
      <c r="IK70">
        <v>0</v>
      </c>
    </row>
    <row r="71" spans="1:245" x14ac:dyDescent="0.2">
      <c r="A71">
        <v>17</v>
      </c>
      <c r="B71">
        <v>1</v>
      </c>
      <c r="C71">
        <f>ROW(SmtRes!A45)</f>
        <v>45</v>
      </c>
      <c r="D71">
        <f>ROW(EtalonRes!A57)</f>
        <v>57</v>
      </c>
      <c r="E71" t="s">
        <v>146</v>
      </c>
      <c r="F71" t="s">
        <v>147</v>
      </c>
      <c r="G71" t="s">
        <v>148</v>
      </c>
      <c r="H71" t="s">
        <v>149</v>
      </c>
      <c r="I71">
        <v>0.04</v>
      </c>
      <c r="J71">
        <v>0</v>
      </c>
      <c r="K71">
        <v>0.04</v>
      </c>
      <c r="O71">
        <f t="shared" si="34"/>
        <v>550.05999999999995</v>
      </c>
      <c r="P71">
        <f t="shared" si="35"/>
        <v>138.93</v>
      </c>
      <c r="Q71">
        <f t="shared" si="36"/>
        <v>7.34</v>
      </c>
      <c r="R71">
        <f t="shared" si="37"/>
        <v>3.11</v>
      </c>
      <c r="S71">
        <f t="shared" si="38"/>
        <v>403.79</v>
      </c>
      <c r="T71">
        <f t="shared" si="39"/>
        <v>0</v>
      </c>
      <c r="U71">
        <f t="shared" si="40"/>
        <v>1.7864</v>
      </c>
      <c r="V71">
        <f t="shared" si="41"/>
        <v>9.5999999999999992E-3</v>
      </c>
      <c r="W71">
        <f t="shared" si="42"/>
        <v>0</v>
      </c>
      <c r="X71">
        <f t="shared" si="43"/>
        <v>419.11</v>
      </c>
      <c r="Y71">
        <f t="shared" si="44"/>
        <v>240.07</v>
      </c>
      <c r="AA71">
        <v>143120906</v>
      </c>
      <c r="AB71">
        <f t="shared" si="45"/>
        <v>812.59</v>
      </c>
      <c r="AC71">
        <f t="shared" si="46"/>
        <v>434.69</v>
      </c>
      <c r="AD71">
        <f>ROUND((((ET71)-(EU71))+AE71),2)</f>
        <v>16.600000000000001</v>
      </c>
      <c r="AE71">
        <f t="shared" si="68"/>
        <v>2.78</v>
      </c>
      <c r="AF71">
        <f t="shared" si="68"/>
        <v>361.3</v>
      </c>
      <c r="AG71">
        <f t="shared" si="47"/>
        <v>0</v>
      </c>
      <c r="AH71">
        <f t="shared" si="69"/>
        <v>44.66</v>
      </c>
      <c r="AI71">
        <f t="shared" si="69"/>
        <v>0.24</v>
      </c>
      <c r="AJ71">
        <f t="shared" si="48"/>
        <v>0</v>
      </c>
      <c r="AK71">
        <v>812.59</v>
      </c>
      <c r="AL71">
        <v>434.69</v>
      </c>
      <c r="AM71">
        <v>16.600000000000001</v>
      </c>
      <c r="AN71">
        <v>2.78</v>
      </c>
      <c r="AO71">
        <v>361.3</v>
      </c>
      <c r="AP71">
        <v>0</v>
      </c>
      <c r="AQ71">
        <v>44.66</v>
      </c>
      <c r="AR71">
        <v>0.24</v>
      </c>
      <c r="AS71">
        <v>0</v>
      </c>
      <c r="AT71">
        <v>103</v>
      </c>
      <c r="AU71">
        <v>59</v>
      </c>
      <c r="AV71">
        <v>1</v>
      </c>
      <c r="AW71">
        <v>1</v>
      </c>
      <c r="AZ71">
        <v>1</v>
      </c>
      <c r="BA71">
        <v>27.94</v>
      </c>
      <c r="BB71">
        <v>11.05</v>
      </c>
      <c r="BC71">
        <v>7.99</v>
      </c>
      <c r="BD71" t="s">
        <v>3</v>
      </c>
      <c r="BE71" t="s">
        <v>3</v>
      </c>
      <c r="BF71" t="s">
        <v>3</v>
      </c>
      <c r="BG71" t="s">
        <v>3</v>
      </c>
      <c r="BH71">
        <v>0</v>
      </c>
      <c r="BI71">
        <v>1</v>
      </c>
      <c r="BJ71" t="s">
        <v>150</v>
      </c>
      <c r="BM71">
        <v>46001</v>
      </c>
      <c r="BN71">
        <v>0</v>
      </c>
      <c r="BO71" t="s">
        <v>3</v>
      </c>
      <c r="BP71">
        <v>0</v>
      </c>
      <c r="BQ71">
        <v>2</v>
      </c>
      <c r="BR71">
        <v>0</v>
      </c>
      <c r="BS71">
        <v>27.94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103</v>
      </c>
      <c r="CA71">
        <v>59</v>
      </c>
      <c r="CB71" t="s">
        <v>3</v>
      </c>
      <c r="CE71">
        <v>0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49"/>
        <v>550.06000000000006</v>
      </c>
      <c r="CQ71">
        <f t="shared" si="50"/>
        <v>3473.1731</v>
      </c>
      <c r="CR71">
        <f>(((ET71)*BB71-(EU71)*BS71)+AE71*BS71)</f>
        <v>183.43000000000004</v>
      </c>
      <c r="CS71">
        <f t="shared" si="51"/>
        <v>77.673199999999994</v>
      </c>
      <c r="CT71">
        <f t="shared" si="52"/>
        <v>10094.722000000002</v>
      </c>
      <c r="CU71">
        <f t="shared" si="53"/>
        <v>0</v>
      </c>
      <c r="CV71">
        <f t="shared" si="54"/>
        <v>44.66</v>
      </c>
      <c r="CW71">
        <f t="shared" si="55"/>
        <v>0.24</v>
      </c>
      <c r="CX71">
        <f t="shared" si="56"/>
        <v>0</v>
      </c>
      <c r="CY71">
        <f t="shared" si="57"/>
        <v>419.10700000000003</v>
      </c>
      <c r="CZ71">
        <f t="shared" si="58"/>
        <v>240.07100000000003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DU71">
        <v>1007</v>
      </c>
      <c r="DV71" t="s">
        <v>149</v>
      </c>
      <c r="DW71" t="s">
        <v>149</v>
      </c>
      <c r="DX71">
        <v>1</v>
      </c>
      <c r="DZ71" t="s">
        <v>3</v>
      </c>
      <c r="EA71" t="s">
        <v>3</v>
      </c>
      <c r="EB71" t="s">
        <v>3</v>
      </c>
      <c r="EC71" t="s">
        <v>3</v>
      </c>
      <c r="EE71">
        <v>140625131</v>
      </c>
      <c r="EF71">
        <v>2</v>
      </c>
      <c r="EG71" t="s">
        <v>27</v>
      </c>
      <c r="EH71">
        <v>40</v>
      </c>
      <c r="EI71" t="s">
        <v>66</v>
      </c>
      <c r="EJ71">
        <v>1</v>
      </c>
      <c r="EK71">
        <v>46001</v>
      </c>
      <c r="EL71" t="s">
        <v>67</v>
      </c>
      <c r="EM71" t="s">
        <v>68</v>
      </c>
      <c r="EO71" t="s">
        <v>3</v>
      </c>
      <c r="EQ71">
        <v>0</v>
      </c>
      <c r="ER71">
        <v>812.59</v>
      </c>
      <c r="ES71">
        <v>434.69</v>
      </c>
      <c r="ET71">
        <v>16.600000000000001</v>
      </c>
      <c r="EU71">
        <v>2.78</v>
      </c>
      <c r="EV71">
        <v>361.3</v>
      </c>
      <c r="EW71">
        <v>44.66</v>
      </c>
      <c r="EX71">
        <v>0.24</v>
      </c>
      <c r="EY71">
        <v>0</v>
      </c>
      <c r="FQ71">
        <v>0</v>
      </c>
      <c r="FR71">
        <f t="shared" si="59"/>
        <v>0</v>
      </c>
      <c r="FS71">
        <v>0</v>
      </c>
      <c r="FX71">
        <v>103</v>
      </c>
      <c r="FY71">
        <v>59</v>
      </c>
      <c r="GA71" t="s">
        <v>3</v>
      </c>
      <c r="GD71">
        <v>1</v>
      </c>
      <c r="GF71">
        <v>-834427983</v>
      </c>
      <c r="GG71">
        <v>2</v>
      </c>
      <c r="GH71">
        <v>1</v>
      </c>
      <c r="GI71">
        <v>4</v>
      </c>
      <c r="GJ71">
        <v>0</v>
      </c>
      <c r="GK71">
        <v>0</v>
      </c>
      <c r="GL71">
        <f t="shared" si="60"/>
        <v>0</v>
      </c>
      <c r="GM71">
        <f t="shared" si="61"/>
        <v>1209.24</v>
      </c>
      <c r="GN71">
        <f t="shared" si="62"/>
        <v>1209.24</v>
      </c>
      <c r="GO71">
        <f t="shared" si="63"/>
        <v>0</v>
      </c>
      <c r="GP71">
        <f t="shared" si="64"/>
        <v>0</v>
      </c>
      <c r="GR71">
        <v>0</v>
      </c>
      <c r="GS71">
        <v>3</v>
      </c>
      <c r="GT71">
        <v>0</v>
      </c>
      <c r="GU71" t="s">
        <v>3</v>
      </c>
      <c r="GV71">
        <f t="shared" si="65"/>
        <v>0</v>
      </c>
      <c r="GW71">
        <v>1</v>
      </c>
      <c r="GX71">
        <f t="shared" si="66"/>
        <v>0</v>
      </c>
      <c r="HA71">
        <v>0</v>
      </c>
      <c r="HB71">
        <v>0</v>
      </c>
      <c r="HC71">
        <f t="shared" si="67"/>
        <v>0</v>
      </c>
      <c r="HE71" t="s">
        <v>3</v>
      </c>
      <c r="HF71" t="s">
        <v>3</v>
      </c>
      <c r="HM71" t="s">
        <v>3</v>
      </c>
      <c r="HN71" t="s">
        <v>69</v>
      </c>
      <c r="HO71" t="s">
        <v>70</v>
      </c>
      <c r="HP71" t="s">
        <v>67</v>
      </c>
      <c r="HQ71" t="s">
        <v>67</v>
      </c>
      <c r="IK71">
        <v>0</v>
      </c>
    </row>
    <row r="72" spans="1:245" x14ac:dyDescent="0.2">
      <c r="A72">
        <v>17</v>
      </c>
      <c r="B72">
        <v>1</v>
      </c>
      <c r="E72" t="s">
        <v>151</v>
      </c>
      <c r="F72" t="s">
        <v>136</v>
      </c>
      <c r="G72" t="s">
        <v>152</v>
      </c>
      <c r="H72" t="s">
        <v>149</v>
      </c>
      <c r="I72">
        <v>4.1599999999999998E-2</v>
      </c>
      <c r="J72">
        <v>0</v>
      </c>
      <c r="K72">
        <v>4.1599999999999998E-2</v>
      </c>
      <c r="O72">
        <f t="shared" si="34"/>
        <v>150.65</v>
      </c>
      <c r="P72">
        <f t="shared" si="35"/>
        <v>150.65</v>
      </c>
      <c r="Q72">
        <f t="shared" si="36"/>
        <v>0</v>
      </c>
      <c r="R72">
        <f t="shared" si="37"/>
        <v>0</v>
      </c>
      <c r="S72">
        <f t="shared" si="38"/>
        <v>0</v>
      </c>
      <c r="T72">
        <f t="shared" si="39"/>
        <v>0</v>
      </c>
      <c r="U72">
        <f t="shared" si="40"/>
        <v>0</v>
      </c>
      <c r="V72">
        <f t="shared" si="41"/>
        <v>0</v>
      </c>
      <c r="W72">
        <f t="shared" si="42"/>
        <v>0</v>
      </c>
      <c r="X72">
        <f t="shared" si="43"/>
        <v>0</v>
      </c>
      <c r="Y72">
        <f t="shared" si="44"/>
        <v>0</v>
      </c>
      <c r="AA72">
        <v>143120906</v>
      </c>
      <c r="AB72">
        <f t="shared" si="45"/>
        <v>453.25</v>
      </c>
      <c r="AC72">
        <f t="shared" si="46"/>
        <v>453.25</v>
      </c>
      <c r="AD72">
        <f>ROUND((((ET72)-(EU72))+AE72),2)</f>
        <v>0</v>
      </c>
      <c r="AE72">
        <f t="shared" si="68"/>
        <v>0</v>
      </c>
      <c r="AF72">
        <f t="shared" si="68"/>
        <v>0</v>
      </c>
      <c r="AG72">
        <f t="shared" si="47"/>
        <v>0</v>
      </c>
      <c r="AH72">
        <f t="shared" si="69"/>
        <v>0</v>
      </c>
      <c r="AI72">
        <f t="shared" si="69"/>
        <v>0</v>
      </c>
      <c r="AJ72">
        <f t="shared" si="48"/>
        <v>0</v>
      </c>
      <c r="AK72">
        <v>453.25</v>
      </c>
      <c r="AL72">
        <v>453.25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1</v>
      </c>
      <c r="AW72">
        <v>1</v>
      </c>
      <c r="AZ72">
        <v>1</v>
      </c>
      <c r="BA72">
        <v>1</v>
      </c>
      <c r="BB72">
        <v>1</v>
      </c>
      <c r="BC72">
        <v>7.99</v>
      </c>
      <c r="BD72" t="s">
        <v>3</v>
      </c>
      <c r="BE72" t="s">
        <v>3</v>
      </c>
      <c r="BF72" t="s">
        <v>3</v>
      </c>
      <c r="BG72" t="s">
        <v>3</v>
      </c>
      <c r="BH72">
        <v>3</v>
      </c>
      <c r="BI72">
        <v>1</v>
      </c>
      <c r="BJ72" t="s">
        <v>3</v>
      </c>
      <c r="BM72">
        <v>1100</v>
      </c>
      <c r="BN72">
        <v>0</v>
      </c>
      <c r="BO72" t="s">
        <v>3</v>
      </c>
      <c r="BP72">
        <v>0</v>
      </c>
      <c r="BQ72">
        <v>8</v>
      </c>
      <c r="BR72">
        <v>0</v>
      </c>
      <c r="BS72">
        <v>1</v>
      </c>
      <c r="BT72">
        <v>1</v>
      </c>
      <c r="BU72">
        <v>1</v>
      </c>
      <c r="BV72">
        <v>1</v>
      </c>
      <c r="BW72">
        <v>1</v>
      </c>
      <c r="BX72">
        <v>1</v>
      </c>
      <c r="BY72" t="s">
        <v>3</v>
      </c>
      <c r="BZ72">
        <v>0</v>
      </c>
      <c r="CA72">
        <v>0</v>
      </c>
      <c r="CB72" t="s">
        <v>3</v>
      </c>
      <c r="CE72">
        <v>0</v>
      </c>
      <c r="CF72">
        <v>0</v>
      </c>
      <c r="CG72">
        <v>0</v>
      </c>
      <c r="CM72">
        <v>0</v>
      </c>
      <c r="CN72" t="s">
        <v>3</v>
      </c>
      <c r="CO72">
        <v>0</v>
      </c>
      <c r="CP72">
        <f t="shared" si="49"/>
        <v>150.65</v>
      </c>
      <c r="CQ72">
        <f t="shared" si="50"/>
        <v>3621.4675000000002</v>
      </c>
      <c r="CR72">
        <f>(((ET72)*BB72-(EU72)*BS72)+AE72*BS72)</f>
        <v>0</v>
      </c>
      <c r="CS72">
        <f t="shared" si="51"/>
        <v>0</v>
      </c>
      <c r="CT72">
        <f t="shared" si="52"/>
        <v>0</v>
      </c>
      <c r="CU72">
        <f t="shared" si="53"/>
        <v>0</v>
      </c>
      <c r="CV72">
        <f t="shared" si="54"/>
        <v>0</v>
      </c>
      <c r="CW72">
        <f t="shared" si="55"/>
        <v>0</v>
      </c>
      <c r="CX72">
        <f t="shared" si="56"/>
        <v>0</v>
      </c>
      <c r="CY72">
        <f t="shared" si="57"/>
        <v>0</v>
      </c>
      <c r="CZ72">
        <f t="shared" si="58"/>
        <v>0</v>
      </c>
      <c r="DC72" t="s">
        <v>3</v>
      </c>
      <c r="DD72" t="s">
        <v>3</v>
      </c>
      <c r="DE72" t="s">
        <v>3</v>
      </c>
      <c r="DF72" t="s">
        <v>3</v>
      </c>
      <c r="DG72" t="s">
        <v>3</v>
      </c>
      <c r="DH72" t="s">
        <v>3</v>
      </c>
      <c r="DI72" t="s">
        <v>3</v>
      </c>
      <c r="DJ72" t="s">
        <v>3</v>
      </c>
      <c r="DK72" t="s">
        <v>3</v>
      </c>
      <c r="DL72" t="s">
        <v>3</v>
      </c>
      <c r="DM72" t="s">
        <v>3</v>
      </c>
      <c r="DN72">
        <v>0</v>
      </c>
      <c r="DO72">
        <v>0</v>
      </c>
      <c r="DP72">
        <v>1</v>
      </c>
      <c r="DQ72">
        <v>1</v>
      </c>
      <c r="DU72">
        <v>1007</v>
      </c>
      <c r="DV72" t="s">
        <v>149</v>
      </c>
      <c r="DW72" t="s">
        <v>149</v>
      </c>
      <c r="DX72">
        <v>1</v>
      </c>
      <c r="DZ72" t="s">
        <v>3</v>
      </c>
      <c r="EA72" t="s">
        <v>3</v>
      </c>
      <c r="EB72" t="s">
        <v>3</v>
      </c>
      <c r="EC72" t="s">
        <v>3</v>
      </c>
      <c r="EE72">
        <v>140625274</v>
      </c>
      <c r="EF72">
        <v>8</v>
      </c>
      <c r="EG72" t="s">
        <v>139</v>
      </c>
      <c r="EH72">
        <v>0</v>
      </c>
      <c r="EI72" t="s">
        <v>3</v>
      </c>
      <c r="EJ72">
        <v>1</v>
      </c>
      <c r="EK72">
        <v>1100</v>
      </c>
      <c r="EL72" t="s">
        <v>140</v>
      </c>
      <c r="EM72" t="s">
        <v>141</v>
      </c>
      <c r="EO72" t="s">
        <v>3</v>
      </c>
      <c r="EQ72">
        <v>0</v>
      </c>
      <c r="ER72">
        <v>453.25</v>
      </c>
      <c r="ES72">
        <v>453.25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5</v>
      </c>
      <c r="FC72">
        <v>0</v>
      </c>
      <c r="FD72">
        <v>18</v>
      </c>
      <c r="FF72">
        <v>3621.43</v>
      </c>
      <c r="FQ72">
        <v>0</v>
      </c>
      <c r="FR72">
        <f t="shared" si="59"/>
        <v>0</v>
      </c>
      <c r="FS72">
        <v>0</v>
      </c>
      <c r="FX72">
        <v>0</v>
      </c>
      <c r="FY72">
        <v>0</v>
      </c>
      <c r="GA72" t="s">
        <v>153</v>
      </c>
      <c r="GD72">
        <v>1</v>
      </c>
      <c r="GF72">
        <v>635730517</v>
      </c>
      <c r="GG72">
        <v>2</v>
      </c>
      <c r="GH72">
        <v>3</v>
      </c>
      <c r="GI72">
        <v>4</v>
      </c>
      <c r="GJ72">
        <v>0</v>
      </c>
      <c r="GK72">
        <v>0</v>
      </c>
      <c r="GL72">
        <f t="shared" si="60"/>
        <v>0</v>
      </c>
      <c r="GM72">
        <f t="shared" si="61"/>
        <v>150.65</v>
      </c>
      <c r="GN72">
        <f t="shared" si="62"/>
        <v>150.65</v>
      </c>
      <c r="GO72">
        <f t="shared" si="63"/>
        <v>0</v>
      </c>
      <c r="GP72">
        <f t="shared" si="64"/>
        <v>0</v>
      </c>
      <c r="GR72">
        <v>1</v>
      </c>
      <c r="GS72">
        <v>1</v>
      </c>
      <c r="GT72">
        <v>0</v>
      </c>
      <c r="GU72" t="s">
        <v>3</v>
      </c>
      <c r="GV72">
        <f t="shared" si="65"/>
        <v>0</v>
      </c>
      <c r="GW72">
        <v>1</v>
      </c>
      <c r="GX72">
        <f t="shared" si="66"/>
        <v>0</v>
      </c>
      <c r="HA72">
        <v>0</v>
      </c>
      <c r="HB72">
        <v>0</v>
      </c>
      <c r="HC72">
        <f t="shared" si="67"/>
        <v>0</v>
      </c>
      <c r="HE72" t="s">
        <v>154</v>
      </c>
      <c r="HF72" t="s">
        <v>154</v>
      </c>
      <c r="HM72" t="s">
        <v>3</v>
      </c>
      <c r="HN72" t="s">
        <v>3</v>
      </c>
      <c r="HO72" t="s">
        <v>3</v>
      </c>
      <c r="HP72" t="s">
        <v>3</v>
      </c>
      <c r="HQ72" t="s">
        <v>3</v>
      </c>
      <c r="IK72">
        <v>0</v>
      </c>
    </row>
    <row r="73" spans="1:245" x14ac:dyDescent="0.2">
      <c r="A73">
        <v>17</v>
      </c>
      <c r="B73">
        <v>1</v>
      </c>
      <c r="C73">
        <f>ROW(SmtRes!A50)</f>
        <v>50</v>
      </c>
      <c r="D73">
        <f>ROW(EtalonRes!A63)</f>
        <v>63</v>
      </c>
      <c r="E73" t="s">
        <v>155</v>
      </c>
      <c r="F73" t="s">
        <v>156</v>
      </c>
      <c r="G73" t="s">
        <v>157</v>
      </c>
      <c r="H73" t="s">
        <v>158</v>
      </c>
      <c r="I73">
        <f>ROUND(12/10,9)</f>
        <v>1.2</v>
      </c>
      <c r="J73">
        <v>0</v>
      </c>
      <c r="K73">
        <f>ROUND(12/10,9)</f>
        <v>1.2</v>
      </c>
      <c r="O73">
        <f t="shared" si="34"/>
        <v>6233.16</v>
      </c>
      <c r="P73">
        <f t="shared" si="35"/>
        <v>0</v>
      </c>
      <c r="Q73">
        <f t="shared" si="36"/>
        <v>4495.74</v>
      </c>
      <c r="R73">
        <f t="shared" si="37"/>
        <v>1533.91</v>
      </c>
      <c r="S73">
        <f t="shared" si="38"/>
        <v>1737.42</v>
      </c>
      <c r="T73">
        <f t="shared" si="39"/>
        <v>0</v>
      </c>
      <c r="U73">
        <f t="shared" si="40"/>
        <v>6.8558399999999979</v>
      </c>
      <c r="V73">
        <f t="shared" si="41"/>
        <v>4.0679999999999996</v>
      </c>
      <c r="W73">
        <f t="shared" si="42"/>
        <v>0</v>
      </c>
      <c r="X73">
        <f t="shared" si="43"/>
        <v>3827.46</v>
      </c>
      <c r="Y73">
        <f t="shared" si="44"/>
        <v>2057.67</v>
      </c>
      <c r="AA73">
        <v>143120906</v>
      </c>
      <c r="AB73">
        <f t="shared" si="45"/>
        <v>390.87</v>
      </c>
      <c r="AC73">
        <f t="shared" si="46"/>
        <v>0</v>
      </c>
      <c r="AD73">
        <f>ROUND((((((ET73*1.25)*1.2))-(((EU73*1.25)*1.2)))+AE73),2)</f>
        <v>339.05</v>
      </c>
      <c r="AE73">
        <f>ROUND((((EU73*1.25)*1.2)),2)</f>
        <v>45.75</v>
      </c>
      <c r="AF73">
        <f>ROUND((((EV73*1.15)*1.2)),2)</f>
        <v>51.82</v>
      </c>
      <c r="AG73">
        <f t="shared" si="47"/>
        <v>0</v>
      </c>
      <c r="AH73">
        <f>(((EW73*1.15)*1.2))</f>
        <v>5.7131999999999987</v>
      </c>
      <c r="AI73">
        <f>(((EX73*1.25)*1.2))</f>
        <v>3.3899999999999997</v>
      </c>
      <c r="AJ73">
        <f t="shared" si="48"/>
        <v>0</v>
      </c>
      <c r="AK73">
        <v>263.58</v>
      </c>
      <c r="AL73">
        <v>0</v>
      </c>
      <c r="AM73">
        <v>226.03</v>
      </c>
      <c r="AN73">
        <v>30.5</v>
      </c>
      <c r="AO73">
        <v>37.549999999999997</v>
      </c>
      <c r="AP73">
        <v>0</v>
      </c>
      <c r="AQ73">
        <v>4.1399999999999997</v>
      </c>
      <c r="AR73">
        <v>2.2599999999999998</v>
      </c>
      <c r="AS73">
        <v>0</v>
      </c>
      <c r="AT73">
        <v>117</v>
      </c>
      <c r="AU73">
        <v>62.9</v>
      </c>
      <c r="AV73">
        <v>1</v>
      </c>
      <c r="AW73">
        <v>1</v>
      </c>
      <c r="AZ73">
        <v>1</v>
      </c>
      <c r="BA73">
        <v>27.94</v>
      </c>
      <c r="BB73">
        <v>11.05</v>
      </c>
      <c r="BC73">
        <v>7.99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1</v>
      </c>
      <c r="BJ73" t="s">
        <v>159</v>
      </c>
      <c r="BM73">
        <v>22001</v>
      </c>
      <c r="BN73">
        <v>0</v>
      </c>
      <c r="BO73" t="s">
        <v>3</v>
      </c>
      <c r="BP73">
        <v>0</v>
      </c>
      <c r="BQ73">
        <v>2</v>
      </c>
      <c r="BR73">
        <v>0</v>
      </c>
      <c r="BS73">
        <v>27.94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117</v>
      </c>
      <c r="CA73">
        <v>74</v>
      </c>
      <c r="CB73" t="s">
        <v>3</v>
      </c>
      <c r="CE73">
        <v>0</v>
      </c>
      <c r="CF73">
        <v>0</v>
      </c>
      <c r="CG73">
        <v>0</v>
      </c>
      <c r="CM73">
        <v>0</v>
      </c>
      <c r="CN73" t="s">
        <v>556</v>
      </c>
      <c r="CO73">
        <v>0</v>
      </c>
      <c r="CP73">
        <f t="shared" si="49"/>
        <v>6233.16</v>
      </c>
      <c r="CQ73">
        <f t="shared" si="50"/>
        <v>0</v>
      </c>
      <c r="CR73">
        <f>(((((ET73*1.25)*1.2))*BB73-(((EU73*1.25)*1.2))*BS73)+AE73*BS73)</f>
        <v>3746.4472500000006</v>
      </c>
      <c r="CS73">
        <f t="shared" si="51"/>
        <v>1278.2550000000001</v>
      </c>
      <c r="CT73">
        <f t="shared" si="52"/>
        <v>1447.8508000000002</v>
      </c>
      <c r="CU73">
        <f t="shared" si="53"/>
        <v>0</v>
      </c>
      <c r="CV73">
        <f t="shared" si="54"/>
        <v>5.7131999999999987</v>
      </c>
      <c r="CW73">
        <f t="shared" si="55"/>
        <v>3.3899999999999997</v>
      </c>
      <c r="CX73">
        <f t="shared" si="56"/>
        <v>0</v>
      </c>
      <c r="CY73">
        <f t="shared" si="57"/>
        <v>3827.4560999999999</v>
      </c>
      <c r="CZ73">
        <f t="shared" si="58"/>
        <v>2057.6665699999999</v>
      </c>
      <c r="DC73" t="s">
        <v>3</v>
      </c>
      <c r="DD73" t="s">
        <v>3</v>
      </c>
      <c r="DE73" t="s">
        <v>16</v>
      </c>
      <c r="DF73" t="s">
        <v>16</v>
      </c>
      <c r="DG73" t="s">
        <v>17</v>
      </c>
      <c r="DH73" t="s">
        <v>3</v>
      </c>
      <c r="DI73" t="s">
        <v>17</v>
      </c>
      <c r="DJ73" t="s">
        <v>16</v>
      </c>
      <c r="DK73" t="s">
        <v>3</v>
      </c>
      <c r="DL73" t="s">
        <v>3</v>
      </c>
      <c r="DM73" t="s">
        <v>55</v>
      </c>
      <c r="DN73">
        <v>0</v>
      </c>
      <c r="DO73">
        <v>0</v>
      </c>
      <c r="DP73">
        <v>1</v>
      </c>
      <c r="DQ73">
        <v>1</v>
      </c>
      <c r="DU73">
        <v>1013</v>
      </c>
      <c r="DV73" t="s">
        <v>158</v>
      </c>
      <c r="DW73" t="s">
        <v>158</v>
      </c>
      <c r="DX73">
        <v>1</v>
      </c>
      <c r="DZ73" t="s">
        <v>3</v>
      </c>
      <c r="EA73" t="s">
        <v>3</v>
      </c>
      <c r="EB73" t="s">
        <v>3</v>
      </c>
      <c r="EC73" t="s">
        <v>3</v>
      </c>
      <c r="EE73">
        <v>140625071</v>
      </c>
      <c r="EF73">
        <v>2</v>
      </c>
      <c r="EG73" t="s">
        <v>27</v>
      </c>
      <c r="EH73">
        <v>18</v>
      </c>
      <c r="EI73" t="s">
        <v>160</v>
      </c>
      <c r="EJ73">
        <v>1</v>
      </c>
      <c r="EK73">
        <v>22001</v>
      </c>
      <c r="EL73" t="s">
        <v>160</v>
      </c>
      <c r="EM73" t="s">
        <v>161</v>
      </c>
      <c r="EO73" t="s">
        <v>18</v>
      </c>
      <c r="EQ73">
        <v>0</v>
      </c>
      <c r="ER73">
        <v>263.58</v>
      </c>
      <c r="ES73">
        <v>0</v>
      </c>
      <c r="ET73">
        <v>226.03</v>
      </c>
      <c r="EU73">
        <v>30.5</v>
      </c>
      <c r="EV73">
        <v>37.549999999999997</v>
      </c>
      <c r="EW73">
        <v>4.1399999999999997</v>
      </c>
      <c r="EX73">
        <v>2.2599999999999998</v>
      </c>
      <c r="EY73">
        <v>0</v>
      </c>
      <c r="FQ73">
        <v>0</v>
      </c>
      <c r="FR73">
        <f t="shared" si="59"/>
        <v>0</v>
      </c>
      <c r="FS73">
        <v>0</v>
      </c>
      <c r="FX73">
        <v>117</v>
      </c>
      <c r="FY73">
        <v>62.9</v>
      </c>
      <c r="GA73" t="s">
        <v>3</v>
      </c>
      <c r="GD73">
        <v>1</v>
      </c>
      <c r="GF73">
        <v>1283744695</v>
      </c>
      <c r="GG73">
        <v>2</v>
      </c>
      <c r="GH73">
        <v>1</v>
      </c>
      <c r="GI73">
        <v>4</v>
      </c>
      <c r="GJ73">
        <v>0</v>
      </c>
      <c r="GK73">
        <v>0</v>
      </c>
      <c r="GL73">
        <f t="shared" si="60"/>
        <v>0</v>
      </c>
      <c r="GM73">
        <f t="shared" si="61"/>
        <v>12118.29</v>
      </c>
      <c r="GN73">
        <f t="shared" si="62"/>
        <v>12118.29</v>
      </c>
      <c r="GO73">
        <f t="shared" si="63"/>
        <v>0</v>
      </c>
      <c r="GP73">
        <f t="shared" si="64"/>
        <v>0</v>
      </c>
      <c r="GR73">
        <v>0</v>
      </c>
      <c r="GS73">
        <v>3</v>
      </c>
      <c r="GT73">
        <v>0</v>
      </c>
      <c r="GU73" t="s">
        <v>3</v>
      </c>
      <c r="GV73">
        <f t="shared" si="65"/>
        <v>0</v>
      </c>
      <c r="GW73">
        <v>1</v>
      </c>
      <c r="GX73">
        <f t="shared" si="66"/>
        <v>0</v>
      </c>
      <c r="HA73">
        <v>0</v>
      </c>
      <c r="HB73">
        <v>0</v>
      </c>
      <c r="HC73">
        <f t="shared" si="67"/>
        <v>0</v>
      </c>
      <c r="HE73" t="s">
        <v>3</v>
      </c>
      <c r="HF73" t="s">
        <v>3</v>
      </c>
      <c r="HM73" t="s">
        <v>3</v>
      </c>
      <c r="HN73" t="s">
        <v>162</v>
      </c>
      <c r="HO73" t="s">
        <v>163</v>
      </c>
      <c r="HP73" t="s">
        <v>160</v>
      </c>
      <c r="HQ73" t="s">
        <v>160</v>
      </c>
      <c r="IK73">
        <v>0</v>
      </c>
    </row>
    <row r="74" spans="1:245" x14ac:dyDescent="0.2">
      <c r="A74">
        <v>17</v>
      </c>
      <c r="B74">
        <v>1</v>
      </c>
      <c r="E74" t="s">
        <v>164</v>
      </c>
      <c r="F74" t="s">
        <v>136</v>
      </c>
      <c r="G74" t="s">
        <v>165</v>
      </c>
      <c r="H74" t="s">
        <v>44</v>
      </c>
      <c r="I74">
        <v>2</v>
      </c>
      <c r="J74">
        <v>0</v>
      </c>
      <c r="K74">
        <v>2</v>
      </c>
      <c r="O74">
        <f t="shared" si="34"/>
        <v>1361.18</v>
      </c>
      <c r="P74">
        <f t="shared" si="35"/>
        <v>1361.18</v>
      </c>
      <c r="Q74">
        <f t="shared" si="36"/>
        <v>0</v>
      </c>
      <c r="R74">
        <f t="shared" si="37"/>
        <v>0</v>
      </c>
      <c r="S74">
        <f t="shared" si="38"/>
        <v>0</v>
      </c>
      <c r="T74">
        <f t="shared" si="39"/>
        <v>0</v>
      </c>
      <c r="U74">
        <f t="shared" si="40"/>
        <v>0</v>
      </c>
      <c r="V74">
        <f t="shared" si="41"/>
        <v>0</v>
      </c>
      <c r="W74">
        <f t="shared" si="42"/>
        <v>0</v>
      </c>
      <c r="X74">
        <f t="shared" si="43"/>
        <v>0</v>
      </c>
      <c r="Y74">
        <f t="shared" si="44"/>
        <v>0</v>
      </c>
      <c r="AA74">
        <v>143120906</v>
      </c>
      <c r="AB74">
        <f t="shared" si="45"/>
        <v>85.18</v>
      </c>
      <c r="AC74">
        <f t="shared" si="46"/>
        <v>85.18</v>
      </c>
      <c r="AD74">
        <f>ROUND((((ET74)-(EU74))+AE74),2)</f>
        <v>0</v>
      </c>
      <c r="AE74">
        <f>ROUND((EU74),2)</f>
        <v>0</v>
      </c>
      <c r="AF74">
        <f>ROUND((EV74),2)</f>
        <v>0</v>
      </c>
      <c r="AG74">
        <f t="shared" si="47"/>
        <v>0</v>
      </c>
      <c r="AH74">
        <f>(EW74)</f>
        <v>0</v>
      </c>
      <c r="AI74">
        <f>(EX74)</f>
        <v>0</v>
      </c>
      <c r="AJ74">
        <f t="shared" si="48"/>
        <v>0</v>
      </c>
      <c r="AK74">
        <v>85.18</v>
      </c>
      <c r="AL74">
        <v>85.18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1</v>
      </c>
      <c r="AW74">
        <v>1</v>
      </c>
      <c r="AZ74">
        <v>1</v>
      </c>
      <c r="BA74">
        <v>1</v>
      </c>
      <c r="BB74">
        <v>1</v>
      </c>
      <c r="BC74">
        <v>7.99</v>
      </c>
      <c r="BD74" t="s">
        <v>3</v>
      </c>
      <c r="BE74" t="s">
        <v>3</v>
      </c>
      <c r="BF74" t="s">
        <v>3</v>
      </c>
      <c r="BG74" t="s">
        <v>3</v>
      </c>
      <c r="BH74">
        <v>3</v>
      </c>
      <c r="BI74">
        <v>1</v>
      </c>
      <c r="BJ74" t="s">
        <v>3</v>
      </c>
      <c r="BM74">
        <v>1100</v>
      </c>
      <c r="BN74">
        <v>0</v>
      </c>
      <c r="BO74" t="s">
        <v>3</v>
      </c>
      <c r="BP74">
        <v>0</v>
      </c>
      <c r="BQ74">
        <v>8</v>
      </c>
      <c r="BR74">
        <v>0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1</v>
      </c>
      <c r="BY74" t="s">
        <v>3</v>
      </c>
      <c r="BZ74">
        <v>0</v>
      </c>
      <c r="CA74">
        <v>0</v>
      </c>
      <c r="CB74" t="s">
        <v>3</v>
      </c>
      <c r="CE74">
        <v>0</v>
      </c>
      <c r="CF74">
        <v>0</v>
      </c>
      <c r="CG74">
        <v>0</v>
      </c>
      <c r="CM74">
        <v>0</v>
      </c>
      <c r="CN74" t="s">
        <v>3</v>
      </c>
      <c r="CO74">
        <v>0</v>
      </c>
      <c r="CP74">
        <f t="shared" si="49"/>
        <v>1361.18</v>
      </c>
      <c r="CQ74">
        <f t="shared" si="50"/>
        <v>680.58820000000003</v>
      </c>
      <c r="CR74">
        <f>(((ET74)*BB74-(EU74)*BS74)+AE74*BS74)</f>
        <v>0</v>
      </c>
      <c r="CS74">
        <f t="shared" si="51"/>
        <v>0</v>
      </c>
      <c r="CT74">
        <f t="shared" si="52"/>
        <v>0</v>
      </c>
      <c r="CU74">
        <f t="shared" si="53"/>
        <v>0</v>
      </c>
      <c r="CV74">
        <f t="shared" si="54"/>
        <v>0</v>
      </c>
      <c r="CW74">
        <f t="shared" si="55"/>
        <v>0</v>
      </c>
      <c r="CX74">
        <f t="shared" si="56"/>
        <v>0</v>
      </c>
      <c r="CY74">
        <f t="shared" si="57"/>
        <v>0</v>
      </c>
      <c r="CZ74">
        <f t="shared" si="58"/>
        <v>0</v>
      </c>
      <c r="DC74" t="s">
        <v>3</v>
      </c>
      <c r="DD74" t="s">
        <v>3</v>
      </c>
      <c r="DE74" t="s">
        <v>3</v>
      </c>
      <c r="DF74" t="s">
        <v>3</v>
      </c>
      <c r="DG74" t="s">
        <v>3</v>
      </c>
      <c r="DH74" t="s">
        <v>3</v>
      </c>
      <c r="DI74" t="s">
        <v>3</v>
      </c>
      <c r="DJ74" t="s">
        <v>3</v>
      </c>
      <c r="DK74" t="s">
        <v>3</v>
      </c>
      <c r="DL74" t="s">
        <v>3</v>
      </c>
      <c r="DM74" t="s">
        <v>3</v>
      </c>
      <c r="DN74">
        <v>0</v>
      </c>
      <c r="DO74">
        <v>0</v>
      </c>
      <c r="DP74">
        <v>1</v>
      </c>
      <c r="DQ74">
        <v>1</v>
      </c>
      <c r="DU74">
        <v>1013</v>
      </c>
      <c r="DV74" t="s">
        <v>44</v>
      </c>
      <c r="DW74" t="s">
        <v>44</v>
      </c>
      <c r="DX74">
        <v>1</v>
      </c>
      <c r="DZ74" t="s">
        <v>3</v>
      </c>
      <c r="EA74" t="s">
        <v>3</v>
      </c>
      <c r="EB74" t="s">
        <v>3</v>
      </c>
      <c r="EC74" t="s">
        <v>3</v>
      </c>
      <c r="EE74">
        <v>140625274</v>
      </c>
      <c r="EF74">
        <v>8</v>
      </c>
      <c r="EG74" t="s">
        <v>139</v>
      </c>
      <c r="EH74">
        <v>0</v>
      </c>
      <c r="EI74" t="s">
        <v>3</v>
      </c>
      <c r="EJ74">
        <v>1</v>
      </c>
      <c r="EK74">
        <v>1100</v>
      </c>
      <c r="EL74" t="s">
        <v>140</v>
      </c>
      <c r="EM74" t="s">
        <v>141</v>
      </c>
      <c r="EO74" t="s">
        <v>3</v>
      </c>
      <c r="EQ74">
        <v>0</v>
      </c>
      <c r="ER74">
        <v>85.18</v>
      </c>
      <c r="ES74">
        <v>85.18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5</v>
      </c>
      <c r="FC74">
        <v>1</v>
      </c>
      <c r="FD74">
        <v>18</v>
      </c>
      <c r="FF74">
        <v>762.54</v>
      </c>
      <c r="FQ74">
        <v>0</v>
      </c>
      <c r="FR74">
        <f t="shared" si="59"/>
        <v>0</v>
      </c>
      <c r="FS74">
        <v>0</v>
      </c>
      <c r="FX74">
        <v>0</v>
      </c>
      <c r="FY74">
        <v>0</v>
      </c>
      <c r="GA74" t="s">
        <v>166</v>
      </c>
      <c r="GD74">
        <v>1</v>
      </c>
      <c r="GF74">
        <v>1051032903</v>
      </c>
      <c r="GG74">
        <v>2</v>
      </c>
      <c r="GH74">
        <v>3</v>
      </c>
      <c r="GI74">
        <v>4</v>
      </c>
      <c r="GJ74">
        <v>0</v>
      </c>
      <c r="GK74">
        <v>0</v>
      </c>
      <c r="GL74">
        <f t="shared" si="60"/>
        <v>0</v>
      </c>
      <c r="GM74">
        <f t="shared" si="61"/>
        <v>1361.18</v>
      </c>
      <c r="GN74">
        <f t="shared" si="62"/>
        <v>1361.18</v>
      </c>
      <c r="GO74">
        <f t="shared" si="63"/>
        <v>0</v>
      </c>
      <c r="GP74">
        <f t="shared" si="64"/>
        <v>0</v>
      </c>
      <c r="GR74">
        <v>1</v>
      </c>
      <c r="GS74">
        <v>1</v>
      </c>
      <c r="GT74">
        <v>0</v>
      </c>
      <c r="GU74" t="s">
        <v>3</v>
      </c>
      <c r="GV74">
        <f t="shared" si="65"/>
        <v>0</v>
      </c>
      <c r="GW74">
        <v>1</v>
      </c>
      <c r="GX74">
        <f t="shared" si="66"/>
        <v>0</v>
      </c>
      <c r="HA74">
        <v>0</v>
      </c>
      <c r="HB74">
        <v>0</v>
      </c>
      <c r="HC74">
        <f t="shared" si="67"/>
        <v>0</v>
      </c>
      <c r="HE74" t="s">
        <v>61</v>
      </c>
      <c r="HF74" t="s">
        <v>33</v>
      </c>
      <c r="HM74" t="s">
        <v>3</v>
      </c>
      <c r="HN74" t="s">
        <v>3</v>
      </c>
      <c r="HO74" t="s">
        <v>3</v>
      </c>
      <c r="HP74" t="s">
        <v>3</v>
      </c>
      <c r="HQ74" t="s">
        <v>3</v>
      </c>
      <c r="IK74">
        <v>0</v>
      </c>
    </row>
    <row r="75" spans="1:245" x14ac:dyDescent="0.2">
      <c r="A75">
        <v>17</v>
      </c>
      <c r="B75">
        <v>1</v>
      </c>
      <c r="C75">
        <f>ROW(SmtRes!A56)</f>
        <v>56</v>
      </c>
      <c r="D75">
        <f>ROW(EtalonRes!A70)</f>
        <v>70</v>
      </c>
      <c r="E75" t="s">
        <v>167</v>
      </c>
      <c r="F75" t="s">
        <v>168</v>
      </c>
      <c r="G75" t="s">
        <v>169</v>
      </c>
      <c r="H75" t="s">
        <v>170</v>
      </c>
      <c r="I75">
        <f>ROUND((0.08*25)/100,9)</f>
        <v>0.02</v>
      </c>
      <c r="J75">
        <v>0</v>
      </c>
      <c r="K75">
        <f>ROUND((0.08*25)/100,9)</f>
        <v>0.02</v>
      </c>
      <c r="O75">
        <f t="shared" si="34"/>
        <v>9697.74</v>
      </c>
      <c r="P75">
        <f t="shared" si="35"/>
        <v>3105.05</v>
      </c>
      <c r="Q75">
        <f t="shared" si="36"/>
        <v>4440.6499999999996</v>
      </c>
      <c r="R75">
        <f t="shared" si="37"/>
        <v>1360.06</v>
      </c>
      <c r="S75">
        <f t="shared" si="38"/>
        <v>2152.04</v>
      </c>
      <c r="T75">
        <f t="shared" si="39"/>
        <v>0</v>
      </c>
      <c r="U75">
        <f t="shared" si="40"/>
        <v>8.9147999999999996</v>
      </c>
      <c r="V75">
        <f t="shared" si="41"/>
        <v>3.6657000000000002</v>
      </c>
      <c r="W75">
        <f t="shared" si="42"/>
        <v>0</v>
      </c>
      <c r="X75">
        <f t="shared" si="43"/>
        <v>5162.79</v>
      </c>
      <c r="Y75">
        <f t="shared" si="44"/>
        <v>4000.28</v>
      </c>
      <c r="AA75">
        <v>143120906</v>
      </c>
      <c r="AB75">
        <f t="shared" si="45"/>
        <v>43375.48</v>
      </c>
      <c r="AC75">
        <f t="shared" si="46"/>
        <v>19430.86</v>
      </c>
      <c r="AD75">
        <f>ROUND((((((ET75*1.25)*1.2))-(((EU75*1.25)*1.2)))+AE75),2)</f>
        <v>20093.43</v>
      </c>
      <c r="AE75">
        <f>ROUND((((EU75*1.25)*1.2)),2)</f>
        <v>2433.9</v>
      </c>
      <c r="AF75">
        <f>ROUND((((EV75*1.15)*1.2)),2)</f>
        <v>3851.19</v>
      </c>
      <c r="AG75">
        <f t="shared" si="47"/>
        <v>0</v>
      </c>
      <c r="AH75">
        <f>(((EW75*1.15)*1.2))</f>
        <v>445.73999999999995</v>
      </c>
      <c r="AI75">
        <f>(((EX75*1.25)*1.2))</f>
        <v>183.285</v>
      </c>
      <c r="AJ75">
        <f t="shared" si="48"/>
        <v>0</v>
      </c>
      <c r="AK75">
        <v>35617.199999999997</v>
      </c>
      <c r="AL75">
        <v>19430.86</v>
      </c>
      <c r="AM75">
        <v>13395.62</v>
      </c>
      <c r="AN75">
        <v>1622.6</v>
      </c>
      <c r="AO75">
        <v>2790.72</v>
      </c>
      <c r="AP75">
        <v>0</v>
      </c>
      <c r="AQ75">
        <v>323</v>
      </c>
      <c r="AR75">
        <v>122.19</v>
      </c>
      <c r="AS75">
        <v>0</v>
      </c>
      <c r="AT75">
        <v>147</v>
      </c>
      <c r="AU75">
        <v>113.9</v>
      </c>
      <c r="AV75">
        <v>1</v>
      </c>
      <c r="AW75">
        <v>1</v>
      </c>
      <c r="AZ75">
        <v>1</v>
      </c>
      <c r="BA75">
        <v>27.94</v>
      </c>
      <c r="BB75">
        <v>11.05</v>
      </c>
      <c r="BC75">
        <v>7.99</v>
      </c>
      <c r="BD75" t="s">
        <v>3</v>
      </c>
      <c r="BE75" t="s">
        <v>3</v>
      </c>
      <c r="BF75" t="s">
        <v>3</v>
      </c>
      <c r="BG75" t="s">
        <v>3</v>
      </c>
      <c r="BH75">
        <v>0</v>
      </c>
      <c r="BI75">
        <v>1</v>
      </c>
      <c r="BJ75" t="s">
        <v>171</v>
      </c>
      <c r="BM75">
        <v>27001</v>
      </c>
      <c r="BN75">
        <v>0</v>
      </c>
      <c r="BO75" t="s">
        <v>3</v>
      </c>
      <c r="BP75">
        <v>0</v>
      </c>
      <c r="BQ75">
        <v>2</v>
      </c>
      <c r="BR75">
        <v>0</v>
      </c>
      <c r="BS75">
        <v>27.94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147</v>
      </c>
      <c r="CA75">
        <v>134</v>
      </c>
      <c r="CB75" t="s">
        <v>3</v>
      </c>
      <c r="CE75">
        <v>0</v>
      </c>
      <c r="CF75">
        <v>0</v>
      </c>
      <c r="CG75">
        <v>0</v>
      </c>
      <c r="CM75">
        <v>0</v>
      </c>
      <c r="CN75" t="s">
        <v>556</v>
      </c>
      <c r="CO75">
        <v>0</v>
      </c>
      <c r="CP75">
        <f t="shared" si="49"/>
        <v>9697.74</v>
      </c>
      <c r="CQ75">
        <f t="shared" si="50"/>
        <v>155252.57140000002</v>
      </c>
      <c r="CR75">
        <f>(((((ET75*1.25)*1.2))*BB75-(((EU75*1.25)*1.2))*BS75)+AE75*BS75)</f>
        <v>222032.40150000004</v>
      </c>
      <c r="CS75">
        <f t="shared" si="51"/>
        <v>68003.166000000012</v>
      </c>
      <c r="CT75">
        <f t="shared" si="52"/>
        <v>107602.24860000001</v>
      </c>
      <c r="CU75">
        <f t="shared" si="53"/>
        <v>0</v>
      </c>
      <c r="CV75">
        <f t="shared" si="54"/>
        <v>445.73999999999995</v>
      </c>
      <c r="CW75">
        <f t="shared" si="55"/>
        <v>183.285</v>
      </c>
      <c r="CX75">
        <f t="shared" si="56"/>
        <v>0</v>
      </c>
      <c r="CY75">
        <f t="shared" si="57"/>
        <v>5162.7870000000003</v>
      </c>
      <c r="CZ75">
        <f t="shared" si="58"/>
        <v>4000.2819</v>
      </c>
      <c r="DC75" t="s">
        <v>3</v>
      </c>
      <c r="DD75" t="s">
        <v>3</v>
      </c>
      <c r="DE75" t="s">
        <v>16</v>
      </c>
      <c r="DF75" t="s">
        <v>16</v>
      </c>
      <c r="DG75" t="s">
        <v>17</v>
      </c>
      <c r="DH75" t="s">
        <v>3</v>
      </c>
      <c r="DI75" t="s">
        <v>17</v>
      </c>
      <c r="DJ75" t="s">
        <v>16</v>
      </c>
      <c r="DK75" t="s">
        <v>3</v>
      </c>
      <c r="DL75" t="s">
        <v>3</v>
      </c>
      <c r="DM75" t="s">
        <v>55</v>
      </c>
      <c r="DN75">
        <v>0</v>
      </c>
      <c r="DO75">
        <v>0</v>
      </c>
      <c r="DP75">
        <v>1</v>
      </c>
      <c r="DQ75">
        <v>1</v>
      </c>
      <c r="DU75">
        <v>1007</v>
      </c>
      <c r="DV75" t="s">
        <v>170</v>
      </c>
      <c r="DW75" t="s">
        <v>170</v>
      </c>
      <c r="DX75">
        <v>100</v>
      </c>
      <c r="DZ75" t="s">
        <v>3</v>
      </c>
      <c r="EA75" t="s">
        <v>3</v>
      </c>
      <c r="EB75" t="s">
        <v>3</v>
      </c>
      <c r="EC75" t="s">
        <v>3</v>
      </c>
      <c r="EE75">
        <v>140625082</v>
      </c>
      <c r="EF75">
        <v>2</v>
      </c>
      <c r="EG75" t="s">
        <v>27</v>
      </c>
      <c r="EH75">
        <v>21</v>
      </c>
      <c r="EI75" t="s">
        <v>56</v>
      </c>
      <c r="EJ75">
        <v>1</v>
      </c>
      <c r="EK75">
        <v>27001</v>
      </c>
      <c r="EL75" t="s">
        <v>56</v>
      </c>
      <c r="EM75" t="s">
        <v>58</v>
      </c>
      <c r="EO75" t="s">
        <v>18</v>
      </c>
      <c r="EQ75">
        <v>0</v>
      </c>
      <c r="ER75">
        <v>35617.199999999997</v>
      </c>
      <c r="ES75">
        <v>19430.86</v>
      </c>
      <c r="ET75">
        <v>13395.62</v>
      </c>
      <c r="EU75">
        <v>1622.6</v>
      </c>
      <c r="EV75">
        <v>2790.72</v>
      </c>
      <c r="EW75">
        <v>323</v>
      </c>
      <c r="EX75">
        <v>122.19</v>
      </c>
      <c r="EY75">
        <v>0</v>
      </c>
      <c r="FQ75">
        <v>0</v>
      </c>
      <c r="FR75">
        <f t="shared" si="59"/>
        <v>0</v>
      </c>
      <c r="FS75">
        <v>0</v>
      </c>
      <c r="FX75">
        <v>147</v>
      </c>
      <c r="FY75">
        <v>113.9</v>
      </c>
      <c r="GA75" t="s">
        <v>3</v>
      </c>
      <c r="GD75">
        <v>1</v>
      </c>
      <c r="GF75">
        <v>-388050814</v>
      </c>
      <c r="GG75">
        <v>2</v>
      </c>
      <c r="GH75">
        <v>1</v>
      </c>
      <c r="GI75">
        <v>4</v>
      </c>
      <c r="GJ75">
        <v>0</v>
      </c>
      <c r="GK75">
        <v>0</v>
      </c>
      <c r="GL75">
        <f t="shared" si="60"/>
        <v>0</v>
      </c>
      <c r="GM75">
        <f t="shared" si="61"/>
        <v>18860.810000000001</v>
      </c>
      <c r="GN75">
        <f t="shared" si="62"/>
        <v>18860.810000000001</v>
      </c>
      <c r="GO75">
        <f t="shared" si="63"/>
        <v>0</v>
      </c>
      <c r="GP75">
        <f t="shared" si="64"/>
        <v>0</v>
      </c>
      <c r="GR75">
        <v>0</v>
      </c>
      <c r="GS75">
        <v>3</v>
      </c>
      <c r="GT75">
        <v>0</v>
      </c>
      <c r="GU75" t="s">
        <v>3</v>
      </c>
      <c r="GV75">
        <f t="shared" si="65"/>
        <v>0</v>
      </c>
      <c r="GW75">
        <v>1</v>
      </c>
      <c r="GX75">
        <f t="shared" si="66"/>
        <v>0</v>
      </c>
      <c r="HA75">
        <v>0</v>
      </c>
      <c r="HB75">
        <v>0</v>
      </c>
      <c r="HC75">
        <f t="shared" si="67"/>
        <v>0</v>
      </c>
      <c r="HE75" t="s">
        <v>3</v>
      </c>
      <c r="HF75" t="s">
        <v>3</v>
      </c>
      <c r="HM75" t="s">
        <v>3</v>
      </c>
      <c r="HN75" t="s">
        <v>172</v>
      </c>
      <c r="HO75" t="s">
        <v>173</v>
      </c>
      <c r="HP75" t="s">
        <v>56</v>
      </c>
      <c r="HQ75" t="s">
        <v>56</v>
      </c>
      <c r="IK75">
        <v>0</v>
      </c>
    </row>
    <row r="76" spans="1:245" x14ac:dyDescent="0.2">
      <c r="A76">
        <v>18</v>
      </c>
      <c r="B76">
        <v>1</v>
      </c>
      <c r="C76">
        <v>56</v>
      </c>
      <c r="E76" t="s">
        <v>174</v>
      </c>
      <c r="F76" t="s">
        <v>175</v>
      </c>
      <c r="G76" t="s">
        <v>176</v>
      </c>
      <c r="H76" t="s">
        <v>177</v>
      </c>
      <c r="I76">
        <f>I75*J76</f>
        <v>-38.6</v>
      </c>
      <c r="J76">
        <v>-1930</v>
      </c>
      <c r="K76">
        <v>-1930</v>
      </c>
      <c r="O76">
        <f t="shared" si="34"/>
        <v>-2340.86</v>
      </c>
      <c r="P76">
        <f t="shared" si="35"/>
        <v>-2340.86</v>
      </c>
      <c r="Q76">
        <f t="shared" si="36"/>
        <v>0</v>
      </c>
      <c r="R76">
        <f t="shared" si="37"/>
        <v>0</v>
      </c>
      <c r="S76">
        <f t="shared" si="38"/>
        <v>0</v>
      </c>
      <c r="T76">
        <f t="shared" si="39"/>
        <v>0</v>
      </c>
      <c r="U76">
        <f t="shared" si="40"/>
        <v>0</v>
      </c>
      <c r="V76">
        <f t="shared" si="41"/>
        <v>0</v>
      </c>
      <c r="W76">
        <f t="shared" si="42"/>
        <v>0</v>
      </c>
      <c r="X76">
        <f t="shared" si="43"/>
        <v>0</v>
      </c>
      <c r="Y76">
        <f t="shared" si="44"/>
        <v>0</v>
      </c>
      <c r="AA76">
        <v>143120906</v>
      </c>
      <c r="AB76">
        <f t="shared" si="45"/>
        <v>7.59</v>
      </c>
      <c r="AC76">
        <f t="shared" si="46"/>
        <v>7.59</v>
      </c>
      <c r="AD76">
        <f>ROUND((((ET76)-(EU76))+AE76),2)</f>
        <v>0</v>
      </c>
      <c r="AE76">
        <f>ROUND((EU76),2)</f>
        <v>0</v>
      </c>
      <c r="AF76">
        <f>ROUND((EV76),2)</f>
        <v>0</v>
      </c>
      <c r="AG76">
        <f t="shared" si="47"/>
        <v>0</v>
      </c>
      <c r="AH76">
        <f>(EW76)</f>
        <v>0</v>
      </c>
      <c r="AI76">
        <f>(EX76)</f>
        <v>0</v>
      </c>
      <c r="AJ76">
        <f t="shared" si="48"/>
        <v>0</v>
      </c>
      <c r="AK76">
        <v>7.59</v>
      </c>
      <c r="AL76">
        <v>7.59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147</v>
      </c>
      <c r="AU76">
        <v>134</v>
      </c>
      <c r="AV76">
        <v>1</v>
      </c>
      <c r="AW76">
        <v>1</v>
      </c>
      <c r="AZ76">
        <v>1</v>
      </c>
      <c r="BA76">
        <v>1</v>
      </c>
      <c r="BB76">
        <v>1</v>
      </c>
      <c r="BC76">
        <v>7.99</v>
      </c>
      <c r="BD76" t="s">
        <v>3</v>
      </c>
      <c r="BE76" t="s">
        <v>3</v>
      </c>
      <c r="BF76" t="s">
        <v>3</v>
      </c>
      <c r="BG76" t="s">
        <v>3</v>
      </c>
      <c r="BH76">
        <v>3</v>
      </c>
      <c r="BI76">
        <v>1</v>
      </c>
      <c r="BJ76" t="s">
        <v>178</v>
      </c>
      <c r="BM76">
        <v>27001</v>
      </c>
      <c r="BN76">
        <v>0</v>
      </c>
      <c r="BO76" t="s">
        <v>3</v>
      </c>
      <c r="BP76">
        <v>0</v>
      </c>
      <c r="BQ76">
        <v>2</v>
      </c>
      <c r="BR76">
        <v>1</v>
      </c>
      <c r="BS76">
        <v>1</v>
      </c>
      <c r="BT76">
        <v>1</v>
      </c>
      <c r="BU76">
        <v>1</v>
      </c>
      <c r="BV76">
        <v>1</v>
      </c>
      <c r="BW76">
        <v>1</v>
      </c>
      <c r="BX76">
        <v>1</v>
      </c>
      <c r="BY76" t="s">
        <v>3</v>
      </c>
      <c r="BZ76">
        <v>147</v>
      </c>
      <c r="CA76">
        <v>134</v>
      </c>
      <c r="CB76" t="s">
        <v>3</v>
      </c>
      <c r="CE76">
        <v>0</v>
      </c>
      <c r="CF76">
        <v>0</v>
      </c>
      <c r="CG76">
        <v>0</v>
      </c>
      <c r="CM76">
        <v>0</v>
      </c>
      <c r="CN76" t="s">
        <v>3</v>
      </c>
      <c r="CO76">
        <v>0</v>
      </c>
      <c r="CP76">
        <f t="shared" si="49"/>
        <v>-2340.86</v>
      </c>
      <c r="CQ76">
        <f t="shared" si="50"/>
        <v>60.644100000000002</v>
      </c>
      <c r="CR76">
        <f>(((ET76)*BB76-(EU76)*BS76)+AE76*BS76)</f>
        <v>0</v>
      </c>
      <c r="CS76">
        <f t="shared" si="51"/>
        <v>0</v>
      </c>
      <c r="CT76">
        <f t="shared" si="52"/>
        <v>0</v>
      </c>
      <c r="CU76">
        <f t="shared" si="53"/>
        <v>0</v>
      </c>
      <c r="CV76">
        <f t="shared" si="54"/>
        <v>0</v>
      </c>
      <c r="CW76">
        <f t="shared" si="55"/>
        <v>0</v>
      </c>
      <c r="CX76">
        <f t="shared" si="56"/>
        <v>0</v>
      </c>
      <c r="CY76">
        <f t="shared" si="57"/>
        <v>0</v>
      </c>
      <c r="CZ76">
        <f t="shared" si="58"/>
        <v>0</v>
      </c>
      <c r="DC76" t="s">
        <v>3</v>
      </c>
      <c r="DD76" t="s">
        <v>3</v>
      </c>
      <c r="DE76" t="s">
        <v>3</v>
      </c>
      <c r="DF76" t="s">
        <v>3</v>
      </c>
      <c r="DG76" t="s">
        <v>3</v>
      </c>
      <c r="DH76" t="s">
        <v>3</v>
      </c>
      <c r="DI76" t="s">
        <v>3</v>
      </c>
      <c r="DJ76" t="s">
        <v>3</v>
      </c>
      <c r="DK76" t="s">
        <v>3</v>
      </c>
      <c r="DL76" t="s">
        <v>3</v>
      </c>
      <c r="DM76" t="s">
        <v>3</v>
      </c>
      <c r="DN76">
        <v>0</v>
      </c>
      <c r="DO76">
        <v>0</v>
      </c>
      <c r="DP76">
        <v>1</v>
      </c>
      <c r="DQ76">
        <v>1</v>
      </c>
      <c r="DU76">
        <v>1009</v>
      </c>
      <c r="DV76" t="s">
        <v>177</v>
      </c>
      <c r="DW76" t="s">
        <v>177</v>
      </c>
      <c r="DX76">
        <v>1</v>
      </c>
      <c r="DZ76" t="s">
        <v>3</v>
      </c>
      <c r="EA76" t="s">
        <v>3</v>
      </c>
      <c r="EB76" t="s">
        <v>3</v>
      </c>
      <c r="EC76" t="s">
        <v>3</v>
      </c>
      <c r="EE76">
        <v>140625082</v>
      </c>
      <c r="EF76">
        <v>2</v>
      </c>
      <c r="EG76" t="s">
        <v>27</v>
      </c>
      <c r="EH76">
        <v>21</v>
      </c>
      <c r="EI76" t="s">
        <v>56</v>
      </c>
      <c r="EJ76">
        <v>1</v>
      </c>
      <c r="EK76">
        <v>27001</v>
      </c>
      <c r="EL76" t="s">
        <v>56</v>
      </c>
      <c r="EM76" t="s">
        <v>58</v>
      </c>
      <c r="EO76" t="s">
        <v>3</v>
      </c>
      <c r="EQ76">
        <v>0</v>
      </c>
      <c r="ER76">
        <v>7.59</v>
      </c>
      <c r="ES76">
        <v>7.59</v>
      </c>
      <c r="ET76">
        <v>0</v>
      </c>
      <c r="EU76">
        <v>0</v>
      </c>
      <c r="EV76">
        <v>0</v>
      </c>
      <c r="EW76">
        <v>0</v>
      </c>
      <c r="EX76">
        <v>0</v>
      </c>
      <c r="FQ76">
        <v>0</v>
      </c>
      <c r="FR76">
        <f t="shared" si="59"/>
        <v>0</v>
      </c>
      <c r="FS76">
        <v>0</v>
      </c>
      <c r="FX76">
        <v>147</v>
      </c>
      <c r="FY76">
        <v>134</v>
      </c>
      <c r="GA76" t="s">
        <v>3</v>
      </c>
      <c r="GD76">
        <v>1</v>
      </c>
      <c r="GF76">
        <v>-834770080</v>
      </c>
      <c r="GG76">
        <v>2</v>
      </c>
      <c r="GH76">
        <v>1</v>
      </c>
      <c r="GI76">
        <v>4</v>
      </c>
      <c r="GJ76">
        <v>0</v>
      </c>
      <c r="GK76">
        <v>0</v>
      </c>
      <c r="GL76">
        <f t="shared" si="60"/>
        <v>0</v>
      </c>
      <c r="GM76">
        <f t="shared" si="61"/>
        <v>-2340.86</v>
      </c>
      <c r="GN76">
        <f t="shared" si="62"/>
        <v>-2340.86</v>
      </c>
      <c r="GO76">
        <f t="shared" si="63"/>
        <v>0</v>
      </c>
      <c r="GP76">
        <f t="shared" si="64"/>
        <v>0</v>
      </c>
      <c r="GR76">
        <v>0</v>
      </c>
      <c r="GS76">
        <v>3</v>
      </c>
      <c r="GT76">
        <v>0</v>
      </c>
      <c r="GU76" t="s">
        <v>3</v>
      </c>
      <c r="GV76">
        <f t="shared" si="65"/>
        <v>0</v>
      </c>
      <c r="GW76">
        <v>1</v>
      </c>
      <c r="GX76">
        <f t="shared" si="66"/>
        <v>0</v>
      </c>
      <c r="HA76">
        <v>0</v>
      </c>
      <c r="HB76">
        <v>0</v>
      </c>
      <c r="HC76">
        <f t="shared" si="67"/>
        <v>0</v>
      </c>
      <c r="HE76" t="s">
        <v>3</v>
      </c>
      <c r="HF76" t="s">
        <v>3</v>
      </c>
      <c r="HM76" t="s">
        <v>3</v>
      </c>
      <c r="HN76" t="s">
        <v>172</v>
      </c>
      <c r="HO76" t="s">
        <v>173</v>
      </c>
      <c r="HP76" t="s">
        <v>56</v>
      </c>
      <c r="HQ76" t="s">
        <v>56</v>
      </c>
      <c r="IK76">
        <v>0</v>
      </c>
    </row>
    <row r="77" spans="1:245" x14ac:dyDescent="0.2">
      <c r="A77">
        <v>17</v>
      </c>
      <c r="B77">
        <v>1</v>
      </c>
      <c r="E77" t="s">
        <v>179</v>
      </c>
      <c r="F77" t="s">
        <v>136</v>
      </c>
      <c r="G77" t="s">
        <v>180</v>
      </c>
      <c r="H77" t="s">
        <v>44</v>
      </c>
      <c r="I77">
        <v>50</v>
      </c>
      <c r="J77">
        <v>0</v>
      </c>
      <c r="K77">
        <v>50</v>
      </c>
      <c r="O77">
        <f t="shared" si="34"/>
        <v>9104.61</v>
      </c>
      <c r="P77">
        <f t="shared" si="35"/>
        <v>9104.61</v>
      </c>
      <c r="Q77">
        <f t="shared" si="36"/>
        <v>0</v>
      </c>
      <c r="R77">
        <f t="shared" si="37"/>
        <v>0</v>
      </c>
      <c r="S77">
        <f t="shared" si="38"/>
        <v>0</v>
      </c>
      <c r="T77">
        <f t="shared" si="39"/>
        <v>0</v>
      </c>
      <c r="U77">
        <f t="shared" si="40"/>
        <v>0</v>
      </c>
      <c r="V77">
        <f t="shared" si="41"/>
        <v>0</v>
      </c>
      <c r="W77">
        <f t="shared" si="42"/>
        <v>0</v>
      </c>
      <c r="X77">
        <f t="shared" si="43"/>
        <v>0</v>
      </c>
      <c r="Y77">
        <f t="shared" si="44"/>
        <v>0</v>
      </c>
      <c r="AA77">
        <v>143120906</v>
      </c>
      <c r="AB77">
        <f t="shared" si="45"/>
        <v>22.79</v>
      </c>
      <c r="AC77">
        <f t="shared" si="46"/>
        <v>22.79</v>
      </c>
      <c r="AD77">
        <f>ROUND((((ET77)-(EU77))+AE77),2)</f>
        <v>0</v>
      </c>
      <c r="AE77">
        <f>ROUND((EU77),2)</f>
        <v>0</v>
      </c>
      <c r="AF77">
        <f>ROUND((EV77),2)</f>
        <v>0</v>
      </c>
      <c r="AG77">
        <f t="shared" si="47"/>
        <v>0</v>
      </c>
      <c r="AH77">
        <f>(EW77)</f>
        <v>0</v>
      </c>
      <c r="AI77">
        <f>(EX77)</f>
        <v>0</v>
      </c>
      <c r="AJ77">
        <f t="shared" si="48"/>
        <v>0</v>
      </c>
      <c r="AK77">
        <v>22.79</v>
      </c>
      <c r="AL77">
        <v>22.79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v>7.99</v>
      </c>
      <c r="BD77" t="s">
        <v>3</v>
      </c>
      <c r="BE77" t="s">
        <v>3</v>
      </c>
      <c r="BF77" t="s">
        <v>3</v>
      </c>
      <c r="BG77" t="s">
        <v>3</v>
      </c>
      <c r="BH77">
        <v>3</v>
      </c>
      <c r="BI77">
        <v>1</v>
      </c>
      <c r="BJ77" t="s">
        <v>3</v>
      </c>
      <c r="BM77">
        <v>1100</v>
      </c>
      <c r="BN77">
        <v>0</v>
      </c>
      <c r="BO77" t="s">
        <v>3</v>
      </c>
      <c r="BP77">
        <v>0</v>
      </c>
      <c r="BQ77">
        <v>8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0</v>
      </c>
      <c r="CA77">
        <v>0</v>
      </c>
      <c r="CB77" t="s">
        <v>3</v>
      </c>
      <c r="CE77">
        <v>0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49"/>
        <v>9104.61</v>
      </c>
      <c r="CQ77">
        <f t="shared" si="50"/>
        <v>182.09209999999999</v>
      </c>
      <c r="CR77">
        <f>(((ET77)*BB77-(EU77)*BS77)+AE77*BS77)</f>
        <v>0</v>
      </c>
      <c r="CS77">
        <f t="shared" si="51"/>
        <v>0</v>
      </c>
      <c r="CT77">
        <f t="shared" si="52"/>
        <v>0</v>
      </c>
      <c r="CU77">
        <f t="shared" si="53"/>
        <v>0</v>
      </c>
      <c r="CV77">
        <f t="shared" si="54"/>
        <v>0</v>
      </c>
      <c r="CW77">
        <f t="shared" si="55"/>
        <v>0</v>
      </c>
      <c r="CX77">
        <f t="shared" si="56"/>
        <v>0</v>
      </c>
      <c r="CY77">
        <f t="shared" si="57"/>
        <v>0</v>
      </c>
      <c r="CZ77">
        <f t="shared" si="58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DU77">
        <v>1013</v>
      </c>
      <c r="DV77" t="s">
        <v>44</v>
      </c>
      <c r="DW77" t="s">
        <v>44</v>
      </c>
      <c r="DX77">
        <v>1</v>
      </c>
      <c r="DZ77" t="s">
        <v>3</v>
      </c>
      <c r="EA77" t="s">
        <v>3</v>
      </c>
      <c r="EB77" t="s">
        <v>3</v>
      </c>
      <c r="EC77" t="s">
        <v>3</v>
      </c>
      <c r="EE77">
        <v>140625274</v>
      </c>
      <c r="EF77">
        <v>8</v>
      </c>
      <c r="EG77" t="s">
        <v>139</v>
      </c>
      <c r="EH77">
        <v>0</v>
      </c>
      <c r="EI77" t="s">
        <v>3</v>
      </c>
      <c r="EJ77">
        <v>1</v>
      </c>
      <c r="EK77">
        <v>1100</v>
      </c>
      <c r="EL77" t="s">
        <v>140</v>
      </c>
      <c r="EM77" t="s">
        <v>141</v>
      </c>
      <c r="EO77" t="s">
        <v>3</v>
      </c>
      <c r="EQ77">
        <v>0</v>
      </c>
      <c r="ER77">
        <v>22.79</v>
      </c>
      <c r="ES77">
        <v>22.79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5</v>
      </c>
      <c r="FC77">
        <v>1</v>
      </c>
      <c r="FD77">
        <v>18</v>
      </c>
      <c r="FF77">
        <v>204.04</v>
      </c>
      <c r="FQ77">
        <v>0</v>
      </c>
      <c r="FR77">
        <f t="shared" si="59"/>
        <v>0</v>
      </c>
      <c r="FS77">
        <v>0</v>
      </c>
      <c r="FX77">
        <v>0</v>
      </c>
      <c r="FY77">
        <v>0</v>
      </c>
      <c r="GA77" t="s">
        <v>181</v>
      </c>
      <c r="GD77">
        <v>1</v>
      </c>
      <c r="GF77">
        <v>-1185267101</v>
      </c>
      <c r="GG77">
        <v>2</v>
      </c>
      <c r="GH77">
        <v>3</v>
      </c>
      <c r="GI77">
        <v>4</v>
      </c>
      <c r="GJ77">
        <v>0</v>
      </c>
      <c r="GK77">
        <v>0</v>
      </c>
      <c r="GL77">
        <f t="shared" si="60"/>
        <v>0</v>
      </c>
      <c r="GM77">
        <f t="shared" si="61"/>
        <v>9104.61</v>
      </c>
      <c r="GN77">
        <f t="shared" si="62"/>
        <v>9104.61</v>
      </c>
      <c r="GO77">
        <f t="shared" si="63"/>
        <v>0</v>
      </c>
      <c r="GP77">
        <f t="shared" si="64"/>
        <v>0</v>
      </c>
      <c r="GR77">
        <v>1</v>
      </c>
      <c r="GS77">
        <v>1</v>
      </c>
      <c r="GT77">
        <v>0</v>
      </c>
      <c r="GU77" t="s">
        <v>3</v>
      </c>
      <c r="GV77">
        <f t="shared" si="65"/>
        <v>0</v>
      </c>
      <c r="GW77">
        <v>1</v>
      </c>
      <c r="GX77">
        <f t="shared" si="66"/>
        <v>0</v>
      </c>
      <c r="HA77">
        <v>0</v>
      </c>
      <c r="HB77">
        <v>0</v>
      </c>
      <c r="HC77">
        <f t="shared" si="67"/>
        <v>0</v>
      </c>
      <c r="HE77" t="s">
        <v>61</v>
      </c>
      <c r="HF77" t="s">
        <v>33</v>
      </c>
      <c r="HM77" t="s">
        <v>3</v>
      </c>
      <c r="HN77" t="s">
        <v>3</v>
      </c>
      <c r="HO77" t="s">
        <v>3</v>
      </c>
      <c r="HP77" t="s">
        <v>3</v>
      </c>
      <c r="HQ77" t="s">
        <v>3</v>
      </c>
      <c r="IK77">
        <v>0</v>
      </c>
    </row>
    <row r="78" spans="1:245" x14ac:dyDescent="0.2">
      <c r="A78">
        <v>17</v>
      </c>
      <c r="B78">
        <v>1</v>
      </c>
      <c r="C78">
        <f>ROW(SmtRes!A64)</f>
        <v>64</v>
      </c>
      <c r="D78">
        <f>ROW(EtalonRes!A81)</f>
        <v>81</v>
      </c>
      <c r="E78" t="s">
        <v>182</v>
      </c>
      <c r="F78" t="s">
        <v>21</v>
      </c>
      <c r="G78" t="s">
        <v>183</v>
      </c>
      <c r="H78" t="s">
        <v>23</v>
      </c>
      <c r="I78">
        <f>ROUND((15.4+17.3+8.6)/100,9)</f>
        <v>0.41299999999999998</v>
      </c>
      <c r="J78">
        <v>0</v>
      </c>
      <c r="K78">
        <f>ROUND((15.4+17.3+8.6)/100,9)</f>
        <v>0.41299999999999998</v>
      </c>
      <c r="O78">
        <f t="shared" si="34"/>
        <v>56235.85</v>
      </c>
      <c r="P78">
        <f t="shared" si="35"/>
        <v>454.95</v>
      </c>
      <c r="Q78">
        <f t="shared" si="36"/>
        <v>498.69</v>
      </c>
      <c r="R78">
        <f t="shared" si="37"/>
        <v>430.3</v>
      </c>
      <c r="S78">
        <f t="shared" si="38"/>
        <v>55282.21</v>
      </c>
      <c r="T78">
        <f t="shared" si="39"/>
        <v>0</v>
      </c>
      <c r="U78">
        <f t="shared" si="40"/>
        <v>215.53420979999999</v>
      </c>
      <c r="V78">
        <f t="shared" si="41"/>
        <v>1.4186549999999998</v>
      </c>
      <c r="W78">
        <f t="shared" si="42"/>
        <v>0</v>
      </c>
      <c r="X78">
        <f t="shared" si="43"/>
        <v>55712.51</v>
      </c>
      <c r="Y78">
        <f t="shared" si="44"/>
        <v>23204.26</v>
      </c>
      <c r="AA78">
        <v>143120906</v>
      </c>
      <c r="AB78">
        <f t="shared" si="45"/>
        <v>5037.96</v>
      </c>
      <c r="AC78">
        <f t="shared" si="46"/>
        <v>137.87</v>
      </c>
      <c r="AD78">
        <f>ROUND((((((ET78*1.25)*1.2))-(((EU78*1.25)*1.2)))+AE78),2)</f>
        <v>109.28</v>
      </c>
      <c r="AE78">
        <f>ROUND((((EU78*1.25)*1.2)),2)</f>
        <v>37.29</v>
      </c>
      <c r="AF78">
        <f>ROUND((((EV78*1.15)*1.2)),2)</f>
        <v>4790.8100000000004</v>
      </c>
      <c r="AG78">
        <f t="shared" si="47"/>
        <v>0</v>
      </c>
      <c r="AH78">
        <f>(((EW78*1.15)*1.2))</f>
        <v>521.87459999999999</v>
      </c>
      <c r="AI78">
        <f>(((EX78*1.25)*1.2))</f>
        <v>3.4349999999999996</v>
      </c>
      <c r="AJ78">
        <f t="shared" si="48"/>
        <v>0</v>
      </c>
      <c r="AK78">
        <v>3682.32</v>
      </c>
      <c r="AL78">
        <v>137.87</v>
      </c>
      <c r="AM78">
        <v>72.849999999999994</v>
      </c>
      <c r="AN78">
        <v>24.86</v>
      </c>
      <c r="AO78">
        <v>3471.6</v>
      </c>
      <c r="AP78">
        <v>0</v>
      </c>
      <c r="AQ78">
        <v>378.17</v>
      </c>
      <c r="AR78">
        <v>2.29</v>
      </c>
      <c r="AS78">
        <v>0</v>
      </c>
      <c r="AT78">
        <v>100</v>
      </c>
      <c r="AU78">
        <v>41.65</v>
      </c>
      <c r="AV78">
        <v>1</v>
      </c>
      <c r="AW78">
        <v>1</v>
      </c>
      <c r="AZ78">
        <v>1</v>
      </c>
      <c r="BA78">
        <v>27.94</v>
      </c>
      <c r="BB78">
        <v>11.05</v>
      </c>
      <c r="BC78">
        <v>7.99</v>
      </c>
      <c r="BD78" t="s">
        <v>3</v>
      </c>
      <c r="BE78" t="s">
        <v>3</v>
      </c>
      <c r="BF78" t="s">
        <v>3</v>
      </c>
      <c r="BG78" t="s">
        <v>3</v>
      </c>
      <c r="BH78">
        <v>0</v>
      </c>
      <c r="BI78">
        <v>1</v>
      </c>
      <c r="BJ78" t="s">
        <v>24</v>
      </c>
      <c r="BM78">
        <v>15001</v>
      </c>
      <c r="BN78">
        <v>0</v>
      </c>
      <c r="BO78" t="s">
        <v>3</v>
      </c>
      <c r="BP78">
        <v>0</v>
      </c>
      <c r="BQ78">
        <v>2</v>
      </c>
      <c r="BR78">
        <v>0</v>
      </c>
      <c r="BS78">
        <v>27.94</v>
      </c>
      <c r="BT78">
        <v>1</v>
      </c>
      <c r="BU78">
        <v>1</v>
      </c>
      <c r="BV78">
        <v>1</v>
      </c>
      <c r="BW78">
        <v>1</v>
      </c>
      <c r="BX78">
        <v>1</v>
      </c>
      <c r="BY78" t="s">
        <v>3</v>
      </c>
      <c r="BZ78">
        <v>100</v>
      </c>
      <c r="CA78">
        <v>49</v>
      </c>
      <c r="CB78" t="s">
        <v>3</v>
      </c>
      <c r="CE78">
        <v>0</v>
      </c>
      <c r="CF78">
        <v>0</v>
      </c>
      <c r="CG78">
        <v>0</v>
      </c>
      <c r="CM78">
        <v>0</v>
      </c>
      <c r="CN78" t="s">
        <v>556</v>
      </c>
      <c r="CO78">
        <v>0</v>
      </c>
      <c r="CP78">
        <f t="shared" si="49"/>
        <v>56235.85</v>
      </c>
      <c r="CQ78">
        <f t="shared" si="50"/>
        <v>1101.5813000000001</v>
      </c>
      <c r="CR78">
        <f>(((((ET78*1.25)*1.2))*BB78-(((EU78*1.25)*1.2))*BS78)+AE78*BS78)</f>
        <v>1207.48875</v>
      </c>
      <c r="CS78">
        <f t="shared" si="51"/>
        <v>1041.8825999999999</v>
      </c>
      <c r="CT78">
        <f t="shared" si="52"/>
        <v>133855.23140000002</v>
      </c>
      <c r="CU78">
        <f t="shared" si="53"/>
        <v>0</v>
      </c>
      <c r="CV78">
        <f t="shared" si="54"/>
        <v>521.87459999999999</v>
      </c>
      <c r="CW78">
        <f t="shared" si="55"/>
        <v>3.4349999999999996</v>
      </c>
      <c r="CX78">
        <f t="shared" si="56"/>
        <v>0</v>
      </c>
      <c r="CY78">
        <f t="shared" si="57"/>
        <v>55712.51</v>
      </c>
      <c r="CZ78">
        <f t="shared" si="58"/>
        <v>23204.260414999997</v>
      </c>
      <c r="DC78" t="s">
        <v>3</v>
      </c>
      <c r="DD78" t="s">
        <v>3</v>
      </c>
      <c r="DE78" t="s">
        <v>16</v>
      </c>
      <c r="DF78" t="s">
        <v>16</v>
      </c>
      <c r="DG78" t="s">
        <v>17</v>
      </c>
      <c r="DH78" t="s">
        <v>3</v>
      </c>
      <c r="DI78" t="s">
        <v>17</v>
      </c>
      <c r="DJ78" t="s">
        <v>16</v>
      </c>
      <c r="DK78" t="s">
        <v>3</v>
      </c>
      <c r="DL78" t="s">
        <v>3</v>
      </c>
      <c r="DM78" t="s">
        <v>55</v>
      </c>
      <c r="DN78">
        <v>0</v>
      </c>
      <c r="DO78">
        <v>0</v>
      </c>
      <c r="DP78">
        <v>1</v>
      </c>
      <c r="DQ78">
        <v>1</v>
      </c>
      <c r="DU78">
        <v>1005</v>
      </c>
      <c r="DV78" t="s">
        <v>23</v>
      </c>
      <c r="DW78" t="s">
        <v>23</v>
      </c>
      <c r="DX78">
        <v>100</v>
      </c>
      <c r="DZ78" t="s">
        <v>3</v>
      </c>
      <c r="EA78" t="s">
        <v>3</v>
      </c>
      <c r="EB78" t="s">
        <v>3</v>
      </c>
      <c r="EC78" t="s">
        <v>3</v>
      </c>
      <c r="EE78">
        <v>140625061</v>
      </c>
      <c r="EF78">
        <v>2</v>
      </c>
      <c r="EG78" t="s">
        <v>27</v>
      </c>
      <c r="EH78">
        <v>15</v>
      </c>
      <c r="EI78" t="s">
        <v>28</v>
      </c>
      <c r="EJ78">
        <v>1</v>
      </c>
      <c r="EK78">
        <v>15001</v>
      </c>
      <c r="EL78" t="s">
        <v>28</v>
      </c>
      <c r="EM78" t="s">
        <v>29</v>
      </c>
      <c r="EO78" t="s">
        <v>18</v>
      </c>
      <c r="EQ78">
        <v>0</v>
      </c>
      <c r="ER78">
        <v>3682.32</v>
      </c>
      <c r="ES78">
        <v>137.87</v>
      </c>
      <c r="ET78">
        <v>72.849999999999994</v>
      </c>
      <c r="EU78">
        <v>24.86</v>
      </c>
      <c r="EV78">
        <v>3471.6</v>
      </c>
      <c r="EW78">
        <v>378.17</v>
      </c>
      <c r="EX78">
        <v>2.29</v>
      </c>
      <c r="EY78">
        <v>0</v>
      </c>
      <c r="FQ78">
        <v>0</v>
      </c>
      <c r="FR78">
        <f t="shared" si="59"/>
        <v>0</v>
      </c>
      <c r="FS78">
        <v>0</v>
      </c>
      <c r="FX78">
        <v>100</v>
      </c>
      <c r="FY78">
        <v>41.65</v>
      </c>
      <c r="GA78" t="s">
        <v>3</v>
      </c>
      <c r="GD78">
        <v>1</v>
      </c>
      <c r="GF78">
        <v>-1376138594</v>
      </c>
      <c r="GG78">
        <v>2</v>
      </c>
      <c r="GH78">
        <v>1</v>
      </c>
      <c r="GI78">
        <v>4</v>
      </c>
      <c r="GJ78">
        <v>0</v>
      </c>
      <c r="GK78">
        <v>0</v>
      </c>
      <c r="GL78">
        <f t="shared" si="60"/>
        <v>0</v>
      </c>
      <c r="GM78">
        <f t="shared" si="61"/>
        <v>135152.62</v>
      </c>
      <c r="GN78">
        <f t="shared" si="62"/>
        <v>135152.62</v>
      </c>
      <c r="GO78">
        <f t="shared" si="63"/>
        <v>0</v>
      </c>
      <c r="GP78">
        <f t="shared" si="64"/>
        <v>0</v>
      </c>
      <c r="GR78">
        <v>0</v>
      </c>
      <c r="GS78">
        <v>3</v>
      </c>
      <c r="GT78">
        <v>0</v>
      </c>
      <c r="GU78" t="s">
        <v>3</v>
      </c>
      <c r="GV78">
        <f t="shared" si="65"/>
        <v>0</v>
      </c>
      <c r="GW78">
        <v>1</v>
      </c>
      <c r="GX78">
        <f t="shared" si="66"/>
        <v>0</v>
      </c>
      <c r="HA78">
        <v>0</v>
      </c>
      <c r="HB78">
        <v>0</v>
      </c>
      <c r="HC78">
        <f t="shared" si="67"/>
        <v>0</v>
      </c>
      <c r="HE78" t="s">
        <v>3</v>
      </c>
      <c r="HF78" t="s">
        <v>3</v>
      </c>
      <c r="HM78" t="s">
        <v>3</v>
      </c>
      <c r="HN78" t="s">
        <v>31</v>
      </c>
      <c r="HO78" t="s">
        <v>32</v>
      </c>
      <c r="HP78" t="s">
        <v>28</v>
      </c>
      <c r="HQ78" t="s">
        <v>28</v>
      </c>
      <c r="IK78">
        <v>0</v>
      </c>
    </row>
    <row r="79" spans="1:245" x14ac:dyDescent="0.2">
      <c r="A79">
        <v>17</v>
      </c>
      <c r="B79">
        <v>1</v>
      </c>
      <c r="E79" t="s">
        <v>184</v>
      </c>
      <c r="F79" t="s">
        <v>136</v>
      </c>
      <c r="G79" t="s">
        <v>185</v>
      </c>
      <c r="H79" t="s">
        <v>186</v>
      </c>
      <c r="I79">
        <f>ROUND(15.4*1.02,9)</f>
        <v>15.708</v>
      </c>
      <c r="J79">
        <v>0</v>
      </c>
      <c r="K79">
        <f>ROUND(15.4*1.02,9)</f>
        <v>15.708</v>
      </c>
      <c r="O79">
        <f t="shared" si="34"/>
        <v>20355.97</v>
      </c>
      <c r="P79">
        <f t="shared" si="35"/>
        <v>20355.97</v>
      </c>
      <c r="Q79">
        <f t="shared" si="36"/>
        <v>0</v>
      </c>
      <c r="R79">
        <f t="shared" si="37"/>
        <v>0</v>
      </c>
      <c r="S79">
        <f t="shared" si="38"/>
        <v>0</v>
      </c>
      <c r="T79">
        <f t="shared" si="39"/>
        <v>0</v>
      </c>
      <c r="U79">
        <f t="shared" si="40"/>
        <v>0</v>
      </c>
      <c r="V79">
        <f t="shared" si="41"/>
        <v>0</v>
      </c>
      <c r="W79">
        <f t="shared" si="42"/>
        <v>0</v>
      </c>
      <c r="X79">
        <f t="shared" si="43"/>
        <v>0</v>
      </c>
      <c r="Y79">
        <f t="shared" si="44"/>
        <v>0</v>
      </c>
      <c r="AA79">
        <v>143120906</v>
      </c>
      <c r="AB79">
        <f t="shared" si="45"/>
        <v>162.19</v>
      </c>
      <c r="AC79">
        <f t="shared" si="46"/>
        <v>162.19</v>
      </c>
      <c r="AD79">
        <f>ROUND((((ET79)-(EU79))+AE79),2)</f>
        <v>0</v>
      </c>
      <c r="AE79">
        <f t="shared" ref="AE79:AF82" si="70">ROUND((EU79),2)</f>
        <v>0</v>
      </c>
      <c r="AF79">
        <f t="shared" si="70"/>
        <v>0</v>
      </c>
      <c r="AG79">
        <f t="shared" si="47"/>
        <v>0</v>
      </c>
      <c r="AH79">
        <f t="shared" ref="AH79:AI82" si="71">(EW79)</f>
        <v>0</v>
      </c>
      <c r="AI79">
        <f t="shared" si="71"/>
        <v>0</v>
      </c>
      <c r="AJ79">
        <f t="shared" si="48"/>
        <v>0</v>
      </c>
      <c r="AK79">
        <v>162.19</v>
      </c>
      <c r="AL79">
        <v>162.19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7.99</v>
      </c>
      <c r="BD79" t="s">
        <v>3</v>
      </c>
      <c r="BE79" t="s">
        <v>3</v>
      </c>
      <c r="BF79" t="s">
        <v>3</v>
      </c>
      <c r="BG79" t="s">
        <v>3</v>
      </c>
      <c r="BH79">
        <v>3</v>
      </c>
      <c r="BI79">
        <v>1</v>
      </c>
      <c r="BJ79" t="s">
        <v>3</v>
      </c>
      <c r="BM79">
        <v>1100</v>
      </c>
      <c r="BN79">
        <v>0</v>
      </c>
      <c r="BO79" t="s">
        <v>3</v>
      </c>
      <c r="BP79">
        <v>0</v>
      </c>
      <c r="BQ79">
        <v>8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0</v>
      </c>
      <c r="CA79">
        <v>0</v>
      </c>
      <c r="CB79" t="s">
        <v>3</v>
      </c>
      <c r="CE79">
        <v>0</v>
      </c>
      <c r="CF79">
        <v>0</v>
      </c>
      <c r="CG79">
        <v>0</v>
      </c>
      <c r="CM79">
        <v>0</v>
      </c>
      <c r="CN79" t="s">
        <v>3</v>
      </c>
      <c r="CO79">
        <v>0</v>
      </c>
      <c r="CP79">
        <f t="shared" si="49"/>
        <v>20355.97</v>
      </c>
      <c r="CQ79">
        <f t="shared" si="50"/>
        <v>1295.8981000000001</v>
      </c>
      <c r="CR79">
        <f>(((ET79)*BB79-(EU79)*BS79)+AE79*BS79)</f>
        <v>0</v>
      </c>
      <c r="CS79">
        <f t="shared" si="51"/>
        <v>0</v>
      </c>
      <c r="CT79">
        <f t="shared" si="52"/>
        <v>0</v>
      </c>
      <c r="CU79">
        <f t="shared" si="53"/>
        <v>0</v>
      </c>
      <c r="CV79">
        <f t="shared" si="54"/>
        <v>0</v>
      </c>
      <c r="CW79">
        <f t="shared" si="55"/>
        <v>0</v>
      </c>
      <c r="CX79">
        <f t="shared" si="56"/>
        <v>0</v>
      </c>
      <c r="CY79">
        <f t="shared" si="57"/>
        <v>0</v>
      </c>
      <c r="CZ79">
        <f t="shared" si="58"/>
        <v>0</v>
      </c>
      <c r="DC79" t="s">
        <v>3</v>
      </c>
      <c r="DD79" t="s">
        <v>3</v>
      </c>
      <c r="DE79" t="s">
        <v>3</v>
      </c>
      <c r="DF79" t="s">
        <v>3</v>
      </c>
      <c r="DG79" t="s">
        <v>3</v>
      </c>
      <c r="DH79" t="s">
        <v>3</v>
      </c>
      <c r="DI79" t="s">
        <v>3</v>
      </c>
      <c r="DJ79" t="s">
        <v>3</v>
      </c>
      <c r="DK79" t="s">
        <v>3</v>
      </c>
      <c r="DL79" t="s">
        <v>3</v>
      </c>
      <c r="DM79" t="s">
        <v>3</v>
      </c>
      <c r="DN79">
        <v>0</v>
      </c>
      <c r="DO79">
        <v>0</v>
      </c>
      <c r="DP79">
        <v>1</v>
      </c>
      <c r="DQ79">
        <v>1</v>
      </c>
      <c r="DU79">
        <v>1005</v>
      </c>
      <c r="DV79" t="s">
        <v>186</v>
      </c>
      <c r="DW79" t="s">
        <v>186</v>
      </c>
      <c r="DX79">
        <v>1</v>
      </c>
      <c r="DZ79" t="s">
        <v>3</v>
      </c>
      <c r="EA79" t="s">
        <v>3</v>
      </c>
      <c r="EB79" t="s">
        <v>3</v>
      </c>
      <c r="EC79" t="s">
        <v>3</v>
      </c>
      <c r="EE79">
        <v>140625274</v>
      </c>
      <c r="EF79">
        <v>8</v>
      </c>
      <c r="EG79" t="s">
        <v>139</v>
      </c>
      <c r="EH79">
        <v>0</v>
      </c>
      <c r="EI79" t="s">
        <v>3</v>
      </c>
      <c r="EJ79">
        <v>1</v>
      </c>
      <c r="EK79">
        <v>1100</v>
      </c>
      <c r="EL79" t="s">
        <v>140</v>
      </c>
      <c r="EM79" t="s">
        <v>141</v>
      </c>
      <c r="EO79" t="s">
        <v>3</v>
      </c>
      <c r="EQ79">
        <v>0</v>
      </c>
      <c r="ER79">
        <v>162.19</v>
      </c>
      <c r="ES79">
        <v>162.19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5</v>
      </c>
      <c r="FC79">
        <v>1</v>
      </c>
      <c r="FD79">
        <v>18</v>
      </c>
      <c r="FF79">
        <v>1452</v>
      </c>
      <c r="FQ79">
        <v>0</v>
      </c>
      <c r="FR79">
        <f t="shared" si="59"/>
        <v>0</v>
      </c>
      <c r="FS79">
        <v>0</v>
      </c>
      <c r="FX79">
        <v>0</v>
      </c>
      <c r="FY79">
        <v>0</v>
      </c>
      <c r="GA79" t="s">
        <v>187</v>
      </c>
      <c r="GD79">
        <v>1</v>
      </c>
      <c r="GF79">
        <v>112541050</v>
      </c>
      <c r="GG79">
        <v>2</v>
      </c>
      <c r="GH79">
        <v>3</v>
      </c>
      <c r="GI79">
        <v>4</v>
      </c>
      <c r="GJ79">
        <v>0</v>
      </c>
      <c r="GK79">
        <v>0</v>
      </c>
      <c r="GL79">
        <f t="shared" si="60"/>
        <v>0</v>
      </c>
      <c r="GM79">
        <f t="shared" si="61"/>
        <v>20355.97</v>
      </c>
      <c r="GN79">
        <f t="shared" si="62"/>
        <v>20355.97</v>
      </c>
      <c r="GO79">
        <f t="shared" si="63"/>
        <v>0</v>
      </c>
      <c r="GP79">
        <f t="shared" si="64"/>
        <v>0</v>
      </c>
      <c r="GR79">
        <v>1</v>
      </c>
      <c r="GS79">
        <v>1</v>
      </c>
      <c r="GT79">
        <v>0</v>
      </c>
      <c r="GU79" t="s">
        <v>3</v>
      </c>
      <c r="GV79">
        <f t="shared" si="65"/>
        <v>0</v>
      </c>
      <c r="GW79">
        <v>1</v>
      </c>
      <c r="GX79">
        <f t="shared" si="66"/>
        <v>0</v>
      </c>
      <c r="HA79">
        <v>0</v>
      </c>
      <c r="HB79">
        <v>0</v>
      </c>
      <c r="HC79">
        <f t="shared" si="67"/>
        <v>0</v>
      </c>
      <c r="HE79" t="s">
        <v>61</v>
      </c>
      <c r="HF79" t="s">
        <v>33</v>
      </c>
      <c r="HM79" t="s">
        <v>3</v>
      </c>
      <c r="HN79" t="s">
        <v>3</v>
      </c>
      <c r="HO79" t="s">
        <v>3</v>
      </c>
      <c r="HP79" t="s">
        <v>3</v>
      </c>
      <c r="HQ79" t="s">
        <v>3</v>
      </c>
      <c r="IK79">
        <v>0</v>
      </c>
    </row>
    <row r="80" spans="1:245" x14ac:dyDescent="0.2">
      <c r="A80">
        <v>17</v>
      </c>
      <c r="B80">
        <v>1</v>
      </c>
      <c r="E80" t="s">
        <v>188</v>
      </c>
      <c r="F80" t="s">
        <v>136</v>
      </c>
      <c r="G80" t="s">
        <v>189</v>
      </c>
      <c r="H80" t="s">
        <v>186</v>
      </c>
      <c r="I80">
        <f>ROUND(17.3*1.02,9)</f>
        <v>17.646000000000001</v>
      </c>
      <c r="J80">
        <v>0</v>
      </c>
      <c r="K80">
        <f>ROUND(17.3*1.02,9)</f>
        <v>17.646000000000001</v>
      </c>
      <c r="O80">
        <f t="shared" si="34"/>
        <v>22867.42</v>
      </c>
      <c r="P80">
        <f t="shared" si="35"/>
        <v>22867.42</v>
      </c>
      <c r="Q80">
        <f t="shared" si="36"/>
        <v>0</v>
      </c>
      <c r="R80">
        <f t="shared" si="37"/>
        <v>0</v>
      </c>
      <c r="S80">
        <f t="shared" si="38"/>
        <v>0</v>
      </c>
      <c r="T80">
        <f t="shared" si="39"/>
        <v>0</v>
      </c>
      <c r="U80">
        <f t="shared" si="40"/>
        <v>0</v>
      </c>
      <c r="V80">
        <f t="shared" si="41"/>
        <v>0</v>
      </c>
      <c r="W80">
        <f t="shared" si="42"/>
        <v>0</v>
      </c>
      <c r="X80">
        <f t="shared" si="43"/>
        <v>0</v>
      </c>
      <c r="Y80">
        <f t="shared" si="44"/>
        <v>0</v>
      </c>
      <c r="AA80">
        <v>143120906</v>
      </c>
      <c r="AB80">
        <f t="shared" si="45"/>
        <v>162.19</v>
      </c>
      <c r="AC80">
        <f t="shared" si="46"/>
        <v>162.19</v>
      </c>
      <c r="AD80">
        <f>ROUND((((ET80)-(EU80))+AE80),2)</f>
        <v>0</v>
      </c>
      <c r="AE80">
        <f t="shared" si="70"/>
        <v>0</v>
      </c>
      <c r="AF80">
        <f t="shared" si="70"/>
        <v>0</v>
      </c>
      <c r="AG80">
        <f t="shared" si="47"/>
        <v>0</v>
      </c>
      <c r="AH80">
        <f t="shared" si="71"/>
        <v>0</v>
      </c>
      <c r="AI80">
        <f t="shared" si="71"/>
        <v>0</v>
      </c>
      <c r="AJ80">
        <f t="shared" si="48"/>
        <v>0</v>
      </c>
      <c r="AK80">
        <v>162.19</v>
      </c>
      <c r="AL80">
        <v>162.19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1</v>
      </c>
      <c r="AW80">
        <v>1</v>
      </c>
      <c r="AZ80">
        <v>1</v>
      </c>
      <c r="BA80">
        <v>1</v>
      </c>
      <c r="BB80">
        <v>1</v>
      </c>
      <c r="BC80">
        <v>7.99</v>
      </c>
      <c r="BD80" t="s">
        <v>3</v>
      </c>
      <c r="BE80" t="s">
        <v>3</v>
      </c>
      <c r="BF80" t="s">
        <v>3</v>
      </c>
      <c r="BG80" t="s">
        <v>3</v>
      </c>
      <c r="BH80">
        <v>3</v>
      </c>
      <c r="BI80">
        <v>1</v>
      </c>
      <c r="BJ80" t="s">
        <v>3</v>
      </c>
      <c r="BM80">
        <v>1100</v>
      </c>
      <c r="BN80">
        <v>0</v>
      </c>
      <c r="BO80" t="s">
        <v>3</v>
      </c>
      <c r="BP80">
        <v>0</v>
      </c>
      <c r="BQ80">
        <v>8</v>
      </c>
      <c r="BR80">
        <v>0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Y80" t="s">
        <v>3</v>
      </c>
      <c r="BZ80">
        <v>0</v>
      </c>
      <c r="CA80">
        <v>0</v>
      </c>
      <c r="CB80" t="s">
        <v>3</v>
      </c>
      <c r="CE80">
        <v>0</v>
      </c>
      <c r="CF80">
        <v>0</v>
      </c>
      <c r="CG80">
        <v>0</v>
      </c>
      <c r="CM80">
        <v>0</v>
      </c>
      <c r="CN80" t="s">
        <v>3</v>
      </c>
      <c r="CO80">
        <v>0</v>
      </c>
      <c r="CP80">
        <f t="shared" si="49"/>
        <v>22867.42</v>
      </c>
      <c r="CQ80">
        <f t="shared" si="50"/>
        <v>1295.8981000000001</v>
      </c>
      <c r="CR80">
        <f>(((ET80)*BB80-(EU80)*BS80)+AE80*BS80)</f>
        <v>0</v>
      </c>
      <c r="CS80">
        <f t="shared" si="51"/>
        <v>0</v>
      </c>
      <c r="CT80">
        <f t="shared" si="52"/>
        <v>0</v>
      </c>
      <c r="CU80">
        <f t="shared" si="53"/>
        <v>0</v>
      </c>
      <c r="CV80">
        <f t="shared" si="54"/>
        <v>0</v>
      </c>
      <c r="CW80">
        <f t="shared" si="55"/>
        <v>0</v>
      </c>
      <c r="CX80">
        <f t="shared" si="56"/>
        <v>0</v>
      </c>
      <c r="CY80">
        <f t="shared" si="57"/>
        <v>0</v>
      </c>
      <c r="CZ80">
        <f t="shared" si="58"/>
        <v>0</v>
      </c>
      <c r="DC80" t="s">
        <v>3</v>
      </c>
      <c r="DD80" t="s">
        <v>3</v>
      </c>
      <c r="DE80" t="s">
        <v>3</v>
      </c>
      <c r="DF80" t="s">
        <v>3</v>
      </c>
      <c r="DG80" t="s">
        <v>3</v>
      </c>
      <c r="DH80" t="s">
        <v>3</v>
      </c>
      <c r="DI80" t="s">
        <v>3</v>
      </c>
      <c r="DJ80" t="s">
        <v>3</v>
      </c>
      <c r="DK80" t="s">
        <v>3</v>
      </c>
      <c r="DL80" t="s">
        <v>3</v>
      </c>
      <c r="DM80" t="s">
        <v>3</v>
      </c>
      <c r="DN80">
        <v>0</v>
      </c>
      <c r="DO80">
        <v>0</v>
      </c>
      <c r="DP80">
        <v>1</v>
      </c>
      <c r="DQ80">
        <v>1</v>
      </c>
      <c r="DU80">
        <v>1005</v>
      </c>
      <c r="DV80" t="s">
        <v>186</v>
      </c>
      <c r="DW80" t="s">
        <v>186</v>
      </c>
      <c r="DX80">
        <v>1</v>
      </c>
      <c r="DZ80" t="s">
        <v>3</v>
      </c>
      <c r="EA80" t="s">
        <v>3</v>
      </c>
      <c r="EB80" t="s">
        <v>3</v>
      </c>
      <c r="EC80" t="s">
        <v>3</v>
      </c>
      <c r="EE80">
        <v>140625274</v>
      </c>
      <c r="EF80">
        <v>8</v>
      </c>
      <c r="EG80" t="s">
        <v>139</v>
      </c>
      <c r="EH80">
        <v>0</v>
      </c>
      <c r="EI80" t="s">
        <v>3</v>
      </c>
      <c r="EJ80">
        <v>1</v>
      </c>
      <c r="EK80">
        <v>1100</v>
      </c>
      <c r="EL80" t="s">
        <v>140</v>
      </c>
      <c r="EM80" t="s">
        <v>141</v>
      </c>
      <c r="EO80" t="s">
        <v>3</v>
      </c>
      <c r="EQ80">
        <v>0</v>
      </c>
      <c r="ER80">
        <v>162.19</v>
      </c>
      <c r="ES80">
        <v>162.19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5</v>
      </c>
      <c r="FC80">
        <v>1</v>
      </c>
      <c r="FD80">
        <v>18</v>
      </c>
      <c r="FF80">
        <v>1452</v>
      </c>
      <c r="FQ80">
        <v>0</v>
      </c>
      <c r="FR80">
        <f t="shared" si="59"/>
        <v>0</v>
      </c>
      <c r="FS80">
        <v>0</v>
      </c>
      <c r="FX80">
        <v>0</v>
      </c>
      <c r="FY80">
        <v>0</v>
      </c>
      <c r="GA80" t="s">
        <v>187</v>
      </c>
      <c r="GD80">
        <v>1</v>
      </c>
      <c r="GF80">
        <v>-2126071064</v>
      </c>
      <c r="GG80">
        <v>2</v>
      </c>
      <c r="GH80">
        <v>3</v>
      </c>
      <c r="GI80">
        <v>4</v>
      </c>
      <c r="GJ80">
        <v>0</v>
      </c>
      <c r="GK80">
        <v>0</v>
      </c>
      <c r="GL80">
        <f t="shared" si="60"/>
        <v>0</v>
      </c>
      <c r="GM80">
        <f t="shared" si="61"/>
        <v>22867.42</v>
      </c>
      <c r="GN80">
        <f t="shared" si="62"/>
        <v>22867.42</v>
      </c>
      <c r="GO80">
        <f t="shared" si="63"/>
        <v>0</v>
      </c>
      <c r="GP80">
        <f t="shared" si="64"/>
        <v>0</v>
      </c>
      <c r="GR80">
        <v>1</v>
      </c>
      <c r="GS80">
        <v>1</v>
      </c>
      <c r="GT80">
        <v>0</v>
      </c>
      <c r="GU80" t="s">
        <v>3</v>
      </c>
      <c r="GV80">
        <f t="shared" si="65"/>
        <v>0</v>
      </c>
      <c r="GW80">
        <v>1</v>
      </c>
      <c r="GX80">
        <f t="shared" si="66"/>
        <v>0</v>
      </c>
      <c r="HA80">
        <v>0</v>
      </c>
      <c r="HB80">
        <v>0</v>
      </c>
      <c r="HC80">
        <f t="shared" si="67"/>
        <v>0</v>
      </c>
      <c r="HE80" t="s">
        <v>61</v>
      </c>
      <c r="HF80" t="s">
        <v>33</v>
      </c>
      <c r="HM80" t="s">
        <v>3</v>
      </c>
      <c r="HN80" t="s">
        <v>3</v>
      </c>
      <c r="HO80" t="s">
        <v>3</v>
      </c>
      <c r="HP80" t="s">
        <v>3</v>
      </c>
      <c r="HQ80" t="s">
        <v>3</v>
      </c>
      <c r="IK80">
        <v>0</v>
      </c>
    </row>
    <row r="81" spans="1:245" x14ac:dyDescent="0.2">
      <c r="A81">
        <v>17</v>
      </c>
      <c r="B81">
        <v>1</v>
      </c>
      <c r="E81" t="s">
        <v>190</v>
      </c>
      <c r="F81" t="s">
        <v>136</v>
      </c>
      <c r="G81" t="s">
        <v>191</v>
      </c>
      <c r="H81" t="s">
        <v>186</v>
      </c>
      <c r="I81">
        <f>ROUND(8.6*1.02,9)</f>
        <v>8.7720000000000002</v>
      </c>
      <c r="J81">
        <v>0</v>
      </c>
      <c r="K81">
        <f>ROUND(8.6*1.02,9)</f>
        <v>8.7720000000000002</v>
      </c>
      <c r="O81">
        <f t="shared" si="34"/>
        <v>18441.63</v>
      </c>
      <c r="P81">
        <f t="shared" si="35"/>
        <v>18441.63</v>
      </c>
      <c r="Q81">
        <f t="shared" si="36"/>
        <v>0</v>
      </c>
      <c r="R81">
        <f t="shared" si="37"/>
        <v>0</v>
      </c>
      <c r="S81">
        <f t="shared" si="38"/>
        <v>0</v>
      </c>
      <c r="T81">
        <f t="shared" si="39"/>
        <v>0</v>
      </c>
      <c r="U81">
        <f t="shared" si="40"/>
        <v>0</v>
      </c>
      <c r="V81">
        <f t="shared" si="41"/>
        <v>0</v>
      </c>
      <c r="W81">
        <f t="shared" si="42"/>
        <v>0</v>
      </c>
      <c r="X81">
        <f t="shared" si="43"/>
        <v>0</v>
      </c>
      <c r="Y81">
        <f t="shared" si="44"/>
        <v>0</v>
      </c>
      <c r="AA81">
        <v>143120906</v>
      </c>
      <c r="AB81">
        <f t="shared" si="45"/>
        <v>263.12</v>
      </c>
      <c r="AC81">
        <f t="shared" si="46"/>
        <v>263.12</v>
      </c>
      <c r="AD81">
        <f>ROUND((((ET81)-(EU81))+AE81),2)</f>
        <v>0</v>
      </c>
      <c r="AE81">
        <f t="shared" si="70"/>
        <v>0</v>
      </c>
      <c r="AF81">
        <f t="shared" si="70"/>
        <v>0</v>
      </c>
      <c r="AG81">
        <f t="shared" si="47"/>
        <v>0</v>
      </c>
      <c r="AH81">
        <f t="shared" si="71"/>
        <v>0</v>
      </c>
      <c r="AI81">
        <f t="shared" si="71"/>
        <v>0</v>
      </c>
      <c r="AJ81">
        <f t="shared" si="48"/>
        <v>0</v>
      </c>
      <c r="AK81">
        <v>263.12</v>
      </c>
      <c r="AL81">
        <v>263.12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v>7.99</v>
      </c>
      <c r="BD81" t="s">
        <v>3</v>
      </c>
      <c r="BE81" t="s">
        <v>3</v>
      </c>
      <c r="BF81" t="s">
        <v>3</v>
      </c>
      <c r="BG81" t="s">
        <v>3</v>
      </c>
      <c r="BH81">
        <v>3</v>
      </c>
      <c r="BI81">
        <v>1</v>
      </c>
      <c r="BJ81" t="s">
        <v>3</v>
      </c>
      <c r="BM81">
        <v>1100</v>
      </c>
      <c r="BN81">
        <v>0</v>
      </c>
      <c r="BO81" t="s">
        <v>3</v>
      </c>
      <c r="BP81">
        <v>0</v>
      </c>
      <c r="BQ81">
        <v>8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3</v>
      </c>
      <c r="BZ81">
        <v>0</v>
      </c>
      <c r="CA81">
        <v>0</v>
      </c>
      <c r="CB81" t="s">
        <v>3</v>
      </c>
      <c r="CE81">
        <v>0</v>
      </c>
      <c r="CF81">
        <v>0</v>
      </c>
      <c r="CG81">
        <v>0</v>
      </c>
      <c r="CM81">
        <v>0</v>
      </c>
      <c r="CN81" t="s">
        <v>3</v>
      </c>
      <c r="CO81">
        <v>0</v>
      </c>
      <c r="CP81">
        <f t="shared" si="49"/>
        <v>18441.63</v>
      </c>
      <c r="CQ81">
        <f t="shared" si="50"/>
        <v>2102.3288000000002</v>
      </c>
      <c r="CR81">
        <f>(((ET81)*BB81-(EU81)*BS81)+AE81*BS81)</f>
        <v>0</v>
      </c>
      <c r="CS81">
        <f t="shared" si="51"/>
        <v>0</v>
      </c>
      <c r="CT81">
        <f t="shared" si="52"/>
        <v>0</v>
      </c>
      <c r="CU81">
        <f t="shared" si="53"/>
        <v>0</v>
      </c>
      <c r="CV81">
        <f t="shared" si="54"/>
        <v>0</v>
      </c>
      <c r="CW81">
        <f t="shared" si="55"/>
        <v>0</v>
      </c>
      <c r="CX81">
        <f t="shared" si="56"/>
        <v>0</v>
      </c>
      <c r="CY81">
        <f t="shared" si="57"/>
        <v>0</v>
      </c>
      <c r="CZ81">
        <f t="shared" si="58"/>
        <v>0</v>
      </c>
      <c r="DC81" t="s">
        <v>3</v>
      </c>
      <c r="DD81" t="s">
        <v>3</v>
      </c>
      <c r="DE81" t="s">
        <v>3</v>
      </c>
      <c r="DF81" t="s">
        <v>3</v>
      </c>
      <c r="DG81" t="s">
        <v>3</v>
      </c>
      <c r="DH81" t="s">
        <v>3</v>
      </c>
      <c r="DI81" t="s">
        <v>3</v>
      </c>
      <c r="DJ81" t="s">
        <v>3</v>
      </c>
      <c r="DK81" t="s">
        <v>3</v>
      </c>
      <c r="DL81" t="s">
        <v>3</v>
      </c>
      <c r="DM81" t="s">
        <v>3</v>
      </c>
      <c r="DN81">
        <v>0</v>
      </c>
      <c r="DO81">
        <v>0</v>
      </c>
      <c r="DP81">
        <v>1</v>
      </c>
      <c r="DQ81">
        <v>1</v>
      </c>
      <c r="DU81">
        <v>1005</v>
      </c>
      <c r="DV81" t="s">
        <v>186</v>
      </c>
      <c r="DW81" t="s">
        <v>186</v>
      </c>
      <c r="DX81">
        <v>1</v>
      </c>
      <c r="DZ81" t="s">
        <v>3</v>
      </c>
      <c r="EA81" t="s">
        <v>3</v>
      </c>
      <c r="EB81" t="s">
        <v>3</v>
      </c>
      <c r="EC81" t="s">
        <v>3</v>
      </c>
      <c r="EE81">
        <v>140625274</v>
      </c>
      <c r="EF81">
        <v>8</v>
      </c>
      <c r="EG81" t="s">
        <v>139</v>
      </c>
      <c r="EH81">
        <v>0</v>
      </c>
      <c r="EI81" t="s">
        <v>3</v>
      </c>
      <c r="EJ81">
        <v>1</v>
      </c>
      <c r="EK81">
        <v>1100</v>
      </c>
      <c r="EL81" t="s">
        <v>140</v>
      </c>
      <c r="EM81" t="s">
        <v>141</v>
      </c>
      <c r="EO81" t="s">
        <v>3</v>
      </c>
      <c r="EQ81">
        <v>0</v>
      </c>
      <c r="ER81">
        <v>263.12</v>
      </c>
      <c r="ES81">
        <v>263.12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5</v>
      </c>
      <c r="FC81">
        <v>1</v>
      </c>
      <c r="FD81">
        <v>18</v>
      </c>
      <c r="FF81">
        <v>2355.6</v>
      </c>
      <c r="FQ81">
        <v>0</v>
      </c>
      <c r="FR81">
        <f t="shared" si="59"/>
        <v>0</v>
      </c>
      <c r="FS81">
        <v>0</v>
      </c>
      <c r="FX81">
        <v>0</v>
      </c>
      <c r="FY81">
        <v>0</v>
      </c>
      <c r="GA81" t="s">
        <v>192</v>
      </c>
      <c r="GD81">
        <v>1</v>
      </c>
      <c r="GF81">
        <v>340339124</v>
      </c>
      <c r="GG81">
        <v>2</v>
      </c>
      <c r="GH81">
        <v>3</v>
      </c>
      <c r="GI81">
        <v>4</v>
      </c>
      <c r="GJ81">
        <v>0</v>
      </c>
      <c r="GK81">
        <v>0</v>
      </c>
      <c r="GL81">
        <f t="shared" si="60"/>
        <v>0</v>
      </c>
      <c r="GM81">
        <f t="shared" si="61"/>
        <v>18441.63</v>
      </c>
      <c r="GN81">
        <f t="shared" si="62"/>
        <v>18441.63</v>
      </c>
      <c r="GO81">
        <f t="shared" si="63"/>
        <v>0</v>
      </c>
      <c r="GP81">
        <f t="shared" si="64"/>
        <v>0</v>
      </c>
      <c r="GR81">
        <v>1</v>
      </c>
      <c r="GS81">
        <v>1</v>
      </c>
      <c r="GT81">
        <v>0</v>
      </c>
      <c r="GU81" t="s">
        <v>3</v>
      </c>
      <c r="GV81">
        <f t="shared" si="65"/>
        <v>0</v>
      </c>
      <c r="GW81">
        <v>1</v>
      </c>
      <c r="GX81">
        <f t="shared" si="66"/>
        <v>0</v>
      </c>
      <c r="HA81">
        <v>0</v>
      </c>
      <c r="HB81">
        <v>0</v>
      </c>
      <c r="HC81">
        <f t="shared" si="67"/>
        <v>0</v>
      </c>
      <c r="HE81" t="s">
        <v>61</v>
      </c>
      <c r="HF81" t="s">
        <v>33</v>
      </c>
      <c r="HM81" t="s">
        <v>3</v>
      </c>
      <c r="HN81" t="s">
        <v>3</v>
      </c>
      <c r="HO81" t="s">
        <v>3</v>
      </c>
      <c r="HP81" t="s">
        <v>3</v>
      </c>
      <c r="HQ81" t="s">
        <v>3</v>
      </c>
      <c r="IK81">
        <v>0</v>
      </c>
    </row>
    <row r="82" spans="1:245" x14ac:dyDescent="0.2">
      <c r="A82">
        <v>17</v>
      </c>
      <c r="B82">
        <v>1</v>
      </c>
      <c r="E82" t="s">
        <v>193</v>
      </c>
      <c r="F82" t="s">
        <v>136</v>
      </c>
      <c r="G82" t="s">
        <v>194</v>
      </c>
      <c r="H82" t="s">
        <v>177</v>
      </c>
      <c r="I82">
        <v>495.6</v>
      </c>
      <c r="J82">
        <v>0</v>
      </c>
      <c r="K82">
        <v>495.6</v>
      </c>
      <c r="O82">
        <f t="shared" si="34"/>
        <v>20116.009999999998</v>
      </c>
      <c r="P82">
        <f t="shared" si="35"/>
        <v>20116.009999999998</v>
      </c>
      <c r="Q82">
        <f t="shared" si="36"/>
        <v>0</v>
      </c>
      <c r="R82">
        <f t="shared" si="37"/>
        <v>0</v>
      </c>
      <c r="S82">
        <f t="shared" si="38"/>
        <v>0</v>
      </c>
      <c r="T82">
        <f t="shared" si="39"/>
        <v>0</v>
      </c>
      <c r="U82">
        <f t="shared" si="40"/>
        <v>0</v>
      </c>
      <c r="V82">
        <f t="shared" si="41"/>
        <v>0</v>
      </c>
      <c r="W82">
        <f t="shared" si="42"/>
        <v>0</v>
      </c>
      <c r="X82">
        <f t="shared" si="43"/>
        <v>0</v>
      </c>
      <c r="Y82">
        <f t="shared" si="44"/>
        <v>0</v>
      </c>
      <c r="AA82">
        <v>143120906</v>
      </c>
      <c r="AB82">
        <f t="shared" si="45"/>
        <v>5.08</v>
      </c>
      <c r="AC82">
        <f t="shared" si="46"/>
        <v>5.08</v>
      </c>
      <c r="AD82">
        <f>ROUND((((ET82)-(EU82))+AE82),2)</f>
        <v>0</v>
      </c>
      <c r="AE82">
        <f t="shared" si="70"/>
        <v>0</v>
      </c>
      <c r="AF82">
        <f t="shared" si="70"/>
        <v>0</v>
      </c>
      <c r="AG82">
        <f t="shared" si="47"/>
        <v>0</v>
      </c>
      <c r="AH82">
        <f t="shared" si="71"/>
        <v>0</v>
      </c>
      <c r="AI82">
        <f t="shared" si="71"/>
        <v>0</v>
      </c>
      <c r="AJ82">
        <f t="shared" si="48"/>
        <v>0</v>
      </c>
      <c r="AK82">
        <v>5.08</v>
      </c>
      <c r="AL82">
        <v>5.08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1</v>
      </c>
      <c r="AW82">
        <v>1</v>
      </c>
      <c r="AZ82">
        <v>1</v>
      </c>
      <c r="BA82">
        <v>1</v>
      </c>
      <c r="BB82">
        <v>1</v>
      </c>
      <c r="BC82">
        <v>7.99</v>
      </c>
      <c r="BD82" t="s">
        <v>3</v>
      </c>
      <c r="BE82" t="s">
        <v>3</v>
      </c>
      <c r="BF82" t="s">
        <v>3</v>
      </c>
      <c r="BG82" t="s">
        <v>3</v>
      </c>
      <c r="BH82">
        <v>3</v>
      </c>
      <c r="BI82">
        <v>1</v>
      </c>
      <c r="BJ82" t="s">
        <v>3</v>
      </c>
      <c r="BM82">
        <v>1100</v>
      </c>
      <c r="BN82">
        <v>0</v>
      </c>
      <c r="BO82" t="s">
        <v>3</v>
      </c>
      <c r="BP82">
        <v>0</v>
      </c>
      <c r="BQ82">
        <v>8</v>
      </c>
      <c r="BR82">
        <v>0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Y82" t="s">
        <v>3</v>
      </c>
      <c r="BZ82">
        <v>0</v>
      </c>
      <c r="CA82">
        <v>0</v>
      </c>
      <c r="CB82" t="s">
        <v>3</v>
      </c>
      <c r="CE82">
        <v>0</v>
      </c>
      <c r="CF82">
        <v>0</v>
      </c>
      <c r="CG82">
        <v>0</v>
      </c>
      <c r="CM82">
        <v>0</v>
      </c>
      <c r="CN82" t="s">
        <v>3</v>
      </c>
      <c r="CO82">
        <v>0</v>
      </c>
      <c r="CP82">
        <f t="shared" si="49"/>
        <v>20116.009999999998</v>
      </c>
      <c r="CQ82">
        <f t="shared" si="50"/>
        <v>40.589199999999998</v>
      </c>
      <c r="CR82">
        <f>(((ET82)*BB82-(EU82)*BS82)+AE82*BS82)</f>
        <v>0</v>
      </c>
      <c r="CS82">
        <f t="shared" si="51"/>
        <v>0</v>
      </c>
      <c r="CT82">
        <f t="shared" si="52"/>
        <v>0</v>
      </c>
      <c r="CU82">
        <f t="shared" si="53"/>
        <v>0</v>
      </c>
      <c r="CV82">
        <f t="shared" si="54"/>
        <v>0</v>
      </c>
      <c r="CW82">
        <f t="shared" si="55"/>
        <v>0</v>
      </c>
      <c r="CX82">
        <f t="shared" si="56"/>
        <v>0</v>
      </c>
      <c r="CY82">
        <f t="shared" si="57"/>
        <v>0</v>
      </c>
      <c r="CZ82">
        <f t="shared" si="58"/>
        <v>0</v>
      </c>
      <c r="DC82" t="s">
        <v>3</v>
      </c>
      <c r="DD82" t="s">
        <v>3</v>
      </c>
      <c r="DE82" t="s">
        <v>3</v>
      </c>
      <c r="DF82" t="s">
        <v>3</v>
      </c>
      <c r="DG82" t="s">
        <v>3</v>
      </c>
      <c r="DH82" t="s">
        <v>3</v>
      </c>
      <c r="DI82" t="s">
        <v>3</v>
      </c>
      <c r="DJ82" t="s">
        <v>3</v>
      </c>
      <c r="DK82" t="s">
        <v>3</v>
      </c>
      <c r="DL82" t="s">
        <v>3</v>
      </c>
      <c r="DM82" t="s">
        <v>3</v>
      </c>
      <c r="DN82">
        <v>0</v>
      </c>
      <c r="DO82">
        <v>0</v>
      </c>
      <c r="DP82">
        <v>1</v>
      </c>
      <c r="DQ82">
        <v>1</v>
      </c>
      <c r="DU82">
        <v>1009</v>
      </c>
      <c r="DV82" t="s">
        <v>177</v>
      </c>
      <c r="DW82" t="s">
        <v>177</v>
      </c>
      <c r="DX82">
        <v>1</v>
      </c>
      <c r="DZ82" t="s">
        <v>3</v>
      </c>
      <c r="EA82" t="s">
        <v>3</v>
      </c>
      <c r="EB82" t="s">
        <v>3</v>
      </c>
      <c r="EC82" t="s">
        <v>3</v>
      </c>
      <c r="EE82">
        <v>140625274</v>
      </c>
      <c r="EF82">
        <v>8</v>
      </c>
      <c r="EG82" t="s">
        <v>139</v>
      </c>
      <c r="EH82">
        <v>0</v>
      </c>
      <c r="EI82" t="s">
        <v>3</v>
      </c>
      <c r="EJ82">
        <v>1</v>
      </c>
      <c r="EK82">
        <v>1100</v>
      </c>
      <c r="EL82" t="s">
        <v>140</v>
      </c>
      <c r="EM82" t="s">
        <v>141</v>
      </c>
      <c r="EO82" t="s">
        <v>3</v>
      </c>
      <c r="EQ82">
        <v>0</v>
      </c>
      <c r="ER82">
        <v>5.08</v>
      </c>
      <c r="ES82">
        <v>5.08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5</v>
      </c>
      <c r="FC82">
        <v>1</v>
      </c>
      <c r="FD82">
        <v>18</v>
      </c>
      <c r="FF82">
        <v>45.4</v>
      </c>
      <c r="FQ82">
        <v>0</v>
      </c>
      <c r="FR82">
        <f t="shared" si="59"/>
        <v>0</v>
      </c>
      <c r="FS82">
        <v>0</v>
      </c>
      <c r="FX82">
        <v>0</v>
      </c>
      <c r="FY82">
        <v>0</v>
      </c>
      <c r="GA82" t="s">
        <v>195</v>
      </c>
      <c r="GD82">
        <v>1</v>
      </c>
      <c r="GF82">
        <v>317741472</v>
      </c>
      <c r="GG82">
        <v>2</v>
      </c>
      <c r="GH82">
        <v>3</v>
      </c>
      <c r="GI82">
        <v>4</v>
      </c>
      <c r="GJ82">
        <v>0</v>
      </c>
      <c r="GK82">
        <v>0</v>
      </c>
      <c r="GL82">
        <f t="shared" si="60"/>
        <v>0</v>
      </c>
      <c r="GM82">
        <f t="shared" si="61"/>
        <v>20116.009999999998</v>
      </c>
      <c r="GN82">
        <f t="shared" si="62"/>
        <v>20116.009999999998</v>
      </c>
      <c r="GO82">
        <f t="shared" si="63"/>
        <v>0</v>
      </c>
      <c r="GP82">
        <f t="shared" si="64"/>
        <v>0</v>
      </c>
      <c r="GR82">
        <v>1</v>
      </c>
      <c r="GS82">
        <v>1</v>
      </c>
      <c r="GT82">
        <v>0</v>
      </c>
      <c r="GU82" t="s">
        <v>3</v>
      </c>
      <c r="GV82">
        <f t="shared" si="65"/>
        <v>0</v>
      </c>
      <c r="GW82">
        <v>1</v>
      </c>
      <c r="GX82">
        <f t="shared" si="66"/>
        <v>0</v>
      </c>
      <c r="HA82">
        <v>0</v>
      </c>
      <c r="HB82">
        <v>0</v>
      </c>
      <c r="HC82">
        <f t="shared" si="67"/>
        <v>0</v>
      </c>
      <c r="HE82" t="s">
        <v>61</v>
      </c>
      <c r="HF82" t="s">
        <v>33</v>
      </c>
      <c r="HM82" t="s">
        <v>3</v>
      </c>
      <c r="HN82" t="s">
        <v>3</v>
      </c>
      <c r="HO82" t="s">
        <v>3</v>
      </c>
      <c r="HP82" t="s">
        <v>3</v>
      </c>
      <c r="HQ82" t="s">
        <v>3</v>
      </c>
      <c r="IK82">
        <v>0</v>
      </c>
    </row>
    <row r="83" spans="1:245" x14ac:dyDescent="0.2">
      <c r="A83">
        <v>17</v>
      </c>
      <c r="B83">
        <v>1</v>
      </c>
      <c r="C83">
        <f>ROW(SmtRes!A71)</f>
        <v>71</v>
      </c>
      <c r="D83">
        <f>ROW(EtalonRes!A89)</f>
        <v>89</v>
      </c>
      <c r="E83" t="s">
        <v>196</v>
      </c>
      <c r="F83" t="s">
        <v>197</v>
      </c>
      <c r="G83" t="s">
        <v>198</v>
      </c>
      <c r="H83" t="s">
        <v>199</v>
      </c>
      <c r="I83">
        <f>ROUND(0.005*3,9)</f>
        <v>1.4999999999999999E-2</v>
      </c>
      <c r="J83">
        <v>0</v>
      </c>
      <c r="K83">
        <f>ROUND(0.005*3,9)</f>
        <v>1.4999999999999999E-2</v>
      </c>
      <c r="O83">
        <f t="shared" si="34"/>
        <v>350.97</v>
      </c>
      <c r="P83">
        <f t="shared" si="35"/>
        <v>92.43</v>
      </c>
      <c r="Q83">
        <f t="shared" si="36"/>
        <v>41.78</v>
      </c>
      <c r="R83">
        <f t="shared" si="37"/>
        <v>17.89</v>
      </c>
      <c r="S83">
        <f t="shared" si="38"/>
        <v>216.76</v>
      </c>
      <c r="T83">
        <f t="shared" si="39"/>
        <v>0</v>
      </c>
      <c r="U83">
        <f t="shared" si="40"/>
        <v>0.87560999999999989</v>
      </c>
      <c r="V83">
        <f t="shared" si="41"/>
        <v>5.2649999999999995E-2</v>
      </c>
      <c r="W83">
        <f t="shared" si="42"/>
        <v>0</v>
      </c>
      <c r="X83">
        <f t="shared" si="43"/>
        <v>258.12</v>
      </c>
      <c r="Y83">
        <f t="shared" si="44"/>
        <v>137.62</v>
      </c>
      <c r="AA83">
        <v>143120906</v>
      </c>
      <c r="AB83">
        <f t="shared" si="45"/>
        <v>1540.48</v>
      </c>
      <c r="AC83">
        <f t="shared" si="46"/>
        <v>771.22</v>
      </c>
      <c r="AD83">
        <f>ROUND((((((ET83*1.25)*1.2))-(((EU83*1.25)*1.2)))+AE83),2)</f>
        <v>252.06</v>
      </c>
      <c r="AE83">
        <f>ROUND((((EU83*1.25)*1.2)),2)</f>
        <v>42.69</v>
      </c>
      <c r="AF83">
        <f>ROUND((((EV83*1.15)*1.2)),2)</f>
        <v>517.20000000000005</v>
      </c>
      <c r="AG83">
        <f t="shared" si="47"/>
        <v>0</v>
      </c>
      <c r="AH83">
        <f>(((EW83*1.15)*1.2))</f>
        <v>58.373999999999995</v>
      </c>
      <c r="AI83">
        <f>(((EX83*1.25)*1.2))</f>
        <v>3.51</v>
      </c>
      <c r="AJ83">
        <f t="shared" si="48"/>
        <v>0</v>
      </c>
      <c r="AK83">
        <v>1314.04</v>
      </c>
      <c r="AL83">
        <v>771.22</v>
      </c>
      <c r="AM83">
        <v>168.04</v>
      </c>
      <c r="AN83">
        <v>28.46</v>
      </c>
      <c r="AO83">
        <v>374.78</v>
      </c>
      <c r="AP83">
        <v>0</v>
      </c>
      <c r="AQ83">
        <v>42.3</v>
      </c>
      <c r="AR83">
        <v>2.34</v>
      </c>
      <c r="AS83">
        <v>0</v>
      </c>
      <c r="AT83">
        <v>110</v>
      </c>
      <c r="AU83">
        <v>58.65</v>
      </c>
      <c r="AV83">
        <v>1</v>
      </c>
      <c r="AW83">
        <v>1</v>
      </c>
      <c r="AZ83">
        <v>1</v>
      </c>
      <c r="BA83">
        <v>27.94</v>
      </c>
      <c r="BB83">
        <v>11.05</v>
      </c>
      <c r="BC83">
        <v>7.99</v>
      </c>
      <c r="BD83" t="s">
        <v>3</v>
      </c>
      <c r="BE83" t="s">
        <v>3</v>
      </c>
      <c r="BF83" t="s">
        <v>3</v>
      </c>
      <c r="BG83" t="s">
        <v>3</v>
      </c>
      <c r="BH83">
        <v>0</v>
      </c>
      <c r="BI83">
        <v>1</v>
      </c>
      <c r="BJ83" t="s">
        <v>200</v>
      </c>
      <c r="BM83">
        <v>8001</v>
      </c>
      <c r="BN83">
        <v>0</v>
      </c>
      <c r="BO83" t="s">
        <v>3</v>
      </c>
      <c r="BP83">
        <v>0</v>
      </c>
      <c r="BQ83">
        <v>2</v>
      </c>
      <c r="BR83">
        <v>0</v>
      </c>
      <c r="BS83">
        <v>27.94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3</v>
      </c>
      <c r="BZ83">
        <v>110</v>
      </c>
      <c r="CA83">
        <v>69</v>
      </c>
      <c r="CB83" t="s">
        <v>3</v>
      </c>
      <c r="CE83">
        <v>0</v>
      </c>
      <c r="CF83">
        <v>0</v>
      </c>
      <c r="CG83">
        <v>0</v>
      </c>
      <c r="CM83">
        <v>0</v>
      </c>
      <c r="CN83" t="s">
        <v>556</v>
      </c>
      <c r="CO83">
        <v>0</v>
      </c>
      <c r="CP83">
        <f t="shared" si="49"/>
        <v>350.97</v>
      </c>
      <c r="CQ83">
        <f t="shared" si="50"/>
        <v>6162.0478000000003</v>
      </c>
      <c r="CR83">
        <f>(((((ET83*1.25)*1.2))*BB83-(((EU83*1.25)*1.2))*BS83)+AE83*BS83)</f>
        <v>2785.2629999999999</v>
      </c>
      <c r="CS83">
        <f t="shared" si="51"/>
        <v>1192.7585999999999</v>
      </c>
      <c r="CT83">
        <f t="shared" si="52"/>
        <v>14450.568000000001</v>
      </c>
      <c r="CU83">
        <f t="shared" si="53"/>
        <v>0</v>
      </c>
      <c r="CV83">
        <f t="shared" si="54"/>
        <v>58.373999999999995</v>
      </c>
      <c r="CW83">
        <f t="shared" si="55"/>
        <v>3.51</v>
      </c>
      <c r="CX83">
        <f t="shared" si="56"/>
        <v>0</v>
      </c>
      <c r="CY83">
        <f t="shared" si="57"/>
        <v>258.11499999999995</v>
      </c>
      <c r="CZ83">
        <f t="shared" si="58"/>
        <v>137.62222499999999</v>
      </c>
      <c r="DC83" t="s">
        <v>3</v>
      </c>
      <c r="DD83" t="s">
        <v>3</v>
      </c>
      <c r="DE83" t="s">
        <v>16</v>
      </c>
      <c r="DF83" t="s">
        <v>16</v>
      </c>
      <c r="DG83" t="s">
        <v>17</v>
      </c>
      <c r="DH83" t="s">
        <v>3</v>
      </c>
      <c r="DI83" t="s">
        <v>17</v>
      </c>
      <c r="DJ83" t="s">
        <v>16</v>
      </c>
      <c r="DK83" t="s">
        <v>3</v>
      </c>
      <c r="DL83" t="s">
        <v>3</v>
      </c>
      <c r="DM83" t="s">
        <v>55</v>
      </c>
      <c r="DN83">
        <v>0</v>
      </c>
      <c r="DO83">
        <v>0</v>
      </c>
      <c r="DP83">
        <v>1</v>
      </c>
      <c r="DQ83">
        <v>1</v>
      </c>
      <c r="DU83">
        <v>1009</v>
      </c>
      <c r="DV83" t="s">
        <v>199</v>
      </c>
      <c r="DW83" t="s">
        <v>199</v>
      </c>
      <c r="DX83">
        <v>1000</v>
      </c>
      <c r="DZ83" t="s">
        <v>3</v>
      </c>
      <c r="EA83" t="s">
        <v>3</v>
      </c>
      <c r="EB83" t="s">
        <v>3</v>
      </c>
      <c r="EC83" t="s">
        <v>3</v>
      </c>
      <c r="EE83">
        <v>140625024</v>
      </c>
      <c r="EF83">
        <v>2</v>
      </c>
      <c r="EG83" t="s">
        <v>27</v>
      </c>
      <c r="EH83">
        <v>8</v>
      </c>
      <c r="EI83" t="s">
        <v>201</v>
      </c>
      <c r="EJ83">
        <v>1</v>
      </c>
      <c r="EK83">
        <v>8001</v>
      </c>
      <c r="EL83" t="s">
        <v>201</v>
      </c>
      <c r="EM83" t="s">
        <v>202</v>
      </c>
      <c r="EO83" t="s">
        <v>18</v>
      </c>
      <c r="EQ83">
        <v>0</v>
      </c>
      <c r="ER83">
        <v>1314.04</v>
      </c>
      <c r="ES83">
        <v>771.22</v>
      </c>
      <c r="ET83">
        <v>168.04</v>
      </c>
      <c r="EU83">
        <v>28.46</v>
      </c>
      <c r="EV83">
        <v>374.78</v>
      </c>
      <c r="EW83">
        <v>42.3</v>
      </c>
      <c r="EX83">
        <v>2.34</v>
      </c>
      <c r="EY83">
        <v>0</v>
      </c>
      <c r="FQ83">
        <v>0</v>
      </c>
      <c r="FR83">
        <f t="shared" si="59"/>
        <v>0</v>
      </c>
      <c r="FS83">
        <v>0</v>
      </c>
      <c r="FX83">
        <v>110</v>
      </c>
      <c r="FY83">
        <v>58.65</v>
      </c>
      <c r="GA83" t="s">
        <v>3</v>
      </c>
      <c r="GD83">
        <v>1</v>
      </c>
      <c r="GF83">
        <v>-1033753413</v>
      </c>
      <c r="GG83">
        <v>2</v>
      </c>
      <c r="GH83">
        <v>1</v>
      </c>
      <c r="GI83">
        <v>4</v>
      </c>
      <c r="GJ83">
        <v>0</v>
      </c>
      <c r="GK83">
        <v>0</v>
      </c>
      <c r="GL83">
        <f t="shared" si="60"/>
        <v>0</v>
      </c>
      <c r="GM83">
        <f t="shared" si="61"/>
        <v>746.71</v>
      </c>
      <c r="GN83">
        <f t="shared" si="62"/>
        <v>746.71</v>
      </c>
      <c r="GO83">
        <f t="shared" si="63"/>
        <v>0</v>
      </c>
      <c r="GP83">
        <f t="shared" si="64"/>
        <v>0</v>
      </c>
      <c r="GR83">
        <v>0</v>
      </c>
      <c r="GS83">
        <v>3</v>
      </c>
      <c r="GT83">
        <v>0</v>
      </c>
      <c r="GU83" t="s">
        <v>3</v>
      </c>
      <c r="GV83">
        <f t="shared" si="65"/>
        <v>0</v>
      </c>
      <c r="GW83">
        <v>1</v>
      </c>
      <c r="GX83">
        <f t="shared" si="66"/>
        <v>0</v>
      </c>
      <c r="HA83">
        <v>0</v>
      </c>
      <c r="HB83">
        <v>0</v>
      </c>
      <c r="HC83">
        <f t="shared" si="67"/>
        <v>0</v>
      </c>
      <c r="HE83" t="s">
        <v>3</v>
      </c>
      <c r="HF83" t="s">
        <v>3</v>
      </c>
      <c r="HM83" t="s">
        <v>3</v>
      </c>
      <c r="HN83" t="s">
        <v>203</v>
      </c>
      <c r="HO83" t="s">
        <v>204</v>
      </c>
      <c r="HP83" t="s">
        <v>201</v>
      </c>
      <c r="HQ83" t="s">
        <v>201</v>
      </c>
      <c r="IK83">
        <v>0</v>
      </c>
    </row>
    <row r="84" spans="1:245" x14ac:dyDescent="0.2">
      <c r="A84">
        <v>17</v>
      </c>
      <c r="B84">
        <v>1</v>
      </c>
      <c r="E84" t="s">
        <v>205</v>
      </c>
      <c r="F84" t="s">
        <v>136</v>
      </c>
      <c r="G84" t="s">
        <v>206</v>
      </c>
      <c r="H84" t="s">
        <v>44</v>
      </c>
      <c r="I84">
        <v>3</v>
      </c>
      <c r="J84">
        <v>0</v>
      </c>
      <c r="K84">
        <v>3</v>
      </c>
      <c r="O84">
        <f t="shared" si="34"/>
        <v>11893.43</v>
      </c>
      <c r="P84">
        <f t="shared" si="35"/>
        <v>11893.43</v>
      </c>
      <c r="Q84">
        <f t="shared" si="36"/>
        <v>0</v>
      </c>
      <c r="R84">
        <f t="shared" si="37"/>
        <v>0</v>
      </c>
      <c r="S84">
        <f t="shared" si="38"/>
        <v>0</v>
      </c>
      <c r="T84">
        <f t="shared" si="39"/>
        <v>0</v>
      </c>
      <c r="U84">
        <f t="shared" si="40"/>
        <v>0</v>
      </c>
      <c r="V84">
        <f t="shared" si="41"/>
        <v>0</v>
      </c>
      <c r="W84">
        <f t="shared" si="42"/>
        <v>0</v>
      </c>
      <c r="X84">
        <f t="shared" si="43"/>
        <v>0</v>
      </c>
      <c r="Y84">
        <f t="shared" si="44"/>
        <v>0</v>
      </c>
      <c r="AA84">
        <v>143120906</v>
      </c>
      <c r="AB84">
        <f t="shared" si="45"/>
        <v>496.18</v>
      </c>
      <c r="AC84">
        <f t="shared" si="46"/>
        <v>496.18</v>
      </c>
      <c r="AD84">
        <f t="shared" ref="AD84:AD91" si="72">ROUND((((ET84)-(EU84))+AE84),2)</f>
        <v>0</v>
      </c>
      <c r="AE84">
        <f t="shared" ref="AE84:AF91" si="73">ROUND((EU84),2)</f>
        <v>0</v>
      </c>
      <c r="AF84">
        <f t="shared" si="73"/>
        <v>0</v>
      </c>
      <c r="AG84">
        <f t="shared" si="47"/>
        <v>0</v>
      </c>
      <c r="AH84">
        <f t="shared" ref="AH84:AI91" si="74">(EW84)</f>
        <v>0</v>
      </c>
      <c r="AI84">
        <f t="shared" si="74"/>
        <v>0</v>
      </c>
      <c r="AJ84">
        <f t="shared" si="48"/>
        <v>0</v>
      </c>
      <c r="AK84">
        <v>496.18000000000006</v>
      </c>
      <c r="AL84">
        <v>496.18000000000006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1</v>
      </c>
      <c r="AW84">
        <v>1</v>
      </c>
      <c r="AZ84">
        <v>1</v>
      </c>
      <c r="BA84">
        <v>1</v>
      </c>
      <c r="BB84">
        <v>1</v>
      </c>
      <c r="BC84">
        <v>7.99</v>
      </c>
      <c r="BD84" t="s">
        <v>3</v>
      </c>
      <c r="BE84" t="s">
        <v>3</v>
      </c>
      <c r="BF84" t="s">
        <v>3</v>
      </c>
      <c r="BG84" t="s">
        <v>3</v>
      </c>
      <c r="BH84">
        <v>3</v>
      </c>
      <c r="BI84">
        <v>1</v>
      </c>
      <c r="BJ84" t="s">
        <v>3</v>
      </c>
      <c r="BM84">
        <v>1100</v>
      </c>
      <c r="BN84">
        <v>0</v>
      </c>
      <c r="BO84" t="s">
        <v>3</v>
      </c>
      <c r="BP84">
        <v>0</v>
      </c>
      <c r="BQ84">
        <v>8</v>
      </c>
      <c r="BR84">
        <v>0</v>
      </c>
      <c r="BS84">
        <v>1</v>
      </c>
      <c r="BT84">
        <v>1</v>
      </c>
      <c r="BU84">
        <v>1</v>
      </c>
      <c r="BV84">
        <v>1</v>
      </c>
      <c r="BW84">
        <v>1</v>
      </c>
      <c r="BX84">
        <v>1</v>
      </c>
      <c r="BY84" t="s">
        <v>3</v>
      </c>
      <c r="BZ84">
        <v>0</v>
      </c>
      <c r="CA84">
        <v>0</v>
      </c>
      <c r="CB84" t="s">
        <v>3</v>
      </c>
      <c r="CE84">
        <v>0</v>
      </c>
      <c r="CF84">
        <v>0</v>
      </c>
      <c r="CG84">
        <v>0</v>
      </c>
      <c r="CM84">
        <v>0</v>
      </c>
      <c r="CN84" t="s">
        <v>3</v>
      </c>
      <c r="CO84">
        <v>0</v>
      </c>
      <c r="CP84">
        <f t="shared" si="49"/>
        <v>11893.43</v>
      </c>
      <c r="CQ84">
        <f t="shared" si="50"/>
        <v>3964.4782</v>
      </c>
      <c r="CR84">
        <f t="shared" ref="CR84:CR91" si="75">(((ET84)*BB84-(EU84)*BS84)+AE84*BS84)</f>
        <v>0</v>
      </c>
      <c r="CS84">
        <f t="shared" si="51"/>
        <v>0</v>
      </c>
      <c r="CT84">
        <f t="shared" si="52"/>
        <v>0</v>
      </c>
      <c r="CU84">
        <f t="shared" si="53"/>
        <v>0</v>
      </c>
      <c r="CV84">
        <f t="shared" si="54"/>
        <v>0</v>
      </c>
      <c r="CW84">
        <f t="shared" si="55"/>
        <v>0</v>
      </c>
      <c r="CX84">
        <f t="shared" si="56"/>
        <v>0</v>
      </c>
      <c r="CY84">
        <f t="shared" si="57"/>
        <v>0</v>
      </c>
      <c r="CZ84">
        <f t="shared" si="58"/>
        <v>0</v>
      </c>
      <c r="DC84" t="s">
        <v>3</v>
      </c>
      <c r="DD84" t="s">
        <v>3</v>
      </c>
      <c r="DE84" t="s">
        <v>3</v>
      </c>
      <c r="DF84" t="s">
        <v>3</v>
      </c>
      <c r="DG84" t="s">
        <v>3</v>
      </c>
      <c r="DH84" t="s">
        <v>3</v>
      </c>
      <c r="DI84" t="s">
        <v>3</v>
      </c>
      <c r="DJ84" t="s">
        <v>3</v>
      </c>
      <c r="DK84" t="s">
        <v>3</v>
      </c>
      <c r="DL84" t="s">
        <v>3</v>
      </c>
      <c r="DM84" t="s">
        <v>3</v>
      </c>
      <c r="DN84">
        <v>0</v>
      </c>
      <c r="DO84">
        <v>0</v>
      </c>
      <c r="DP84">
        <v>1</v>
      </c>
      <c r="DQ84">
        <v>1</v>
      </c>
      <c r="DU84">
        <v>1013</v>
      </c>
      <c r="DV84" t="s">
        <v>44</v>
      </c>
      <c r="DW84" t="s">
        <v>44</v>
      </c>
      <c r="DX84">
        <v>1</v>
      </c>
      <c r="DZ84" t="s">
        <v>3</v>
      </c>
      <c r="EA84" t="s">
        <v>3</v>
      </c>
      <c r="EB84" t="s">
        <v>3</v>
      </c>
      <c r="EC84" t="s">
        <v>3</v>
      </c>
      <c r="EE84">
        <v>140625274</v>
      </c>
      <c r="EF84">
        <v>8</v>
      </c>
      <c r="EG84" t="s">
        <v>139</v>
      </c>
      <c r="EH84">
        <v>0</v>
      </c>
      <c r="EI84" t="s">
        <v>3</v>
      </c>
      <c r="EJ84">
        <v>1</v>
      </c>
      <c r="EK84">
        <v>1100</v>
      </c>
      <c r="EL84" t="s">
        <v>140</v>
      </c>
      <c r="EM84" t="s">
        <v>141</v>
      </c>
      <c r="EO84" t="s">
        <v>3</v>
      </c>
      <c r="EQ84">
        <v>0</v>
      </c>
      <c r="ER84">
        <v>496.18000000000006</v>
      </c>
      <c r="ES84">
        <v>496.18000000000006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5</v>
      </c>
      <c r="FC84">
        <v>1</v>
      </c>
      <c r="FD84">
        <v>18</v>
      </c>
      <c r="FF84">
        <v>4442</v>
      </c>
      <c r="FQ84">
        <v>0</v>
      </c>
      <c r="FR84">
        <f t="shared" si="59"/>
        <v>0</v>
      </c>
      <c r="FS84">
        <v>0</v>
      </c>
      <c r="FX84">
        <v>0</v>
      </c>
      <c r="FY84">
        <v>0</v>
      </c>
      <c r="GA84" t="s">
        <v>207</v>
      </c>
      <c r="GD84">
        <v>1</v>
      </c>
      <c r="GF84">
        <v>777368988</v>
      </c>
      <c r="GG84">
        <v>2</v>
      </c>
      <c r="GH84">
        <v>3</v>
      </c>
      <c r="GI84">
        <v>4</v>
      </c>
      <c r="GJ84">
        <v>0</v>
      </c>
      <c r="GK84">
        <v>0</v>
      </c>
      <c r="GL84">
        <f t="shared" si="60"/>
        <v>0</v>
      </c>
      <c r="GM84">
        <f t="shared" si="61"/>
        <v>11893.43</v>
      </c>
      <c r="GN84">
        <f t="shared" si="62"/>
        <v>11893.43</v>
      </c>
      <c r="GO84">
        <f t="shared" si="63"/>
        <v>0</v>
      </c>
      <c r="GP84">
        <f t="shared" si="64"/>
        <v>0</v>
      </c>
      <c r="GR84">
        <v>1</v>
      </c>
      <c r="GS84">
        <v>1</v>
      </c>
      <c r="GT84">
        <v>0</v>
      </c>
      <c r="GU84" t="s">
        <v>3</v>
      </c>
      <c r="GV84">
        <f t="shared" si="65"/>
        <v>0</v>
      </c>
      <c r="GW84">
        <v>1</v>
      </c>
      <c r="GX84">
        <f t="shared" si="66"/>
        <v>0</v>
      </c>
      <c r="HA84">
        <v>0</v>
      </c>
      <c r="HB84">
        <v>0</v>
      </c>
      <c r="HC84">
        <f t="shared" si="67"/>
        <v>0</v>
      </c>
      <c r="HE84" t="s">
        <v>61</v>
      </c>
      <c r="HF84" t="s">
        <v>33</v>
      </c>
      <c r="HM84" t="s">
        <v>3</v>
      </c>
      <c r="HN84" t="s">
        <v>3</v>
      </c>
      <c r="HO84" t="s">
        <v>3</v>
      </c>
      <c r="HP84" t="s">
        <v>3</v>
      </c>
      <c r="HQ84" t="s">
        <v>3</v>
      </c>
      <c r="IK84">
        <v>0</v>
      </c>
    </row>
    <row r="85" spans="1:245" x14ac:dyDescent="0.2">
      <c r="A85">
        <v>17</v>
      </c>
      <c r="B85">
        <v>1</v>
      </c>
      <c r="C85">
        <f>ROW(SmtRes!A78)</f>
        <v>78</v>
      </c>
      <c r="D85">
        <f>ROW(EtalonRes!A98)</f>
        <v>98</v>
      </c>
      <c r="E85" t="s">
        <v>208</v>
      </c>
      <c r="F85" t="s">
        <v>209</v>
      </c>
      <c r="G85" t="s">
        <v>210</v>
      </c>
      <c r="H85" t="s">
        <v>64</v>
      </c>
      <c r="I85">
        <f>ROUND(19.3/100,9)</f>
        <v>0.193</v>
      </c>
      <c r="J85">
        <v>0</v>
      </c>
      <c r="K85">
        <f>ROUND(19.3/100,9)</f>
        <v>0.193</v>
      </c>
      <c r="O85">
        <f t="shared" si="34"/>
        <v>5015.17</v>
      </c>
      <c r="P85">
        <f t="shared" si="35"/>
        <v>1173.25</v>
      </c>
      <c r="Q85">
        <f t="shared" si="36"/>
        <v>21.82</v>
      </c>
      <c r="R85">
        <f t="shared" si="37"/>
        <v>17.47</v>
      </c>
      <c r="S85">
        <f t="shared" si="38"/>
        <v>3820.1</v>
      </c>
      <c r="T85">
        <f t="shared" si="39"/>
        <v>0</v>
      </c>
      <c r="U85">
        <f t="shared" si="40"/>
        <v>16.735029999999998</v>
      </c>
      <c r="V85">
        <f t="shared" si="41"/>
        <v>4.8250000000000001E-2</v>
      </c>
      <c r="W85">
        <f t="shared" si="42"/>
        <v>0</v>
      </c>
      <c r="X85">
        <f t="shared" si="43"/>
        <v>3453.81</v>
      </c>
      <c r="Y85">
        <f t="shared" si="44"/>
        <v>1765.28</v>
      </c>
      <c r="AA85">
        <v>143120906</v>
      </c>
      <c r="AB85">
        <f t="shared" si="45"/>
        <v>1479.48</v>
      </c>
      <c r="AC85">
        <f t="shared" si="46"/>
        <v>760.83</v>
      </c>
      <c r="AD85">
        <f t="shared" si="72"/>
        <v>10.23</v>
      </c>
      <c r="AE85">
        <f t="shared" si="73"/>
        <v>3.24</v>
      </c>
      <c r="AF85">
        <f t="shared" si="73"/>
        <v>708.42</v>
      </c>
      <c r="AG85">
        <f t="shared" si="47"/>
        <v>0</v>
      </c>
      <c r="AH85">
        <f t="shared" si="74"/>
        <v>86.71</v>
      </c>
      <c r="AI85">
        <f t="shared" si="74"/>
        <v>0.25</v>
      </c>
      <c r="AJ85">
        <f t="shared" si="48"/>
        <v>0</v>
      </c>
      <c r="AK85">
        <v>1479.48</v>
      </c>
      <c r="AL85">
        <v>760.83</v>
      </c>
      <c r="AM85">
        <v>10.23</v>
      </c>
      <c r="AN85">
        <v>3.24</v>
      </c>
      <c r="AO85">
        <v>708.42</v>
      </c>
      <c r="AP85">
        <v>0</v>
      </c>
      <c r="AQ85">
        <v>86.71</v>
      </c>
      <c r="AR85">
        <v>0.25</v>
      </c>
      <c r="AS85">
        <v>0</v>
      </c>
      <c r="AT85">
        <v>90</v>
      </c>
      <c r="AU85">
        <v>46</v>
      </c>
      <c r="AV85">
        <v>1</v>
      </c>
      <c r="AW85">
        <v>1</v>
      </c>
      <c r="AZ85">
        <v>1</v>
      </c>
      <c r="BA85">
        <v>27.94</v>
      </c>
      <c r="BB85">
        <v>11.05</v>
      </c>
      <c r="BC85">
        <v>7.99</v>
      </c>
      <c r="BD85" t="s">
        <v>3</v>
      </c>
      <c r="BE85" t="s">
        <v>3</v>
      </c>
      <c r="BF85" t="s">
        <v>3</v>
      </c>
      <c r="BG85" t="s">
        <v>3</v>
      </c>
      <c r="BH85">
        <v>0</v>
      </c>
      <c r="BI85">
        <v>1</v>
      </c>
      <c r="BJ85" t="s">
        <v>211</v>
      </c>
      <c r="BM85">
        <v>58001</v>
      </c>
      <c r="BN85">
        <v>0</v>
      </c>
      <c r="BO85" t="s">
        <v>3</v>
      </c>
      <c r="BP85">
        <v>0</v>
      </c>
      <c r="BQ85">
        <v>6</v>
      </c>
      <c r="BR85">
        <v>0</v>
      </c>
      <c r="BS85">
        <v>27.94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3</v>
      </c>
      <c r="BZ85">
        <v>90</v>
      </c>
      <c r="CA85">
        <v>46</v>
      </c>
      <c r="CB85" t="s">
        <v>3</v>
      </c>
      <c r="CE85">
        <v>0</v>
      </c>
      <c r="CF85">
        <v>0</v>
      </c>
      <c r="CG85">
        <v>0</v>
      </c>
      <c r="CM85">
        <v>0</v>
      </c>
      <c r="CN85" t="s">
        <v>3</v>
      </c>
      <c r="CO85">
        <v>0</v>
      </c>
      <c r="CP85">
        <f t="shared" si="49"/>
        <v>5015.17</v>
      </c>
      <c r="CQ85">
        <f t="shared" si="50"/>
        <v>6079.0317000000005</v>
      </c>
      <c r="CR85">
        <f t="shared" si="75"/>
        <v>113.04150000000001</v>
      </c>
      <c r="CS85">
        <f t="shared" si="51"/>
        <v>90.525600000000011</v>
      </c>
      <c r="CT85">
        <f t="shared" si="52"/>
        <v>19793.254799999999</v>
      </c>
      <c r="CU85">
        <f t="shared" si="53"/>
        <v>0</v>
      </c>
      <c r="CV85">
        <f t="shared" si="54"/>
        <v>86.71</v>
      </c>
      <c r="CW85">
        <f t="shared" si="55"/>
        <v>0.25</v>
      </c>
      <c r="CX85">
        <f t="shared" si="56"/>
        <v>0</v>
      </c>
      <c r="CY85">
        <f t="shared" si="57"/>
        <v>3453.8130000000001</v>
      </c>
      <c r="CZ85">
        <f t="shared" si="58"/>
        <v>1765.2821999999996</v>
      </c>
      <c r="DC85" t="s">
        <v>3</v>
      </c>
      <c r="DD85" t="s">
        <v>3</v>
      </c>
      <c r="DE85" t="s">
        <v>3</v>
      </c>
      <c r="DF85" t="s">
        <v>3</v>
      </c>
      <c r="DG85" t="s">
        <v>3</v>
      </c>
      <c r="DH85" t="s">
        <v>3</v>
      </c>
      <c r="DI85" t="s">
        <v>3</v>
      </c>
      <c r="DJ85" t="s">
        <v>3</v>
      </c>
      <c r="DK85" t="s">
        <v>3</v>
      </c>
      <c r="DL85" t="s">
        <v>3</v>
      </c>
      <c r="DM85" t="s">
        <v>3</v>
      </c>
      <c r="DN85">
        <v>0</v>
      </c>
      <c r="DO85">
        <v>0</v>
      </c>
      <c r="DP85">
        <v>1</v>
      </c>
      <c r="DQ85">
        <v>1</v>
      </c>
      <c r="DU85">
        <v>1003</v>
      </c>
      <c r="DV85" t="s">
        <v>64</v>
      </c>
      <c r="DW85" t="s">
        <v>64</v>
      </c>
      <c r="DX85">
        <v>100</v>
      </c>
      <c r="DZ85" t="s">
        <v>3</v>
      </c>
      <c r="EA85" t="s">
        <v>3</v>
      </c>
      <c r="EB85" t="s">
        <v>3</v>
      </c>
      <c r="EC85" t="s">
        <v>3</v>
      </c>
      <c r="EE85">
        <v>140625154</v>
      </c>
      <c r="EF85">
        <v>6</v>
      </c>
      <c r="EG85" t="s">
        <v>212</v>
      </c>
      <c r="EH85">
        <v>92</v>
      </c>
      <c r="EI85" t="s">
        <v>213</v>
      </c>
      <c r="EJ85">
        <v>1</v>
      </c>
      <c r="EK85">
        <v>58001</v>
      </c>
      <c r="EL85" t="s">
        <v>213</v>
      </c>
      <c r="EM85" t="s">
        <v>214</v>
      </c>
      <c r="EO85" t="s">
        <v>3</v>
      </c>
      <c r="EQ85">
        <v>0</v>
      </c>
      <c r="ER85">
        <v>1479.48</v>
      </c>
      <c r="ES85">
        <v>760.83</v>
      </c>
      <c r="ET85">
        <v>10.23</v>
      </c>
      <c r="EU85">
        <v>3.24</v>
      </c>
      <c r="EV85">
        <v>708.42</v>
      </c>
      <c r="EW85">
        <v>86.71</v>
      </c>
      <c r="EX85">
        <v>0.25</v>
      </c>
      <c r="EY85">
        <v>0</v>
      </c>
      <c r="FQ85">
        <v>0</v>
      </c>
      <c r="FR85">
        <f t="shared" si="59"/>
        <v>0</v>
      </c>
      <c r="FS85">
        <v>0</v>
      </c>
      <c r="FX85">
        <v>90</v>
      </c>
      <c r="FY85">
        <v>46</v>
      </c>
      <c r="GA85" t="s">
        <v>3</v>
      </c>
      <c r="GD85">
        <v>1</v>
      </c>
      <c r="GF85">
        <v>693090332</v>
      </c>
      <c r="GG85">
        <v>2</v>
      </c>
      <c r="GH85">
        <v>1</v>
      </c>
      <c r="GI85">
        <v>4</v>
      </c>
      <c r="GJ85">
        <v>0</v>
      </c>
      <c r="GK85">
        <v>0</v>
      </c>
      <c r="GL85">
        <f t="shared" si="60"/>
        <v>0</v>
      </c>
      <c r="GM85">
        <f t="shared" si="61"/>
        <v>10234.26</v>
      </c>
      <c r="GN85">
        <f t="shared" si="62"/>
        <v>10234.26</v>
      </c>
      <c r="GO85">
        <f t="shared" si="63"/>
        <v>0</v>
      </c>
      <c r="GP85">
        <f t="shared" si="64"/>
        <v>0</v>
      </c>
      <c r="GR85">
        <v>0</v>
      </c>
      <c r="GS85">
        <v>3</v>
      </c>
      <c r="GT85">
        <v>0</v>
      </c>
      <c r="GU85" t="s">
        <v>3</v>
      </c>
      <c r="GV85">
        <f t="shared" si="65"/>
        <v>0</v>
      </c>
      <c r="GW85">
        <v>1</v>
      </c>
      <c r="GX85">
        <f t="shared" si="66"/>
        <v>0</v>
      </c>
      <c r="HA85">
        <v>0</v>
      </c>
      <c r="HB85">
        <v>0</v>
      </c>
      <c r="HC85">
        <f t="shared" si="67"/>
        <v>0</v>
      </c>
      <c r="HE85" t="s">
        <v>3</v>
      </c>
      <c r="HF85" t="s">
        <v>3</v>
      </c>
      <c r="HM85" t="s">
        <v>3</v>
      </c>
      <c r="HN85" t="s">
        <v>215</v>
      </c>
      <c r="HO85" t="s">
        <v>216</v>
      </c>
      <c r="HP85" t="s">
        <v>217</v>
      </c>
      <c r="HQ85" t="s">
        <v>217</v>
      </c>
      <c r="IK85">
        <v>0</v>
      </c>
    </row>
    <row r="86" spans="1:245" x14ac:dyDescent="0.2">
      <c r="A86">
        <v>17</v>
      </c>
      <c r="B86">
        <v>1</v>
      </c>
      <c r="E86" t="s">
        <v>218</v>
      </c>
      <c r="F86" t="s">
        <v>136</v>
      </c>
      <c r="G86" t="s">
        <v>219</v>
      </c>
      <c r="H86" t="s">
        <v>138</v>
      </c>
      <c r="I86">
        <v>19.3</v>
      </c>
      <c r="J86">
        <v>0</v>
      </c>
      <c r="K86">
        <v>19.3</v>
      </c>
      <c r="O86">
        <f t="shared" si="34"/>
        <v>4168.22</v>
      </c>
      <c r="P86">
        <f t="shared" si="35"/>
        <v>4168.22</v>
      </c>
      <c r="Q86">
        <f t="shared" si="36"/>
        <v>0</v>
      </c>
      <c r="R86">
        <f t="shared" si="37"/>
        <v>0</v>
      </c>
      <c r="S86">
        <f t="shared" si="38"/>
        <v>0</v>
      </c>
      <c r="T86">
        <f t="shared" si="39"/>
        <v>0</v>
      </c>
      <c r="U86">
        <f t="shared" si="40"/>
        <v>0</v>
      </c>
      <c r="V86">
        <f t="shared" si="41"/>
        <v>0</v>
      </c>
      <c r="W86">
        <f t="shared" si="42"/>
        <v>0</v>
      </c>
      <c r="X86">
        <f t="shared" si="43"/>
        <v>0</v>
      </c>
      <c r="Y86">
        <f t="shared" si="44"/>
        <v>0</v>
      </c>
      <c r="AA86">
        <v>143120906</v>
      </c>
      <c r="AB86">
        <f t="shared" si="45"/>
        <v>27.03</v>
      </c>
      <c r="AC86">
        <f t="shared" si="46"/>
        <v>27.03</v>
      </c>
      <c r="AD86">
        <f t="shared" si="72"/>
        <v>0</v>
      </c>
      <c r="AE86">
        <f t="shared" si="73"/>
        <v>0</v>
      </c>
      <c r="AF86">
        <f t="shared" si="73"/>
        <v>0</v>
      </c>
      <c r="AG86">
        <f t="shared" si="47"/>
        <v>0</v>
      </c>
      <c r="AH86">
        <f t="shared" si="74"/>
        <v>0</v>
      </c>
      <c r="AI86">
        <f t="shared" si="74"/>
        <v>0</v>
      </c>
      <c r="AJ86">
        <f t="shared" si="48"/>
        <v>0</v>
      </c>
      <c r="AK86">
        <v>27.03</v>
      </c>
      <c r="AL86">
        <v>27.03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1</v>
      </c>
      <c r="AW86">
        <v>1</v>
      </c>
      <c r="AZ86">
        <v>1</v>
      </c>
      <c r="BA86">
        <v>1</v>
      </c>
      <c r="BB86">
        <v>1</v>
      </c>
      <c r="BC86">
        <v>7.99</v>
      </c>
      <c r="BD86" t="s">
        <v>3</v>
      </c>
      <c r="BE86" t="s">
        <v>3</v>
      </c>
      <c r="BF86" t="s">
        <v>3</v>
      </c>
      <c r="BG86" t="s">
        <v>3</v>
      </c>
      <c r="BH86">
        <v>3</v>
      </c>
      <c r="BI86">
        <v>1</v>
      </c>
      <c r="BJ86" t="s">
        <v>3</v>
      </c>
      <c r="BM86">
        <v>1100</v>
      </c>
      <c r="BN86">
        <v>0</v>
      </c>
      <c r="BO86" t="s">
        <v>3</v>
      </c>
      <c r="BP86">
        <v>0</v>
      </c>
      <c r="BQ86">
        <v>8</v>
      </c>
      <c r="BR86">
        <v>0</v>
      </c>
      <c r="BS86">
        <v>1</v>
      </c>
      <c r="BT86">
        <v>1</v>
      </c>
      <c r="BU86">
        <v>1</v>
      </c>
      <c r="BV86">
        <v>1</v>
      </c>
      <c r="BW86">
        <v>1</v>
      </c>
      <c r="BX86">
        <v>1</v>
      </c>
      <c r="BY86" t="s">
        <v>3</v>
      </c>
      <c r="BZ86">
        <v>0</v>
      </c>
      <c r="CA86">
        <v>0</v>
      </c>
      <c r="CB86" t="s">
        <v>3</v>
      </c>
      <c r="CE86">
        <v>0</v>
      </c>
      <c r="CF86">
        <v>0</v>
      </c>
      <c r="CG86">
        <v>0</v>
      </c>
      <c r="CM86">
        <v>0</v>
      </c>
      <c r="CN86" t="s">
        <v>3</v>
      </c>
      <c r="CO86">
        <v>0</v>
      </c>
      <c r="CP86">
        <f t="shared" si="49"/>
        <v>4168.22</v>
      </c>
      <c r="CQ86">
        <f t="shared" si="50"/>
        <v>215.96970000000002</v>
      </c>
      <c r="CR86">
        <f t="shared" si="75"/>
        <v>0</v>
      </c>
      <c r="CS86">
        <f t="shared" si="51"/>
        <v>0</v>
      </c>
      <c r="CT86">
        <f t="shared" si="52"/>
        <v>0</v>
      </c>
      <c r="CU86">
        <f t="shared" si="53"/>
        <v>0</v>
      </c>
      <c r="CV86">
        <f t="shared" si="54"/>
        <v>0</v>
      </c>
      <c r="CW86">
        <f t="shared" si="55"/>
        <v>0</v>
      </c>
      <c r="CX86">
        <f t="shared" si="56"/>
        <v>0</v>
      </c>
      <c r="CY86">
        <f t="shared" si="57"/>
        <v>0</v>
      </c>
      <c r="CZ86">
        <f t="shared" si="58"/>
        <v>0</v>
      </c>
      <c r="DC86" t="s">
        <v>3</v>
      </c>
      <c r="DD86" t="s">
        <v>3</v>
      </c>
      <c r="DE86" t="s">
        <v>3</v>
      </c>
      <c r="DF86" t="s">
        <v>3</v>
      </c>
      <c r="DG86" t="s">
        <v>3</v>
      </c>
      <c r="DH86" t="s">
        <v>3</v>
      </c>
      <c r="DI86" t="s">
        <v>3</v>
      </c>
      <c r="DJ86" t="s">
        <v>3</v>
      </c>
      <c r="DK86" t="s">
        <v>3</v>
      </c>
      <c r="DL86" t="s">
        <v>3</v>
      </c>
      <c r="DM86" t="s">
        <v>3</v>
      </c>
      <c r="DN86">
        <v>0</v>
      </c>
      <c r="DO86">
        <v>0</v>
      </c>
      <c r="DP86">
        <v>1</v>
      </c>
      <c r="DQ86">
        <v>1</v>
      </c>
      <c r="DU86">
        <v>1003</v>
      </c>
      <c r="DV86" t="s">
        <v>138</v>
      </c>
      <c r="DW86" t="s">
        <v>138</v>
      </c>
      <c r="DX86">
        <v>1</v>
      </c>
      <c r="DZ86" t="s">
        <v>3</v>
      </c>
      <c r="EA86" t="s">
        <v>3</v>
      </c>
      <c r="EB86" t="s">
        <v>3</v>
      </c>
      <c r="EC86" t="s">
        <v>3</v>
      </c>
      <c r="EE86">
        <v>140625274</v>
      </c>
      <c r="EF86">
        <v>8</v>
      </c>
      <c r="EG86" t="s">
        <v>139</v>
      </c>
      <c r="EH86">
        <v>0</v>
      </c>
      <c r="EI86" t="s">
        <v>3</v>
      </c>
      <c r="EJ86">
        <v>1</v>
      </c>
      <c r="EK86">
        <v>1100</v>
      </c>
      <c r="EL86" t="s">
        <v>140</v>
      </c>
      <c r="EM86" t="s">
        <v>141</v>
      </c>
      <c r="EO86" t="s">
        <v>3</v>
      </c>
      <c r="EQ86">
        <v>0</v>
      </c>
      <c r="ER86">
        <v>27.03</v>
      </c>
      <c r="ES86">
        <v>27.03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5</v>
      </c>
      <c r="FC86">
        <v>1</v>
      </c>
      <c r="FD86">
        <v>18</v>
      </c>
      <c r="FF86">
        <v>242</v>
      </c>
      <c r="FQ86">
        <v>0</v>
      </c>
      <c r="FR86">
        <f t="shared" si="59"/>
        <v>0</v>
      </c>
      <c r="FS86">
        <v>0</v>
      </c>
      <c r="FX86">
        <v>0</v>
      </c>
      <c r="FY86">
        <v>0</v>
      </c>
      <c r="GA86" t="s">
        <v>220</v>
      </c>
      <c r="GD86">
        <v>1</v>
      </c>
      <c r="GF86">
        <v>1656857909</v>
      </c>
      <c r="GG86">
        <v>2</v>
      </c>
      <c r="GH86">
        <v>3</v>
      </c>
      <c r="GI86">
        <v>4</v>
      </c>
      <c r="GJ86">
        <v>0</v>
      </c>
      <c r="GK86">
        <v>0</v>
      </c>
      <c r="GL86">
        <f t="shared" si="60"/>
        <v>0</v>
      </c>
      <c r="GM86">
        <f t="shared" si="61"/>
        <v>4168.22</v>
      </c>
      <c r="GN86">
        <f t="shared" si="62"/>
        <v>4168.22</v>
      </c>
      <c r="GO86">
        <f t="shared" si="63"/>
        <v>0</v>
      </c>
      <c r="GP86">
        <f t="shared" si="64"/>
        <v>0</v>
      </c>
      <c r="GR86">
        <v>1</v>
      </c>
      <c r="GS86">
        <v>1</v>
      </c>
      <c r="GT86">
        <v>0</v>
      </c>
      <c r="GU86" t="s">
        <v>3</v>
      </c>
      <c r="GV86">
        <f t="shared" si="65"/>
        <v>0</v>
      </c>
      <c r="GW86">
        <v>1</v>
      </c>
      <c r="GX86">
        <f t="shared" si="66"/>
        <v>0</v>
      </c>
      <c r="HA86">
        <v>0</v>
      </c>
      <c r="HB86">
        <v>0</v>
      </c>
      <c r="HC86">
        <f t="shared" si="67"/>
        <v>0</v>
      </c>
      <c r="HE86" t="s">
        <v>61</v>
      </c>
      <c r="HF86" t="s">
        <v>33</v>
      </c>
      <c r="HM86" t="s">
        <v>3</v>
      </c>
      <c r="HN86" t="s">
        <v>3</v>
      </c>
      <c r="HO86" t="s">
        <v>3</v>
      </c>
      <c r="HP86" t="s">
        <v>3</v>
      </c>
      <c r="HQ86" t="s">
        <v>3</v>
      </c>
      <c r="IK86">
        <v>0</v>
      </c>
    </row>
    <row r="87" spans="1:245" x14ac:dyDescent="0.2">
      <c r="A87">
        <v>17</v>
      </c>
      <c r="B87">
        <v>1</v>
      </c>
      <c r="E87" t="s">
        <v>221</v>
      </c>
      <c r="F87" t="s">
        <v>136</v>
      </c>
      <c r="G87" t="s">
        <v>222</v>
      </c>
      <c r="H87" t="s">
        <v>44</v>
      </c>
      <c r="I87">
        <v>2</v>
      </c>
      <c r="J87">
        <v>0</v>
      </c>
      <c r="K87">
        <v>2</v>
      </c>
      <c r="O87">
        <f t="shared" si="34"/>
        <v>148.29</v>
      </c>
      <c r="P87">
        <f t="shared" si="35"/>
        <v>148.29</v>
      </c>
      <c r="Q87">
        <f t="shared" si="36"/>
        <v>0</v>
      </c>
      <c r="R87">
        <f t="shared" si="37"/>
        <v>0</v>
      </c>
      <c r="S87">
        <f t="shared" si="38"/>
        <v>0</v>
      </c>
      <c r="T87">
        <f t="shared" si="39"/>
        <v>0</v>
      </c>
      <c r="U87">
        <f t="shared" si="40"/>
        <v>0</v>
      </c>
      <c r="V87">
        <f t="shared" si="41"/>
        <v>0</v>
      </c>
      <c r="W87">
        <f t="shared" si="42"/>
        <v>0</v>
      </c>
      <c r="X87">
        <f t="shared" si="43"/>
        <v>0</v>
      </c>
      <c r="Y87">
        <f t="shared" si="44"/>
        <v>0</v>
      </c>
      <c r="AA87">
        <v>143120906</v>
      </c>
      <c r="AB87">
        <f t="shared" si="45"/>
        <v>9.2799999999999994</v>
      </c>
      <c r="AC87">
        <f t="shared" si="46"/>
        <v>9.2799999999999994</v>
      </c>
      <c r="AD87">
        <f t="shared" si="72"/>
        <v>0</v>
      </c>
      <c r="AE87">
        <f t="shared" si="73"/>
        <v>0</v>
      </c>
      <c r="AF87">
        <f t="shared" si="73"/>
        <v>0</v>
      </c>
      <c r="AG87">
        <f t="shared" si="47"/>
        <v>0</v>
      </c>
      <c r="AH87">
        <f t="shared" si="74"/>
        <v>0</v>
      </c>
      <c r="AI87">
        <f t="shared" si="74"/>
        <v>0</v>
      </c>
      <c r="AJ87">
        <f t="shared" si="48"/>
        <v>0</v>
      </c>
      <c r="AK87">
        <v>9.2799999999999994</v>
      </c>
      <c r="AL87">
        <v>9.2799999999999994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v>7.99</v>
      </c>
      <c r="BD87" t="s">
        <v>3</v>
      </c>
      <c r="BE87" t="s">
        <v>3</v>
      </c>
      <c r="BF87" t="s">
        <v>3</v>
      </c>
      <c r="BG87" t="s">
        <v>3</v>
      </c>
      <c r="BH87">
        <v>3</v>
      </c>
      <c r="BI87">
        <v>1</v>
      </c>
      <c r="BJ87" t="s">
        <v>3</v>
      </c>
      <c r="BM87">
        <v>1100</v>
      </c>
      <c r="BN87">
        <v>0</v>
      </c>
      <c r="BO87" t="s">
        <v>3</v>
      </c>
      <c r="BP87">
        <v>0</v>
      </c>
      <c r="BQ87">
        <v>8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3</v>
      </c>
      <c r="BZ87">
        <v>0</v>
      </c>
      <c r="CA87">
        <v>0</v>
      </c>
      <c r="CB87" t="s">
        <v>3</v>
      </c>
      <c r="CE87">
        <v>0</v>
      </c>
      <c r="CF87">
        <v>0</v>
      </c>
      <c r="CG87">
        <v>0</v>
      </c>
      <c r="CM87">
        <v>0</v>
      </c>
      <c r="CN87" t="s">
        <v>3</v>
      </c>
      <c r="CO87">
        <v>0</v>
      </c>
      <c r="CP87">
        <f t="shared" si="49"/>
        <v>148.29</v>
      </c>
      <c r="CQ87">
        <f t="shared" si="50"/>
        <v>74.147199999999998</v>
      </c>
      <c r="CR87">
        <f t="shared" si="75"/>
        <v>0</v>
      </c>
      <c r="CS87">
        <f t="shared" si="51"/>
        <v>0</v>
      </c>
      <c r="CT87">
        <f t="shared" si="52"/>
        <v>0</v>
      </c>
      <c r="CU87">
        <f t="shared" si="53"/>
        <v>0</v>
      </c>
      <c r="CV87">
        <f t="shared" si="54"/>
        <v>0</v>
      </c>
      <c r="CW87">
        <f t="shared" si="55"/>
        <v>0</v>
      </c>
      <c r="CX87">
        <f t="shared" si="56"/>
        <v>0</v>
      </c>
      <c r="CY87">
        <f t="shared" si="57"/>
        <v>0</v>
      </c>
      <c r="CZ87">
        <f t="shared" si="58"/>
        <v>0</v>
      </c>
      <c r="DC87" t="s">
        <v>3</v>
      </c>
      <c r="DD87" t="s">
        <v>3</v>
      </c>
      <c r="DE87" t="s">
        <v>3</v>
      </c>
      <c r="DF87" t="s">
        <v>3</v>
      </c>
      <c r="DG87" t="s">
        <v>3</v>
      </c>
      <c r="DH87" t="s">
        <v>3</v>
      </c>
      <c r="DI87" t="s">
        <v>3</v>
      </c>
      <c r="DJ87" t="s">
        <v>3</v>
      </c>
      <c r="DK87" t="s">
        <v>3</v>
      </c>
      <c r="DL87" t="s">
        <v>3</v>
      </c>
      <c r="DM87" t="s">
        <v>3</v>
      </c>
      <c r="DN87">
        <v>0</v>
      </c>
      <c r="DO87">
        <v>0</v>
      </c>
      <c r="DP87">
        <v>1</v>
      </c>
      <c r="DQ87">
        <v>1</v>
      </c>
      <c r="DU87">
        <v>1013</v>
      </c>
      <c r="DV87" t="s">
        <v>44</v>
      </c>
      <c r="DW87" t="s">
        <v>44</v>
      </c>
      <c r="DX87">
        <v>1</v>
      </c>
      <c r="DZ87" t="s">
        <v>3</v>
      </c>
      <c r="EA87" t="s">
        <v>3</v>
      </c>
      <c r="EB87" t="s">
        <v>3</v>
      </c>
      <c r="EC87" t="s">
        <v>3</v>
      </c>
      <c r="EE87">
        <v>140625274</v>
      </c>
      <c r="EF87">
        <v>8</v>
      </c>
      <c r="EG87" t="s">
        <v>139</v>
      </c>
      <c r="EH87">
        <v>0</v>
      </c>
      <c r="EI87" t="s">
        <v>3</v>
      </c>
      <c r="EJ87">
        <v>1</v>
      </c>
      <c r="EK87">
        <v>1100</v>
      </c>
      <c r="EL87" t="s">
        <v>140</v>
      </c>
      <c r="EM87" t="s">
        <v>141</v>
      </c>
      <c r="EO87" t="s">
        <v>3</v>
      </c>
      <c r="EQ87">
        <v>0</v>
      </c>
      <c r="ER87">
        <v>9.2799999999999994</v>
      </c>
      <c r="ES87">
        <v>9.2799999999999994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5</v>
      </c>
      <c r="FC87">
        <v>1</v>
      </c>
      <c r="FD87">
        <v>18</v>
      </c>
      <c r="FF87">
        <v>83.1</v>
      </c>
      <c r="FQ87">
        <v>0</v>
      </c>
      <c r="FR87">
        <f t="shared" si="59"/>
        <v>0</v>
      </c>
      <c r="FS87">
        <v>0</v>
      </c>
      <c r="FX87">
        <v>0</v>
      </c>
      <c r="FY87">
        <v>0</v>
      </c>
      <c r="GA87" t="s">
        <v>223</v>
      </c>
      <c r="GD87">
        <v>1</v>
      </c>
      <c r="GF87">
        <v>1579194085</v>
      </c>
      <c r="GG87">
        <v>2</v>
      </c>
      <c r="GH87">
        <v>3</v>
      </c>
      <c r="GI87">
        <v>4</v>
      </c>
      <c r="GJ87">
        <v>0</v>
      </c>
      <c r="GK87">
        <v>0</v>
      </c>
      <c r="GL87">
        <f t="shared" si="60"/>
        <v>0</v>
      </c>
      <c r="GM87">
        <f t="shared" si="61"/>
        <v>148.29</v>
      </c>
      <c r="GN87">
        <f t="shared" si="62"/>
        <v>148.29</v>
      </c>
      <c r="GO87">
        <f t="shared" si="63"/>
        <v>0</v>
      </c>
      <c r="GP87">
        <f t="shared" si="64"/>
        <v>0</v>
      </c>
      <c r="GR87">
        <v>1</v>
      </c>
      <c r="GS87">
        <v>1</v>
      </c>
      <c r="GT87">
        <v>0</v>
      </c>
      <c r="GU87" t="s">
        <v>3</v>
      </c>
      <c r="GV87">
        <f t="shared" si="65"/>
        <v>0</v>
      </c>
      <c r="GW87">
        <v>1</v>
      </c>
      <c r="GX87">
        <f t="shared" si="66"/>
        <v>0</v>
      </c>
      <c r="HA87">
        <v>0</v>
      </c>
      <c r="HB87">
        <v>0</v>
      </c>
      <c r="HC87">
        <f t="shared" si="67"/>
        <v>0</v>
      </c>
      <c r="HE87" t="s">
        <v>61</v>
      </c>
      <c r="HF87" t="s">
        <v>33</v>
      </c>
      <c r="HM87" t="s">
        <v>3</v>
      </c>
      <c r="HN87" t="s">
        <v>3</v>
      </c>
      <c r="HO87" t="s">
        <v>3</v>
      </c>
      <c r="HP87" t="s">
        <v>3</v>
      </c>
      <c r="HQ87" t="s">
        <v>3</v>
      </c>
      <c r="IK87">
        <v>0</v>
      </c>
    </row>
    <row r="88" spans="1:245" x14ac:dyDescent="0.2">
      <c r="A88">
        <v>17</v>
      </c>
      <c r="B88">
        <v>1</v>
      </c>
      <c r="C88">
        <f>ROW(SmtRes!A82)</f>
        <v>82</v>
      </c>
      <c r="D88">
        <f>ROW(EtalonRes!A103)</f>
        <v>103</v>
      </c>
      <c r="E88" t="s">
        <v>224</v>
      </c>
      <c r="F88" t="s">
        <v>225</v>
      </c>
      <c r="G88" t="s">
        <v>226</v>
      </c>
      <c r="H88" t="s">
        <v>64</v>
      </c>
      <c r="I88">
        <f>ROUND(14/100,9)</f>
        <v>0.14000000000000001</v>
      </c>
      <c r="J88">
        <v>0</v>
      </c>
      <c r="K88">
        <f>ROUND(14/100,9)</f>
        <v>0.14000000000000001</v>
      </c>
      <c r="O88">
        <f t="shared" si="34"/>
        <v>1243.55</v>
      </c>
      <c r="P88">
        <f t="shared" si="35"/>
        <v>2.4900000000000002</v>
      </c>
      <c r="Q88">
        <f t="shared" si="36"/>
        <v>13.21</v>
      </c>
      <c r="R88">
        <f t="shared" si="37"/>
        <v>5.91</v>
      </c>
      <c r="S88">
        <f t="shared" si="38"/>
        <v>1227.8499999999999</v>
      </c>
      <c r="T88">
        <f t="shared" si="39"/>
        <v>0</v>
      </c>
      <c r="U88">
        <f t="shared" si="40"/>
        <v>5.1520000000000001</v>
      </c>
      <c r="V88">
        <f t="shared" si="41"/>
        <v>1.8200000000000001E-2</v>
      </c>
      <c r="W88">
        <f t="shared" si="42"/>
        <v>0</v>
      </c>
      <c r="X88">
        <f t="shared" si="43"/>
        <v>1110.3800000000001</v>
      </c>
      <c r="Y88">
        <f t="shared" si="44"/>
        <v>567.53</v>
      </c>
      <c r="AA88">
        <v>143120906</v>
      </c>
      <c r="AB88">
        <f t="shared" si="45"/>
        <v>324.67</v>
      </c>
      <c r="AC88">
        <f t="shared" si="46"/>
        <v>2.23</v>
      </c>
      <c r="AD88">
        <f t="shared" si="72"/>
        <v>8.5399999999999991</v>
      </c>
      <c r="AE88">
        <f t="shared" si="73"/>
        <v>1.51</v>
      </c>
      <c r="AF88">
        <f t="shared" si="73"/>
        <v>313.89999999999998</v>
      </c>
      <c r="AG88">
        <f t="shared" si="47"/>
        <v>0</v>
      </c>
      <c r="AH88">
        <f t="shared" si="74"/>
        <v>36.799999999999997</v>
      </c>
      <c r="AI88">
        <f t="shared" si="74"/>
        <v>0.13</v>
      </c>
      <c r="AJ88">
        <f t="shared" si="48"/>
        <v>0</v>
      </c>
      <c r="AK88">
        <v>324.67</v>
      </c>
      <c r="AL88">
        <v>2.23</v>
      </c>
      <c r="AM88">
        <v>8.5399999999999991</v>
      </c>
      <c r="AN88">
        <v>1.51</v>
      </c>
      <c r="AO88">
        <v>313.89999999999998</v>
      </c>
      <c r="AP88">
        <v>0</v>
      </c>
      <c r="AQ88">
        <v>36.799999999999997</v>
      </c>
      <c r="AR88">
        <v>0.13</v>
      </c>
      <c r="AS88">
        <v>0</v>
      </c>
      <c r="AT88">
        <v>90</v>
      </c>
      <c r="AU88">
        <v>46</v>
      </c>
      <c r="AV88">
        <v>1</v>
      </c>
      <c r="AW88">
        <v>1</v>
      </c>
      <c r="AZ88">
        <v>1</v>
      </c>
      <c r="BA88">
        <v>27.94</v>
      </c>
      <c r="BB88">
        <v>11.05</v>
      </c>
      <c r="BC88">
        <v>7.99</v>
      </c>
      <c r="BD88" t="s">
        <v>3</v>
      </c>
      <c r="BE88" t="s">
        <v>3</v>
      </c>
      <c r="BF88" t="s">
        <v>3</v>
      </c>
      <c r="BG88" t="s">
        <v>3</v>
      </c>
      <c r="BH88">
        <v>0</v>
      </c>
      <c r="BI88">
        <v>1</v>
      </c>
      <c r="BJ88" t="s">
        <v>227</v>
      </c>
      <c r="BM88">
        <v>58001</v>
      </c>
      <c r="BN88">
        <v>0</v>
      </c>
      <c r="BO88" t="s">
        <v>3</v>
      </c>
      <c r="BP88">
        <v>0</v>
      </c>
      <c r="BQ88">
        <v>6</v>
      </c>
      <c r="BR88">
        <v>0</v>
      </c>
      <c r="BS88">
        <v>27.94</v>
      </c>
      <c r="BT88">
        <v>1</v>
      </c>
      <c r="BU88">
        <v>1</v>
      </c>
      <c r="BV88">
        <v>1</v>
      </c>
      <c r="BW88">
        <v>1</v>
      </c>
      <c r="BX88">
        <v>1</v>
      </c>
      <c r="BY88" t="s">
        <v>3</v>
      </c>
      <c r="BZ88">
        <v>90</v>
      </c>
      <c r="CA88">
        <v>46</v>
      </c>
      <c r="CB88" t="s">
        <v>3</v>
      </c>
      <c r="CE88">
        <v>0</v>
      </c>
      <c r="CF88">
        <v>0</v>
      </c>
      <c r="CG88">
        <v>0</v>
      </c>
      <c r="CM88">
        <v>0</v>
      </c>
      <c r="CN88" t="s">
        <v>3</v>
      </c>
      <c r="CO88">
        <v>0</v>
      </c>
      <c r="CP88">
        <f t="shared" si="49"/>
        <v>1243.55</v>
      </c>
      <c r="CQ88">
        <f t="shared" si="50"/>
        <v>17.817700000000002</v>
      </c>
      <c r="CR88">
        <f t="shared" si="75"/>
        <v>94.36699999999999</v>
      </c>
      <c r="CS88">
        <f t="shared" si="51"/>
        <v>42.189399999999999</v>
      </c>
      <c r="CT88">
        <f t="shared" si="52"/>
        <v>8770.366</v>
      </c>
      <c r="CU88">
        <f t="shared" si="53"/>
        <v>0</v>
      </c>
      <c r="CV88">
        <f t="shared" si="54"/>
        <v>36.799999999999997</v>
      </c>
      <c r="CW88">
        <f t="shared" si="55"/>
        <v>0.13</v>
      </c>
      <c r="CX88">
        <f t="shared" si="56"/>
        <v>0</v>
      </c>
      <c r="CY88">
        <f t="shared" si="57"/>
        <v>1110.384</v>
      </c>
      <c r="CZ88">
        <f t="shared" si="58"/>
        <v>567.52959999999996</v>
      </c>
      <c r="DC88" t="s">
        <v>3</v>
      </c>
      <c r="DD88" t="s">
        <v>3</v>
      </c>
      <c r="DE88" t="s">
        <v>3</v>
      </c>
      <c r="DF88" t="s">
        <v>3</v>
      </c>
      <c r="DG88" t="s">
        <v>3</v>
      </c>
      <c r="DH88" t="s">
        <v>3</v>
      </c>
      <c r="DI88" t="s">
        <v>3</v>
      </c>
      <c r="DJ88" t="s">
        <v>3</v>
      </c>
      <c r="DK88" t="s">
        <v>3</v>
      </c>
      <c r="DL88" t="s">
        <v>3</v>
      </c>
      <c r="DM88" t="s">
        <v>3</v>
      </c>
      <c r="DN88">
        <v>0</v>
      </c>
      <c r="DO88">
        <v>0</v>
      </c>
      <c r="DP88">
        <v>1</v>
      </c>
      <c r="DQ88">
        <v>1</v>
      </c>
      <c r="DU88">
        <v>1003</v>
      </c>
      <c r="DV88" t="s">
        <v>64</v>
      </c>
      <c r="DW88" t="s">
        <v>64</v>
      </c>
      <c r="DX88">
        <v>100</v>
      </c>
      <c r="DZ88" t="s">
        <v>3</v>
      </c>
      <c r="EA88" t="s">
        <v>3</v>
      </c>
      <c r="EB88" t="s">
        <v>3</v>
      </c>
      <c r="EC88" t="s">
        <v>3</v>
      </c>
      <c r="EE88">
        <v>140625154</v>
      </c>
      <c r="EF88">
        <v>6</v>
      </c>
      <c r="EG88" t="s">
        <v>212</v>
      </c>
      <c r="EH88">
        <v>92</v>
      </c>
      <c r="EI88" t="s">
        <v>213</v>
      </c>
      <c r="EJ88">
        <v>1</v>
      </c>
      <c r="EK88">
        <v>58001</v>
      </c>
      <c r="EL88" t="s">
        <v>213</v>
      </c>
      <c r="EM88" t="s">
        <v>214</v>
      </c>
      <c r="EO88" t="s">
        <v>3</v>
      </c>
      <c r="EQ88">
        <v>0</v>
      </c>
      <c r="ER88">
        <v>324.67</v>
      </c>
      <c r="ES88">
        <v>2.23</v>
      </c>
      <c r="ET88">
        <v>8.5399999999999991</v>
      </c>
      <c r="EU88">
        <v>1.51</v>
      </c>
      <c r="EV88">
        <v>313.89999999999998</v>
      </c>
      <c r="EW88">
        <v>36.799999999999997</v>
      </c>
      <c r="EX88">
        <v>0.13</v>
      </c>
      <c r="EY88">
        <v>0</v>
      </c>
      <c r="FQ88">
        <v>0</v>
      </c>
      <c r="FR88">
        <f t="shared" si="59"/>
        <v>0</v>
      </c>
      <c r="FS88">
        <v>0</v>
      </c>
      <c r="FX88">
        <v>90</v>
      </c>
      <c r="FY88">
        <v>46</v>
      </c>
      <c r="GA88" t="s">
        <v>3</v>
      </c>
      <c r="GD88">
        <v>1</v>
      </c>
      <c r="GF88">
        <v>338291232</v>
      </c>
      <c r="GG88">
        <v>2</v>
      </c>
      <c r="GH88">
        <v>1</v>
      </c>
      <c r="GI88">
        <v>4</v>
      </c>
      <c r="GJ88">
        <v>0</v>
      </c>
      <c r="GK88">
        <v>0</v>
      </c>
      <c r="GL88">
        <f t="shared" si="60"/>
        <v>0</v>
      </c>
      <c r="GM88">
        <f t="shared" si="61"/>
        <v>2921.46</v>
      </c>
      <c r="GN88">
        <f t="shared" si="62"/>
        <v>2921.46</v>
      </c>
      <c r="GO88">
        <f t="shared" si="63"/>
        <v>0</v>
      </c>
      <c r="GP88">
        <f t="shared" si="64"/>
        <v>0</v>
      </c>
      <c r="GR88">
        <v>0</v>
      </c>
      <c r="GS88">
        <v>3</v>
      </c>
      <c r="GT88">
        <v>0</v>
      </c>
      <c r="GU88" t="s">
        <v>3</v>
      </c>
      <c r="GV88">
        <f t="shared" si="65"/>
        <v>0</v>
      </c>
      <c r="GW88">
        <v>1</v>
      </c>
      <c r="GX88">
        <f t="shared" si="66"/>
        <v>0</v>
      </c>
      <c r="HA88">
        <v>0</v>
      </c>
      <c r="HB88">
        <v>0</v>
      </c>
      <c r="HC88">
        <f t="shared" si="67"/>
        <v>0</v>
      </c>
      <c r="HE88" t="s">
        <v>3</v>
      </c>
      <c r="HF88" t="s">
        <v>3</v>
      </c>
      <c r="HM88" t="s">
        <v>3</v>
      </c>
      <c r="HN88" t="s">
        <v>215</v>
      </c>
      <c r="HO88" t="s">
        <v>216</v>
      </c>
      <c r="HP88" t="s">
        <v>217</v>
      </c>
      <c r="HQ88" t="s">
        <v>217</v>
      </c>
      <c r="IK88">
        <v>0</v>
      </c>
    </row>
    <row r="89" spans="1:245" x14ac:dyDescent="0.2">
      <c r="A89">
        <v>17</v>
      </c>
      <c r="B89">
        <v>1</v>
      </c>
      <c r="E89" t="s">
        <v>228</v>
      </c>
      <c r="F89" t="s">
        <v>136</v>
      </c>
      <c r="G89" t="s">
        <v>229</v>
      </c>
      <c r="H89" t="s">
        <v>138</v>
      </c>
      <c r="I89">
        <v>16.03</v>
      </c>
      <c r="J89">
        <v>0</v>
      </c>
      <c r="K89">
        <v>16.03</v>
      </c>
      <c r="O89">
        <f t="shared" si="34"/>
        <v>4484.07</v>
      </c>
      <c r="P89">
        <f t="shared" si="35"/>
        <v>4484.07</v>
      </c>
      <c r="Q89">
        <f t="shared" si="36"/>
        <v>0</v>
      </c>
      <c r="R89">
        <f t="shared" si="37"/>
        <v>0</v>
      </c>
      <c r="S89">
        <f t="shared" si="38"/>
        <v>0</v>
      </c>
      <c r="T89">
        <f t="shared" si="39"/>
        <v>0</v>
      </c>
      <c r="U89">
        <f t="shared" si="40"/>
        <v>0</v>
      </c>
      <c r="V89">
        <f t="shared" si="41"/>
        <v>0</v>
      </c>
      <c r="W89">
        <f t="shared" si="42"/>
        <v>0</v>
      </c>
      <c r="X89">
        <f t="shared" si="43"/>
        <v>0</v>
      </c>
      <c r="Y89">
        <f t="shared" si="44"/>
        <v>0</v>
      </c>
      <c r="AA89">
        <v>143120906</v>
      </c>
      <c r="AB89">
        <f t="shared" si="45"/>
        <v>35.01</v>
      </c>
      <c r="AC89">
        <f t="shared" si="46"/>
        <v>35.01</v>
      </c>
      <c r="AD89">
        <f t="shared" si="72"/>
        <v>0</v>
      </c>
      <c r="AE89">
        <f t="shared" si="73"/>
        <v>0</v>
      </c>
      <c r="AF89">
        <f t="shared" si="73"/>
        <v>0</v>
      </c>
      <c r="AG89">
        <f t="shared" si="47"/>
        <v>0</v>
      </c>
      <c r="AH89">
        <f t="shared" si="74"/>
        <v>0</v>
      </c>
      <c r="AI89">
        <f t="shared" si="74"/>
        <v>0</v>
      </c>
      <c r="AJ89">
        <f t="shared" si="48"/>
        <v>0</v>
      </c>
      <c r="AK89">
        <v>35.01</v>
      </c>
      <c r="AL89">
        <v>35.01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1</v>
      </c>
      <c r="AW89">
        <v>1</v>
      </c>
      <c r="AZ89">
        <v>1</v>
      </c>
      <c r="BA89">
        <v>1</v>
      </c>
      <c r="BB89">
        <v>1</v>
      </c>
      <c r="BC89">
        <v>7.99</v>
      </c>
      <c r="BD89" t="s">
        <v>3</v>
      </c>
      <c r="BE89" t="s">
        <v>3</v>
      </c>
      <c r="BF89" t="s">
        <v>3</v>
      </c>
      <c r="BG89" t="s">
        <v>3</v>
      </c>
      <c r="BH89">
        <v>3</v>
      </c>
      <c r="BI89">
        <v>1</v>
      </c>
      <c r="BJ89" t="s">
        <v>3</v>
      </c>
      <c r="BM89">
        <v>1100</v>
      </c>
      <c r="BN89">
        <v>0</v>
      </c>
      <c r="BO89" t="s">
        <v>3</v>
      </c>
      <c r="BP89">
        <v>0</v>
      </c>
      <c r="BQ89">
        <v>8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3</v>
      </c>
      <c r="BZ89">
        <v>0</v>
      </c>
      <c r="CA89">
        <v>0</v>
      </c>
      <c r="CB89" t="s">
        <v>3</v>
      </c>
      <c r="CE89">
        <v>0</v>
      </c>
      <c r="CF89">
        <v>0</v>
      </c>
      <c r="CG89">
        <v>0</v>
      </c>
      <c r="CM89">
        <v>0</v>
      </c>
      <c r="CN89" t="s">
        <v>3</v>
      </c>
      <c r="CO89">
        <v>0</v>
      </c>
      <c r="CP89">
        <f t="shared" si="49"/>
        <v>4484.07</v>
      </c>
      <c r="CQ89">
        <f t="shared" si="50"/>
        <v>279.72989999999999</v>
      </c>
      <c r="CR89">
        <f t="shared" si="75"/>
        <v>0</v>
      </c>
      <c r="CS89">
        <f t="shared" si="51"/>
        <v>0</v>
      </c>
      <c r="CT89">
        <f t="shared" si="52"/>
        <v>0</v>
      </c>
      <c r="CU89">
        <f t="shared" si="53"/>
        <v>0</v>
      </c>
      <c r="CV89">
        <f t="shared" si="54"/>
        <v>0</v>
      </c>
      <c r="CW89">
        <f t="shared" si="55"/>
        <v>0</v>
      </c>
      <c r="CX89">
        <f t="shared" si="56"/>
        <v>0</v>
      </c>
      <c r="CY89">
        <f t="shared" si="57"/>
        <v>0</v>
      </c>
      <c r="CZ89">
        <f t="shared" si="58"/>
        <v>0</v>
      </c>
      <c r="DC89" t="s">
        <v>3</v>
      </c>
      <c r="DD89" t="s">
        <v>3</v>
      </c>
      <c r="DE89" t="s">
        <v>3</v>
      </c>
      <c r="DF89" t="s">
        <v>3</v>
      </c>
      <c r="DG89" t="s">
        <v>3</v>
      </c>
      <c r="DH89" t="s">
        <v>3</v>
      </c>
      <c r="DI89" t="s">
        <v>3</v>
      </c>
      <c r="DJ89" t="s">
        <v>3</v>
      </c>
      <c r="DK89" t="s">
        <v>3</v>
      </c>
      <c r="DL89" t="s">
        <v>3</v>
      </c>
      <c r="DM89" t="s">
        <v>3</v>
      </c>
      <c r="DN89">
        <v>0</v>
      </c>
      <c r="DO89">
        <v>0</v>
      </c>
      <c r="DP89">
        <v>1</v>
      </c>
      <c r="DQ89">
        <v>1</v>
      </c>
      <c r="DU89">
        <v>1003</v>
      </c>
      <c r="DV89" t="s">
        <v>138</v>
      </c>
      <c r="DW89" t="s">
        <v>138</v>
      </c>
      <c r="DX89">
        <v>1</v>
      </c>
      <c r="DZ89" t="s">
        <v>3</v>
      </c>
      <c r="EA89" t="s">
        <v>3</v>
      </c>
      <c r="EB89" t="s">
        <v>3</v>
      </c>
      <c r="EC89" t="s">
        <v>3</v>
      </c>
      <c r="EE89">
        <v>140625274</v>
      </c>
      <c r="EF89">
        <v>8</v>
      </c>
      <c r="EG89" t="s">
        <v>139</v>
      </c>
      <c r="EH89">
        <v>0</v>
      </c>
      <c r="EI89" t="s">
        <v>3</v>
      </c>
      <c r="EJ89">
        <v>1</v>
      </c>
      <c r="EK89">
        <v>1100</v>
      </c>
      <c r="EL89" t="s">
        <v>140</v>
      </c>
      <c r="EM89" t="s">
        <v>141</v>
      </c>
      <c r="EO89" t="s">
        <v>3</v>
      </c>
      <c r="EQ89">
        <v>0</v>
      </c>
      <c r="ER89">
        <v>35.01</v>
      </c>
      <c r="ES89">
        <v>35.01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5</v>
      </c>
      <c r="FC89">
        <v>1</v>
      </c>
      <c r="FD89">
        <v>18</v>
      </c>
      <c r="FF89">
        <v>313.39999999999998</v>
      </c>
      <c r="FQ89">
        <v>0</v>
      </c>
      <c r="FR89">
        <f t="shared" si="59"/>
        <v>0</v>
      </c>
      <c r="FS89">
        <v>0</v>
      </c>
      <c r="FX89">
        <v>0</v>
      </c>
      <c r="FY89">
        <v>0</v>
      </c>
      <c r="GA89" t="s">
        <v>230</v>
      </c>
      <c r="GD89">
        <v>1</v>
      </c>
      <c r="GF89">
        <v>123876432</v>
      </c>
      <c r="GG89">
        <v>2</v>
      </c>
      <c r="GH89">
        <v>3</v>
      </c>
      <c r="GI89">
        <v>4</v>
      </c>
      <c r="GJ89">
        <v>0</v>
      </c>
      <c r="GK89">
        <v>0</v>
      </c>
      <c r="GL89">
        <f t="shared" si="60"/>
        <v>0</v>
      </c>
      <c r="GM89">
        <f t="shared" si="61"/>
        <v>4484.07</v>
      </c>
      <c r="GN89">
        <f t="shared" si="62"/>
        <v>4484.07</v>
      </c>
      <c r="GO89">
        <f t="shared" si="63"/>
        <v>0</v>
      </c>
      <c r="GP89">
        <f t="shared" si="64"/>
        <v>0</v>
      </c>
      <c r="GR89">
        <v>1</v>
      </c>
      <c r="GS89">
        <v>1</v>
      </c>
      <c r="GT89">
        <v>0</v>
      </c>
      <c r="GU89" t="s">
        <v>3</v>
      </c>
      <c r="GV89">
        <f t="shared" si="65"/>
        <v>0</v>
      </c>
      <c r="GW89">
        <v>1</v>
      </c>
      <c r="GX89">
        <f t="shared" si="66"/>
        <v>0</v>
      </c>
      <c r="HA89">
        <v>0</v>
      </c>
      <c r="HB89">
        <v>0</v>
      </c>
      <c r="HC89">
        <f t="shared" si="67"/>
        <v>0</v>
      </c>
      <c r="HE89" t="s">
        <v>61</v>
      </c>
      <c r="HF89" t="s">
        <v>33</v>
      </c>
      <c r="HM89" t="s">
        <v>3</v>
      </c>
      <c r="HN89" t="s">
        <v>3</v>
      </c>
      <c r="HO89" t="s">
        <v>3</v>
      </c>
      <c r="HP89" t="s">
        <v>3</v>
      </c>
      <c r="HQ89" t="s">
        <v>3</v>
      </c>
      <c r="IK89">
        <v>0</v>
      </c>
    </row>
    <row r="90" spans="1:245" x14ac:dyDescent="0.2">
      <c r="A90">
        <v>17</v>
      </c>
      <c r="B90">
        <v>1</v>
      </c>
      <c r="C90">
        <f>ROW(SmtRes!A86)</f>
        <v>86</v>
      </c>
      <c r="D90">
        <f>ROW(EtalonRes!A109)</f>
        <v>109</v>
      </c>
      <c r="E90" t="s">
        <v>231</v>
      </c>
      <c r="F90" t="s">
        <v>232</v>
      </c>
      <c r="G90" t="s">
        <v>233</v>
      </c>
      <c r="H90" t="s">
        <v>234</v>
      </c>
      <c r="I90">
        <f>ROUND(4/100,9)</f>
        <v>0.04</v>
      </c>
      <c r="J90">
        <v>0</v>
      </c>
      <c r="K90">
        <f>ROUND(4/100,9)</f>
        <v>0.04</v>
      </c>
      <c r="O90">
        <f t="shared" si="34"/>
        <v>566.20000000000005</v>
      </c>
      <c r="P90">
        <f t="shared" si="35"/>
        <v>52.9</v>
      </c>
      <c r="Q90">
        <f t="shared" si="36"/>
        <v>2.3199999999999998</v>
      </c>
      <c r="R90">
        <f t="shared" si="37"/>
        <v>1.04</v>
      </c>
      <c r="S90">
        <f t="shared" si="38"/>
        <v>510.98</v>
      </c>
      <c r="T90">
        <f t="shared" si="39"/>
        <v>0</v>
      </c>
      <c r="U90">
        <f t="shared" si="40"/>
        <v>2.1440000000000001</v>
      </c>
      <c r="V90">
        <f t="shared" si="41"/>
        <v>3.2000000000000002E-3</v>
      </c>
      <c r="W90">
        <f t="shared" si="42"/>
        <v>0</v>
      </c>
      <c r="X90">
        <f t="shared" si="43"/>
        <v>460.82</v>
      </c>
      <c r="Y90">
        <f t="shared" si="44"/>
        <v>235.53</v>
      </c>
      <c r="AA90">
        <v>143120906</v>
      </c>
      <c r="AB90">
        <f t="shared" si="45"/>
        <v>628</v>
      </c>
      <c r="AC90">
        <f t="shared" si="46"/>
        <v>165.53</v>
      </c>
      <c r="AD90">
        <f t="shared" si="72"/>
        <v>5.26</v>
      </c>
      <c r="AE90">
        <f t="shared" si="73"/>
        <v>0.93</v>
      </c>
      <c r="AF90">
        <f t="shared" si="73"/>
        <v>457.21</v>
      </c>
      <c r="AG90">
        <f t="shared" si="47"/>
        <v>0</v>
      </c>
      <c r="AH90">
        <f t="shared" si="74"/>
        <v>53.6</v>
      </c>
      <c r="AI90">
        <f t="shared" si="74"/>
        <v>0.08</v>
      </c>
      <c r="AJ90">
        <f t="shared" si="48"/>
        <v>0</v>
      </c>
      <c r="AK90">
        <v>628</v>
      </c>
      <c r="AL90">
        <v>165.53</v>
      </c>
      <c r="AM90">
        <v>5.26</v>
      </c>
      <c r="AN90">
        <v>0.93</v>
      </c>
      <c r="AO90">
        <v>457.21</v>
      </c>
      <c r="AP90">
        <v>0</v>
      </c>
      <c r="AQ90">
        <v>53.6</v>
      </c>
      <c r="AR90">
        <v>0.08</v>
      </c>
      <c r="AS90">
        <v>0</v>
      </c>
      <c r="AT90">
        <v>90</v>
      </c>
      <c r="AU90">
        <v>46</v>
      </c>
      <c r="AV90">
        <v>1</v>
      </c>
      <c r="AW90">
        <v>1</v>
      </c>
      <c r="AZ90">
        <v>1</v>
      </c>
      <c r="BA90">
        <v>27.94</v>
      </c>
      <c r="BB90">
        <v>11.05</v>
      </c>
      <c r="BC90">
        <v>7.99</v>
      </c>
      <c r="BD90" t="s">
        <v>3</v>
      </c>
      <c r="BE90" t="s">
        <v>3</v>
      </c>
      <c r="BF90" t="s">
        <v>3</v>
      </c>
      <c r="BG90" t="s">
        <v>3</v>
      </c>
      <c r="BH90">
        <v>0</v>
      </c>
      <c r="BI90">
        <v>1</v>
      </c>
      <c r="BJ90" t="s">
        <v>235</v>
      </c>
      <c r="BM90">
        <v>58001</v>
      </c>
      <c r="BN90">
        <v>0</v>
      </c>
      <c r="BO90" t="s">
        <v>3</v>
      </c>
      <c r="BP90">
        <v>0</v>
      </c>
      <c r="BQ90">
        <v>6</v>
      </c>
      <c r="BR90">
        <v>0</v>
      </c>
      <c r="BS90">
        <v>27.94</v>
      </c>
      <c r="BT90">
        <v>1</v>
      </c>
      <c r="BU90">
        <v>1</v>
      </c>
      <c r="BV90">
        <v>1</v>
      </c>
      <c r="BW90">
        <v>1</v>
      </c>
      <c r="BX90">
        <v>1</v>
      </c>
      <c r="BY90" t="s">
        <v>3</v>
      </c>
      <c r="BZ90">
        <v>90</v>
      </c>
      <c r="CA90">
        <v>46</v>
      </c>
      <c r="CB90" t="s">
        <v>3</v>
      </c>
      <c r="CE90">
        <v>0</v>
      </c>
      <c r="CF90">
        <v>0</v>
      </c>
      <c r="CG90">
        <v>0</v>
      </c>
      <c r="CM90">
        <v>0</v>
      </c>
      <c r="CN90" t="s">
        <v>3</v>
      </c>
      <c r="CO90">
        <v>0</v>
      </c>
      <c r="CP90">
        <f t="shared" si="49"/>
        <v>566.20000000000005</v>
      </c>
      <c r="CQ90">
        <f t="shared" si="50"/>
        <v>1322.5847000000001</v>
      </c>
      <c r="CR90">
        <f t="shared" si="75"/>
        <v>58.123000000000005</v>
      </c>
      <c r="CS90">
        <f t="shared" si="51"/>
        <v>25.984200000000001</v>
      </c>
      <c r="CT90">
        <f t="shared" si="52"/>
        <v>12774.447399999999</v>
      </c>
      <c r="CU90">
        <f t="shared" si="53"/>
        <v>0</v>
      </c>
      <c r="CV90">
        <f t="shared" si="54"/>
        <v>53.6</v>
      </c>
      <c r="CW90">
        <f t="shared" si="55"/>
        <v>0.08</v>
      </c>
      <c r="CX90">
        <f t="shared" si="56"/>
        <v>0</v>
      </c>
      <c r="CY90">
        <f t="shared" si="57"/>
        <v>460.81799999999998</v>
      </c>
      <c r="CZ90">
        <f t="shared" si="58"/>
        <v>235.52919999999997</v>
      </c>
      <c r="DC90" t="s">
        <v>3</v>
      </c>
      <c r="DD90" t="s">
        <v>3</v>
      </c>
      <c r="DE90" t="s">
        <v>3</v>
      </c>
      <c r="DF90" t="s">
        <v>3</v>
      </c>
      <c r="DG90" t="s">
        <v>3</v>
      </c>
      <c r="DH90" t="s">
        <v>3</v>
      </c>
      <c r="DI90" t="s">
        <v>3</v>
      </c>
      <c r="DJ90" t="s">
        <v>3</v>
      </c>
      <c r="DK90" t="s">
        <v>3</v>
      </c>
      <c r="DL90" t="s">
        <v>3</v>
      </c>
      <c r="DM90" t="s">
        <v>3</v>
      </c>
      <c r="DN90">
        <v>0</v>
      </c>
      <c r="DO90">
        <v>0</v>
      </c>
      <c r="DP90">
        <v>1</v>
      </c>
      <c r="DQ90">
        <v>1</v>
      </c>
      <c r="DU90">
        <v>1013</v>
      </c>
      <c r="DV90" t="s">
        <v>234</v>
      </c>
      <c r="DW90" t="s">
        <v>234</v>
      </c>
      <c r="DX90">
        <v>1</v>
      </c>
      <c r="DZ90" t="s">
        <v>3</v>
      </c>
      <c r="EA90" t="s">
        <v>3</v>
      </c>
      <c r="EB90" t="s">
        <v>3</v>
      </c>
      <c r="EC90" t="s">
        <v>3</v>
      </c>
      <c r="EE90">
        <v>140625154</v>
      </c>
      <c r="EF90">
        <v>6</v>
      </c>
      <c r="EG90" t="s">
        <v>212</v>
      </c>
      <c r="EH90">
        <v>92</v>
      </c>
      <c r="EI90" t="s">
        <v>213</v>
      </c>
      <c r="EJ90">
        <v>1</v>
      </c>
      <c r="EK90">
        <v>58001</v>
      </c>
      <c r="EL90" t="s">
        <v>213</v>
      </c>
      <c r="EM90" t="s">
        <v>214</v>
      </c>
      <c r="EO90" t="s">
        <v>3</v>
      </c>
      <c r="EQ90">
        <v>0</v>
      </c>
      <c r="ER90">
        <v>628</v>
      </c>
      <c r="ES90">
        <v>165.53</v>
      </c>
      <c r="ET90">
        <v>5.26</v>
      </c>
      <c r="EU90">
        <v>0.93</v>
      </c>
      <c r="EV90">
        <v>457.21</v>
      </c>
      <c r="EW90">
        <v>53.6</v>
      </c>
      <c r="EX90">
        <v>0.08</v>
      </c>
      <c r="EY90">
        <v>0</v>
      </c>
      <c r="FQ90">
        <v>0</v>
      </c>
      <c r="FR90">
        <f t="shared" si="59"/>
        <v>0</v>
      </c>
      <c r="FS90">
        <v>0</v>
      </c>
      <c r="FX90">
        <v>90</v>
      </c>
      <c r="FY90">
        <v>46</v>
      </c>
      <c r="GA90" t="s">
        <v>3</v>
      </c>
      <c r="GD90">
        <v>1</v>
      </c>
      <c r="GF90">
        <v>341826565</v>
      </c>
      <c r="GG90">
        <v>2</v>
      </c>
      <c r="GH90">
        <v>1</v>
      </c>
      <c r="GI90">
        <v>4</v>
      </c>
      <c r="GJ90">
        <v>0</v>
      </c>
      <c r="GK90">
        <v>0</v>
      </c>
      <c r="GL90">
        <f t="shared" si="60"/>
        <v>0</v>
      </c>
      <c r="GM90">
        <f t="shared" si="61"/>
        <v>1262.55</v>
      </c>
      <c r="GN90">
        <f t="shared" si="62"/>
        <v>1262.55</v>
      </c>
      <c r="GO90">
        <f t="shared" si="63"/>
        <v>0</v>
      </c>
      <c r="GP90">
        <f t="shared" si="64"/>
        <v>0</v>
      </c>
      <c r="GR90">
        <v>0</v>
      </c>
      <c r="GS90">
        <v>3</v>
      </c>
      <c r="GT90">
        <v>0</v>
      </c>
      <c r="GU90" t="s">
        <v>3</v>
      </c>
      <c r="GV90">
        <f t="shared" si="65"/>
        <v>0</v>
      </c>
      <c r="GW90">
        <v>1</v>
      </c>
      <c r="GX90">
        <f t="shared" si="66"/>
        <v>0</v>
      </c>
      <c r="HA90">
        <v>0</v>
      </c>
      <c r="HB90">
        <v>0</v>
      </c>
      <c r="HC90">
        <f t="shared" si="67"/>
        <v>0</v>
      </c>
      <c r="HE90" t="s">
        <v>3</v>
      </c>
      <c r="HF90" t="s">
        <v>3</v>
      </c>
      <c r="HM90" t="s">
        <v>3</v>
      </c>
      <c r="HN90" t="s">
        <v>215</v>
      </c>
      <c r="HO90" t="s">
        <v>216</v>
      </c>
      <c r="HP90" t="s">
        <v>217</v>
      </c>
      <c r="HQ90" t="s">
        <v>217</v>
      </c>
      <c r="IK90">
        <v>0</v>
      </c>
    </row>
    <row r="91" spans="1:245" x14ac:dyDescent="0.2">
      <c r="A91">
        <v>17</v>
      </c>
      <c r="B91">
        <v>1</v>
      </c>
      <c r="E91" t="s">
        <v>236</v>
      </c>
      <c r="F91" t="s">
        <v>136</v>
      </c>
      <c r="G91" t="s">
        <v>237</v>
      </c>
      <c r="H91" t="s">
        <v>44</v>
      </c>
      <c r="I91">
        <v>4</v>
      </c>
      <c r="J91">
        <v>0</v>
      </c>
      <c r="K91">
        <v>4</v>
      </c>
      <c r="O91">
        <f t="shared" si="34"/>
        <v>296.91000000000003</v>
      </c>
      <c r="P91">
        <f t="shared" si="35"/>
        <v>296.91000000000003</v>
      </c>
      <c r="Q91">
        <f t="shared" si="36"/>
        <v>0</v>
      </c>
      <c r="R91">
        <f t="shared" si="37"/>
        <v>0</v>
      </c>
      <c r="S91">
        <f t="shared" si="38"/>
        <v>0</v>
      </c>
      <c r="T91">
        <f t="shared" si="39"/>
        <v>0</v>
      </c>
      <c r="U91">
        <f t="shared" si="40"/>
        <v>0</v>
      </c>
      <c r="V91">
        <f t="shared" si="41"/>
        <v>0</v>
      </c>
      <c r="W91">
        <f t="shared" si="42"/>
        <v>0</v>
      </c>
      <c r="X91">
        <f t="shared" si="43"/>
        <v>0</v>
      </c>
      <c r="Y91">
        <f t="shared" si="44"/>
        <v>0</v>
      </c>
      <c r="AA91">
        <v>143120906</v>
      </c>
      <c r="AB91">
        <f t="shared" si="45"/>
        <v>9.2899999999999991</v>
      </c>
      <c r="AC91">
        <f t="shared" si="46"/>
        <v>9.2899999999999991</v>
      </c>
      <c r="AD91">
        <f t="shared" si="72"/>
        <v>0</v>
      </c>
      <c r="AE91">
        <f t="shared" si="73"/>
        <v>0</v>
      </c>
      <c r="AF91">
        <f t="shared" si="73"/>
        <v>0</v>
      </c>
      <c r="AG91">
        <f t="shared" si="47"/>
        <v>0</v>
      </c>
      <c r="AH91">
        <f t="shared" si="74"/>
        <v>0</v>
      </c>
      <c r="AI91">
        <f t="shared" si="74"/>
        <v>0</v>
      </c>
      <c r="AJ91">
        <f t="shared" si="48"/>
        <v>0</v>
      </c>
      <c r="AK91">
        <v>9.2899999999999991</v>
      </c>
      <c r="AL91">
        <v>9.2899999999999991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1</v>
      </c>
      <c r="AZ91">
        <v>1</v>
      </c>
      <c r="BA91">
        <v>1</v>
      </c>
      <c r="BB91">
        <v>1</v>
      </c>
      <c r="BC91">
        <v>7.99</v>
      </c>
      <c r="BD91" t="s">
        <v>3</v>
      </c>
      <c r="BE91" t="s">
        <v>3</v>
      </c>
      <c r="BF91" t="s">
        <v>3</v>
      </c>
      <c r="BG91" t="s">
        <v>3</v>
      </c>
      <c r="BH91">
        <v>3</v>
      </c>
      <c r="BI91">
        <v>1</v>
      </c>
      <c r="BJ91" t="s">
        <v>3</v>
      </c>
      <c r="BM91">
        <v>1100</v>
      </c>
      <c r="BN91">
        <v>0</v>
      </c>
      <c r="BO91" t="s">
        <v>3</v>
      </c>
      <c r="BP91">
        <v>0</v>
      </c>
      <c r="BQ91">
        <v>8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3</v>
      </c>
      <c r="BZ91">
        <v>0</v>
      </c>
      <c r="CA91">
        <v>0</v>
      </c>
      <c r="CB91" t="s">
        <v>3</v>
      </c>
      <c r="CE91">
        <v>0</v>
      </c>
      <c r="CF91">
        <v>0</v>
      </c>
      <c r="CG91">
        <v>0</v>
      </c>
      <c r="CM91">
        <v>0</v>
      </c>
      <c r="CN91" t="s">
        <v>3</v>
      </c>
      <c r="CO91">
        <v>0</v>
      </c>
      <c r="CP91">
        <f t="shared" si="49"/>
        <v>296.91000000000003</v>
      </c>
      <c r="CQ91">
        <f t="shared" si="50"/>
        <v>74.227099999999993</v>
      </c>
      <c r="CR91">
        <f t="shared" si="75"/>
        <v>0</v>
      </c>
      <c r="CS91">
        <f t="shared" si="51"/>
        <v>0</v>
      </c>
      <c r="CT91">
        <f t="shared" si="52"/>
        <v>0</v>
      </c>
      <c r="CU91">
        <f t="shared" si="53"/>
        <v>0</v>
      </c>
      <c r="CV91">
        <f t="shared" si="54"/>
        <v>0</v>
      </c>
      <c r="CW91">
        <f t="shared" si="55"/>
        <v>0</v>
      </c>
      <c r="CX91">
        <f t="shared" si="56"/>
        <v>0</v>
      </c>
      <c r="CY91">
        <f t="shared" si="57"/>
        <v>0</v>
      </c>
      <c r="CZ91">
        <f t="shared" si="58"/>
        <v>0</v>
      </c>
      <c r="DC91" t="s">
        <v>3</v>
      </c>
      <c r="DD91" t="s">
        <v>3</v>
      </c>
      <c r="DE91" t="s">
        <v>3</v>
      </c>
      <c r="DF91" t="s">
        <v>3</v>
      </c>
      <c r="DG91" t="s">
        <v>3</v>
      </c>
      <c r="DH91" t="s">
        <v>3</v>
      </c>
      <c r="DI91" t="s">
        <v>3</v>
      </c>
      <c r="DJ91" t="s">
        <v>3</v>
      </c>
      <c r="DK91" t="s">
        <v>3</v>
      </c>
      <c r="DL91" t="s">
        <v>3</v>
      </c>
      <c r="DM91" t="s">
        <v>3</v>
      </c>
      <c r="DN91">
        <v>0</v>
      </c>
      <c r="DO91">
        <v>0</v>
      </c>
      <c r="DP91">
        <v>1</v>
      </c>
      <c r="DQ91">
        <v>1</v>
      </c>
      <c r="DU91">
        <v>1013</v>
      </c>
      <c r="DV91" t="s">
        <v>44</v>
      </c>
      <c r="DW91" t="s">
        <v>44</v>
      </c>
      <c r="DX91">
        <v>1</v>
      </c>
      <c r="DZ91" t="s">
        <v>3</v>
      </c>
      <c r="EA91" t="s">
        <v>3</v>
      </c>
      <c r="EB91" t="s">
        <v>3</v>
      </c>
      <c r="EC91" t="s">
        <v>3</v>
      </c>
      <c r="EE91">
        <v>140625274</v>
      </c>
      <c r="EF91">
        <v>8</v>
      </c>
      <c r="EG91" t="s">
        <v>139</v>
      </c>
      <c r="EH91">
        <v>0</v>
      </c>
      <c r="EI91" t="s">
        <v>3</v>
      </c>
      <c r="EJ91">
        <v>1</v>
      </c>
      <c r="EK91">
        <v>1100</v>
      </c>
      <c r="EL91" t="s">
        <v>140</v>
      </c>
      <c r="EM91" t="s">
        <v>141</v>
      </c>
      <c r="EO91" t="s">
        <v>3</v>
      </c>
      <c r="EQ91">
        <v>0</v>
      </c>
      <c r="ER91">
        <v>9.2899999999999991</v>
      </c>
      <c r="ES91">
        <v>9.2899999999999991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5</v>
      </c>
      <c r="FC91">
        <v>1</v>
      </c>
      <c r="FD91">
        <v>18</v>
      </c>
      <c r="FF91">
        <v>83.194000000000003</v>
      </c>
      <c r="FQ91">
        <v>0</v>
      </c>
      <c r="FR91">
        <f t="shared" si="59"/>
        <v>0</v>
      </c>
      <c r="FS91">
        <v>0</v>
      </c>
      <c r="FX91">
        <v>0</v>
      </c>
      <c r="FY91">
        <v>0</v>
      </c>
      <c r="GA91" t="s">
        <v>238</v>
      </c>
      <c r="GD91">
        <v>1</v>
      </c>
      <c r="GF91">
        <v>-708370990</v>
      </c>
      <c r="GG91">
        <v>2</v>
      </c>
      <c r="GH91">
        <v>3</v>
      </c>
      <c r="GI91">
        <v>4</v>
      </c>
      <c r="GJ91">
        <v>0</v>
      </c>
      <c r="GK91">
        <v>0</v>
      </c>
      <c r="GL91">
        <f t="shared" si="60"/>
        <v>0</v>
      </c>
      <c r="GM91">
        <f t="shared" si="61"/>
        <v>296.91000000000003</v>
      </c>
      <c r="GN91">
        <f t="shared" si="62"/>
        <v>296.91000000000003</v>
      </c>
      <c r="GO91">
        <f t="shared" si="63"/>
        <v>0</v>
      </c>
      <c r="GP91">
        <f t="shared" si="64"/>
        <v>0</v>
      </c>
      <c r="GR91">
        <v>1</v>
      </c>
      <c r="GS91">
        <v>1</v>
      </c>
      <c r="GT91">
        <v>0</v>
      </c>
      <c r="GU91" t="s">
        <v>3</v>
      </c>
      <c r="GV91">
        <f t="shared" si="65"/>
        <v>0</v>
      </c>
      <c r="GW91">
        <v>1</v>
      </c>
      <c r="GX91">
        <f t="shared" si="66"/>
        <v>0</v>
      </c>
      <c r="HA91">
        <v>0</v>
      </c>
      <c r="HB91">
        <v>0</v>
      </c>
      <c r="HC91">
        <f t="shared" si="67"/>
        <v>0</v>
      </c>
      <c r="HE91" t="s">
        <v>61</v>
      </c>
      <c r="HF91" t="s">
        <v>33</v>
      </c>
      <c r="HM91" t="s">
        <v>3</v>
      </c>
      <c r="HN91" t="s">
        <v>3</v>
      </c>
      <c r="HO91" t="s">
        <v>3</v>
      </c>
      <c r="HP91" t="s">
        <v>3</v>
      </c>
      <c r="HQ91" t="s">
        <v>3</v>
      </c>
      <c r="IK91">
        <v>0</v>
      </c>
    </row>
    <row r="92" spans="1:245" x14ac:dyDescent="0.2">
      <c r="A92">
        <v>17</v>
      </c>
      <c r="B92">
        <v>1</v>
      </c>
      <c r="C92">
        <f>ROW(SmtRes!A87)</f>
        <v>87</v>
      </c>
      <c r="D92">
        <f>ROW(EtalonRes!A110)</f>
        <v>110</v>
      </c>
      <c r="E92" t="s">
        <v>239</v>
      </c>
      <c r="F92" t="s">
        <v>240</v>
      </c>
      <c r="G92" t="s">
        <v>241</v>
      </c>
      <c r="H92" t="s">
        <v>186</v>
      </c>
      <c r="I92">
        <v>25.7</v>
      </c>
      <c r="J92">
        <v>0</v>
      </c>
      <c r="K92">
        <v>25.7</v>
      </c>
      <c r="O92">
        <f t="shared" si="34"/>
        <v>7611.41</v>
      </c>
      <c r="P92">
        <f t="shared" si="35"/>
        <v>0</v>
      </c>
      <c r="Q92">
        <f t="shared" si="36"/>
        <v>0</v>
      </c>
      <c r="R92">
        <f t="shared" si="37"/>
        <v>0</v>
      </c>
      <c r="S92">
        <f t="shared" si="38"/>
        <v>7611.41</v>
      </c>
      <c r="T92">
        <f t="shared" si="39"/>
        <v>0</v>
      </c>
      <c r="U92">
        <f t="shared" si="40"/>
        <v>31.919399999999992</v>
      </c>
      <c r="V92">
        <f t="shared" si="41"/>
        <v>0</v>
      </c>
      <c r="W92">
        <f t="shared" si="42"/>
        <v>0</v>
      </c>
      <c r="X92">
        <f t="shared" si="43"/>
        <v>7154.73</v>
      </c>
      <c r="Y92">
        <f t="shared" si="44"/>
        <v>3299.55</v>
      </c>
      <c r="AA92">
        <v>143120906</v>
      </c>
      <c r="AB92">
        <f t="shared" si="45"/>
        <v>10.6</v>
      </c>
      <c r="AC92">
        <f t="shared" si="46"/>
        <v>0</v>
      </c>
      <c r="AD92">
        <f>ROUND((((((ET92*1.25)*1.2))-(((EU92*1.25)*1.2)))+AE92),2)</f>
        <v>0</v>
      </c>
      <c r="AE92">
        <f>ROUND((((EU92*1.25)*1.2)),2)</f>
        <v>0</v>
      </c>
      <c r="AF92">
        <f>ROUND((((EV92*1.15)*1.2)),2)</f>
        <v>10.6</v>
      </c>
      <c r="AG92">
        <f t="shared" si="47"/>
        <v>0</v>
      </c>
      <c r="AH92">
        <f>(((EW92*1.15)*1.2))</f>
        <v>1.2419999999999998</v>
      </c>
      <c r="AI92">
        <f>(((EX92*1.25)*1.2))</f>
        <v>0</v>
      </c>
      <c r="AJ92">
        <f t="shared" si="48"/>
        <v>0</v>
      </c>
      <c r="AK92">
        <v>7.68</v>
      </c>
      <c r="AL92">
        <v>0</v>
      </c>
      <c r="AM92">
        <v>0</v>
      </c>
      <c r="AN92">
        <v>0</v>
      </c>
      <c r="AO92">
        <v>7.68</v>
      </c>
      <c r="AP92">
        <v>0</v>
      </c>
      <c r="AQ92">
        <v>0.9</v>
      </c>
      <c r="AR92">
        <v>0</v>
      </c>
      <c r="AS92">
        <v>0</v>
      </c>
      <c r="AT92">
        <v>94</v>
      </c>
      <c r="AU92">
        <v>43.35</v>
      </c>
      <c r="AV92">
        <v>1</v>
      </c>
      <c r="AW92">
        <v>1</v>
      </c>
      <c r="AZ92">
        <v>1</v>
      </c>
      <c r="BA92">
        <v>27.94</v>
      </c>
      <c r="BB92">
        <v>11.05</v>
      </c>
      <c r="BC92">
        <v>7.99</v>
      </c>
      <c r="BD92" t="s">
        <v>3</v>
      </c>
      <c r="BE92" t="s">
        <v>3</v>
      </c>
      <c r="BF92" t="s">
        <v>3</v>
      </c>
      <c r="BG92" t="s">
        <v>3</v>
      </c>
      <c r="BH92">
        <v>0</v>
      </c>
      <c r="BI92">
        <v>1</v>
      </c>
      <c r="BJ92" t="s">
        <v>242</v>
      </c>
      <c r="BM92">
        <v>13001</v>
      </c>
      <c r="BN92">
        <v>0</v>
      </c>
      <c r="BO92" t="s">
        <v>3</v>
      </c>
      <c r="BP92">
        <v>0</v>
      </c>
      <c r="BQ92">
        <v>2</v>
      </c>
      <c r="BR92">
        <v>0</v>
      </c>
      <c r="BS92">
        <v>27.94</v>
      </c>
      <c r="BT92">
        <v>1</v>
      </c>
      <c r="BU92">
        <v>1</v>
      </c>
      <c r="BV92">
        <v>1</v>
      </c>
      <c r="BW92">
        <v>1</v>
      </c>
      <c r="BX92">
        <v>1</v>
      </c>
      <c r="BY92" t="s">
        <v>3</v>
      </c>
      <c r="BZ92">
        <v>94</v>
      </c>
      <c r="CA92">
        <v>51</v>
      </c>
      <c r="CB92" t="s">
        <v>3</v>
      </c>
      <c r="CE92">
        <v>0</v>
      </c>
      <c r="CF92">
        <v>0</v>
      </c>
      <c r="CG92">
        <v>0</v>
      </c>
      <c r="CM92">
        <v>0</v>
      </c>
      <c r="CN92" t="s">
        <v>556</v>
      </c>
      <c r="CO92">
        <v>0</v>
      </c>
      <c r="CP92">
        <f t="shared" si="49"/>
        <v>7611.41</v>
      </c>
      <c r="CQ92">
        <f t="shared" si="50"/>
        <v>0</v>
      </c>
      <c r="CR92">
        <f>(((((ET92*1.25)*1.2))*BB92-(((EU92*1.25)*1.2))*BS92)+AE92*BS92)</f>
        <v>0</v>
      </c>
      <c r="CS92">
        <f t="shared" si="51"/>
        <v>0</v>
      </c>
      <c r="CT92">
        <f t="shared" si="52"/>
        <v>296.16399999999999</v>
      </c>
      <c r="CU92">
        <f t="shared" si="53"/>
        <v>0</v>
      </c>
      <c r="CV92">
        <f t="shared" si="54"/>
        <v>1.2419999999999998</v>
      </c>
      <c r="CW92">
        <f t="shared" si="55"/>
        <v>0</v>
      </c>
      <c r="CX92">
        <f t="shared" si="56"/>
        <v>0</v>
      </c>
      <c r="CY92">
        <f t="shared" si="57"/>
        <v>7154.7254000000003</v>
      </c>
      <c r="CZ92">
        <f t="shared" si="58"/>
        <v>3299.5462349999998</v>
      </c>
      <c r="DC92" t="s">
        <v>3</v>
      </c>
      <c r="DD92" t="s">
        <v>3</v>
      </c>
      <c r="DE92" t="s">
        <v>16</v>
      </c>
      <c r="DF92" t="s">
        <v>16</v>
      </c>
      <c r="DG92" t="s">
        <v>17</v>
      </c>
      <c r="DH92" t="s">
        <v>3</v>
      </c>
      <c r="DI92" t="s">
        <v>17</v>
      </c>
      <c r="DJ92" t="s">
        <v>16</v>
      </c>
      <c r="DK92" t="s">
        <v>3</v>
      </c>
      <c r="DL92" t="s">
        <v>3</v>
      </c>
      <c r="DM92" t="s">
        <v>55</v>
      </c>
      <c r="DN92">
        <v>0</v>
      </c>
      <c r="DO92">
        <v>0</v>
      </c>
      <c r="DP92">
        <v>1</v>
      </c>
      <c r="DQ92">
        <v>1</v>
      </c>
      <c r="DU92">
        <v>1005</v>
      </c>
      <c r="DV92" t="s">
        <v>186</v>
      </c>
      <c r="DW92" t="s">
        <v>186</v>
      </c>
      <c r="DX92">
        <v>1</v>
      </c>
      <c r="DZ92" t="s">
        <v>3</v>
      </c>
      <c r="EA92" t="s">
        <v>3</v>
      </c>
      <c r="EB92" t="s">
        <v>3</v>
      </c>
      <c r="EC92" t="s">
        <v>3</v>
      </c>
      <c r="EE92">
        <v>140625034</v>
      </c>
      <c r="EF92">
        <v>2</v>
      </c>
      <c r="EG92" t="s">
        <v>27</v>
      </c>
      <c r="EH92">
        <v>13</v>
      </c>
      <c r="EI92" t="s">
        <v>243</v>
      </c>
      <c r="EJ92">
        <v>1</v>
      </c>
      <c r="EK92">
        <v>13001</v>
      </c>
      <c r="EL92" t="s">
        <v>244</v>
      </c>
      <c r="EM92" t="s">
        <v>245</v>
      </c>
      <c r="EO92" t="s">
        <v>18</v>
      </c>
      <c r="EQ92">
        <v>0</v>
      </c>
      <c r="ER92">
        <v>7.68</v>
      </c>
      <c r="ES92">
        <v>0</v>
      </c>
      <c r="ET92">
        <v>0</v>
      </c>
      <c r="EU92">
        <v>0</v>
      </c>
      <c r="EV92">
        <v>7.68</v>
      </c>
      <c r="EW92">
        <v>0.9</v>
      </c>
      <c r="EX92">
        <v>0</v>
      </c>
      <c r="EY92">
        <v>0</v>
      </c>
      <c r="FQ92">
        <v>0</v>
      </c>
      <c r="FR92">
        <f t="shared" si="59"/>
        <v>0</v>
      </c>
      <c r="FS92">
        <v>0</v>
      </c>
      <c r="FX92">
        <v>94</v>
      </c>
      <c r="FY92">
        <v>43.35</v>
      </c>
      <c r="GA92" t="s">
        <v>3</v>
      </c>
      <c r="GD92">
        <v>1</v>
      </c>
      <c r="GF92">
        <v>-1987431605</v>
      </c>
      <c r="GG92">
        <v>2</v>
      </c>
      <c r="GH92">
        <v>1</v>
      </c>
      <c r="GI92">
        <v>4</v>
      </c>
      <c r="GJ92">
        <v>0</v>
      </c>
      <c r="GK92">
        <v>0</v>
      </c>
      <c r="GL92">
        <f t="shared" si="60"/>
        <v>0</v>
      </c>
      <c r="GM92">
        <f t="shared" si="61"/>
        <v>18065.689999999999</v>
      </c>
      <c r="GN92">
        <f t="shared" si="62"/>
        <v>18065.689999999999</v>
      </c>
      <c r="GO92">
        <f t="shared" si="63"/>
        <v>0</v>
      </c>
      <c r="GP92">
        <f t="shared" si="64"/>
        <v>0</v>
      </c>
      <c r="GR92">
        <v>0</v>
      </c>
      <c r="GS92">
        <v>3</v>
      </c>
      <c r="GT92">
        <v>0</v>
      </c>
      <c r="GU92" t="s">
        <v>3</v>
      </c>
      <c r="GV92">
        <f t="shared" si="65"/>
        <v>0</v>
      </c>
      <c r="GW92">
        <v>1</v>
      </c>
      <c r="GX92">
        <f t="shared" si="66"/>
        <v>0</v>
      </c>
      <c r="HA92">
        <v>0</v>
      </c>
      <c r="HB92">
        <v>0</v>
      </c>
      <c r="HC92">
        <f t="shared" si="67"/>
        <v>0</v>
      </c>
      <c r="HE92" t="s">
        <v>3</v>
      </c>
      <c r="HF92" t="s">
        <v>3</v>
      </c>
      <c r="HM92" t="s">
        <v>3</v>
      </c>
      <c r="HN92" t="s">
        <v>246</v>
      </c>
      <c r="HO92" t="s">
        <v>247</v>
      </c>
      <c r="HP92" t="s">
        <v>243</v>
      </c>
      <c r="HQ92" t="s">
        <v>243</v>
      </c>
      <c r="IK92">
        <v>0</v>
      </c>
    </row>
    <row r="93" spans="1:245" x14ac:dyDescent="0.2">
      <c r="A93">
        <v>17</v>
      </c>
      <c r="B93">
        <v>1</v>
      </c>
      <c r="C93">
        <f>ROW(SmtRes!A89)</f>
        <v>89</v>
      </c>
      <c r="D93">
        <f>ROW(EtalonRes!A112)</f>
        <v>112</v>
      </c>
      <c r="E93" t="s">
        <v>248</v>
      </c>
      <c r="F93" t="s">
        <v>249</v>
      </c>
      <c r="G93" t="s">
        <v>250</v>
      </c>
      <c r="H93" t="s">
        <v>186</v>
      </c>
      <c r="I93">
        <v>25.7</v>
      </c>
      <c r="J93">
        <v>0</v>
      </c>
      <c r="K93">
        <v>25.7</v>
      </c>
      <c r="O93">
        <f t="shared" si="34"/>
        <v>736.56</v>
      </c>
      <c r="P93">
        <f t="shared" si="35"/>
        <v>0</v>
      </c>
      <c r="Q93">
        <f t="shared" si="36"/>
        <v>140.57</v>
      </c>
      <c r="R93">
        <f t="shared" si="37"/>
        <v>0</v>
      </c>
      <c r="S93">
        <f t="shared" si="38"/>
        <v>595.99</v>
      </c>
      <c r="T93">
        <f t="shared" si="39"/>
        <v>0</v>
      </c>
      <c r="U93">
        <f t="shared" si="40"/>
        <v>2.4826200000000003</v>
      </c>
      <c r="V93">
        <f t="shared" si="41"/>
        <v>0</v>
      </c>
      <c r="W93">
        <f t="shared" si="42"/>
        <v>0</v>
      </c>
      <c r="X93">
        <f t="shared" si="43"/>
        <v>560.23</v>
      </c>
      <c r="Y93">
        <f t="shared" si="44"/>
        <v>258.36</v>
      </c>
      <c r="AA93">
        <v>143120906</v>
      </c>
      <c r="AB93">
        <f t="shared" si="45"/>
        <v>1.33</v>
      </c>
      <c r="AC93">
        <f t="shared" si="46"/>
        <v>0</v>
      </c>
      <c r="AD93">
        <f>ROUND((((((ET93*1.25)*1.2))-(((EU93*1.25)*1.2)))+AE93),2)</f>
        <v>0.5</v>
      </c>
      <c r="AE93">
        <f>ROUND((((EU93*1.25)*1.2)),2)</f>
        <v>0</v>
      </c>
      <c r="AF93">
        <f>ROUND((((EV93*1.15)*1.2)),2)</f>
        <v>0.83</v>
      </c>
      <c r="AG93">
        <f t="shared" si="47"/>
        <v>0</v>
      </c>
      <c r="AH93">
        <f>(((EW93*1.15)*1.2))</f>
        <v>9.6600000000000005E-2</v>
      </c>
      <c r="AI93">
        <f>(((EX93*1.25)*1.2))</f>
        <v>0</v>
      </c>
      <c r="AJ93">
        <f t="shared" si="48"/>
        <v>0</v>
      </c>
      <c r="AK93">
        <v>0.93</v>
      </c>
      <c r="AL93">
        <v>0</v>
      </c>
      <c r="AM93">
        <v>0.33</v>
      </c>
      <c r="AN93">
        <v>0</v>
      </c>
      <c r="AO93">
        <v>0.6</v>
      </c>
      <c r="AP93">
        <v>0</v>
      </c>
      <c r="AQ93">
        <v>7.0000000000000007E-2</v>
      </c>
      <c r="AR93">
        <v>0</v>
      </c>
      <c r="AS93">
        <v>0</v>
      </c>
      <c r="AT93">
        <v>94</v>
      </c>
      <c r="AU93">
        <v>43.35</v>
      </c>
      <c r="AV93">
        <v>1</v>
      </c>
      <c r="AW93">
        <v>1</v>
      </c>
      <c r="AZ93">
        <v>1</v>
      </c>
      <c r="BA93">
        <v>27.94</v>
      </c>
      <c r="BB93">
        <v>11.05</v>
      </c>
      <c r="BC93">
        <v>7.99</v>
      </c>
      <c r="BD93" t="s">
        <v>3</v>
      </c>
      <c r="BE93" t="s">
        <v>3</v>
      </c>
      <c r="BF93" t="s">
        <v>3</v>
      </c>
      <c r="BG93" t="s">
        <v>3</v>
      </c>
      <c r="BH93">
        <v>0</v>
      </c>
      <c r="BI93">
        <v>1</v>
      </c>
      <c r="BJ93" t="s">
        <v>251</v>
      </c>
      <c r="BM93">
        <v>13001</v>
      </c>
      <c r="BN93">
        <v>0</v>
      </c>
      <c r="BO93" t="s">
        <v>3</v>
      </c>
      <c r="BP93">
        <v>0</v>
      </c>
      <c r="BQ93">
        <v>2</v>
      </c>
      <c r="BR93">
        <v>0</v>
      </c>
      <c r="BS93">
        <v>27.94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3</v>
      </c>
      <c r="BZ93">
        <v>94</v>
      </c>
      <c r="CA93">
        <v>51</v>
      </c>
      <c r="CB93" t="s">
        <v>3</v>
      </c>
      <c r="CE93">
        <v>0</v>
      </c>
      <c r="CF93">
        <v>0</v>
      </c>
      <c r="CG93">
        <v>0</v>
      </c>
      <c r="CM93">
        <v>0</v>
      </c>
      <c r="CN93" t="s">
        <v>556</v>
      </c>
      <c r="CO93">
        <v>0</v>
      </c>
      <c r="CP93">
        <f t="shared" si="49"/>
        <v>736.56</v>
      </c>
      <c r="CQ93">
        <f t="shared" si="50"/>
        <v>0</v>
      </c>
      <c r="CR93">
        <f>(((((ET93*1.25)*1.2))*BB93-(((EU93*1.25)*1.2))*BS93)+AE93*BS93)</f>
        <v>5.4697500000000003</v>
      </c>
      <c r="CS93">
        <f t="shared" si="51"/>
        <v>0</v>
      </c>
      <c r="CT93">
        <f t="shared" si="52"/>
        <v>23.190200000000001</v>
      </c>
      <c r="CU93">
        <f t="shared" si="53"/>
        <v>0</v>
      </c>
      <c r="CV93">
        <f t="shared" si="54"/>
        <v>9.6600000000000005E-2</v>
      </c>
      <c r="CW93">
        <f t="shared" si="55"/>
        <v>0</v>
      </c>
      <c r="CX93">
        <f t="shared" si="56"/>
        <v>0</v>
      </c>
      <c r="CY93">
        <f t="shared" si="57"/>
        <v>560.23059999999998</v>
      </c>
      <c r="CZ93">
        <f t="shared" si="58"/>
        <v>258.36166500000002</v>
      </c>
      <c r="DC93" t="s">
        <v>3</v>
      </c>
      <c r="DD93" t="s">
        <v>3</v>
      </c>
      <c r="DE93" t="s">
        <v>16</v>
      </c>
      <c r="DF93" t="s">
        <v>16</v>
      </c>
      <c r="DG93" t="s">
        <v>17</v>
      </c>
      <c r="DH93" t="s">
        <v>3</v>
      </c>
      <c r="DI93" t="s">
        <v>17</v>
      </c>
      <c r="DJ93" t="s">
        <v>16</v>
      </c>
      <c r="DK93" t="s">
        <v>3</v>
      </c>
      <c r="DL93" t="s">
        <v>3</v>
      </c>
      <c r="DM93" t="s">
        <v>55</v>
      </c>
      <c r="DN93">
        <v>0</v>
      </c>
      <c r="DO93">
        <v>0</v>
      </c>
      <c r="DP93">
        <v>1</v>
      </c>
      <c r="DQ93">
        <v>1</v>
      </c>
      <c r="DU93">
        <v>1005</v>
      </c>
      <c r="DV93" t="s">
        <v>186</v>
      </c>
      <c r="DW93" t="s">
        <v>186</v>
      </c>
      <c r="DX93">
        <v>1</v>
      </c>
      <c r="DZ93" t="s">
        <v>3</v>
      </c>
      <c r="EA93" t="s">
        <v>3</v>
      </c>
      <c r="EB93" t="s">
        <v>3</v>
      </c>
      <c r="EC93" t="s">
        <v>3</v>
      </c>
      <c r="EE93">
        <v>140625034</v>
      </c>
      <c r="EF93">
        <v>2</v>
      </c>
      <c r="EG93" t="s">
        <v>27</v>
      </c>
      <c r="EH93">
        <v>13</v>
      </c>
      <c r="EI93" t="s">
        <v>243</v>
      </c>
      <c r="EJ93">
        <v>1</v>
      </c>
      <c r="EK93">
        <v>13001</v>
      </c>
      <c r="EL93" t="s">
        <v>244</v>
      </c>
      <c r="EM93" t="s">
        <v>245</v>
      </c>
      <c r="EO93" t="s">
        <v>18</v>
      </c>
      <c r="EQ93">
        <v>0</v>
      </c>
      <c r="ER93">
        <v>0.93</v>
      </c>
      <c r="ES93">
        <v>0</v>
      </c>
      <c r="ET93">
        <v>0.33</v>
      </c>
      <c r="EU93">
        <v>0</v>
      </c>
      <c r="EV93">
        <v>0.6</v>
      </c>
      <c r="EW93">
        <v>7.0000000000000007E-2</v>
      </c>
      <c r="EX93">
        <v>0</v>
      </c>
      <c r="EY93">
        <v>0</v>
      </c>
      <c r="FQ93">
        <v>0</v>
      </c>
      <c r="FR93">
        <f t="shared" si="59"/>
        <v>0</v>
      </c>
      <c r="FS93">
        <v>0</v>
      </c>
      <c r="FX93">
        <v>94</v>
      </c>
      <c r="FY93">
        <v>43.35</v>
      </c>
      <c r="GA93" t="s">
        <v>3</v>
      </c>
      <c r="GD93">
        <v>1</v>
      </c>
      <c r="GF93">
        <v>-65291318</v>
      </c>
      <c r="GG93">
        <v>2</v>
      </c>
      <c r="GH93">
        <v>1</v>
      </c>
      <c r="GI93">
        <v>4</v>
      </c>
      <c r="GJ93">
        <v>0</v>
      </c>
      <c r="GK93">
        <v>0</v>
      </c>
      <c r="GL93">
        <f t="shared" si="60"/>
        <v>0</v>
      </c>
      <c r="GM93">
        <f t="shared" si="61"/>
        <v>1555.15</v>
      </c>
      <c r="GN93">
        <f t="shared" si="62"/>
        <v>1555.15</v>
      </c>
      <c r="GO93">
        <f t="shared" si="63"/>
        <v>0</v>
      </c>
      <c r="GP93">
        <f t="shared" si="64"/>
        <v>0</v>
      </c>
      <c r="GR93">
        <v>0</v>
      </c>
      <c r="GS93">
        <v>3</v>
      </c>
      <c r="GT93">
        <v>0</v>
      </c>
      <c r="GU93" t="s">
        <v>3</v>
      </c>
      <c r="GV93">
        <f t="shared" si="65"/>
        <v>0</v>
      </c>
      <c r="GW93">
        <v>1</v>
      </c>
      <c r="GX93">
        <f t="shared" si="66"/>
        <v>0</v>
      </c>
      <c r="HA93">
        <v>0</v>
      </c>
      <c r="HB93">
        <v>0</v>
      </c>
      <c r="HC93">
        <f t="shared" si="67"/>
        <v>0</v>
      </c>
      <c r="HE93" t="s">
        <v>3</v>
      </c>
      <c r="HF93" t="s">
        <v>3</v>
      </c>
      <c r="HM93" t="s">
        <v>3</v>
      </c>
      <c r="HN93" t="s">
        <v>246</v>
      </c>
      <c r="HO93" t="s">
        <v>247</v>
      </c>
      <c r="HP93" t="s">
        <v>243</v>
      </c>
      <c r="HQ93" t="s">
        <v>243</v>
      </c>
      <c r="IK93">
        <v>0</v>
      </c>
    </row>
    <row r="94" spans="1:245" x14ac:dyDescent="0.2">
      <c r="A94">
        <v>17</v>
      </c>
      <c r="B94">
        <v>1</v>
      </c>
      <c r="C94">
        <f>ROW(SmtRes!A97)</f>
        <v>97</v>
      </c>
      <c r="D94">
        <f>ROW(EtalonRes!A120)</f>
        <v>120</v>
      </c>
      <c r="E94" t="s">
        <v>252</v>
      </c>
      <c r="F94" t="s">
        <v>253</v>
      </c>
      <c r="G94" t="s">
        <v>254</v>
      </c>
      <c r="H94" t="s">
        <v>23</v>
      </c>
      <c r="I94">
        <f>ROUND(25.7/100,9)</f>
        <v>0.25700000000000001</v>
      </c>
      <c r="J94">
        <v>0</v>
      </c>
      <c r="K94">
        <f>ROUND(25.7/100,9)</f>
        <v>0.25700000000000001</v>
      </c>
      <c r="O94">
        <f t="shared" si="34"/>
        <v>967.86</v>
      </c>
      <c r="P94">
        <f t="shared" si="35"/>
        <v>312.2</v>
      </c>
      <c r="Q94">
        <f t="shared" si="36"/>
        <v>39.28</v>
      </c>
      <c r="R94">
        <f t="shared" si="37"/>
        <v>2.37</v>
      </c>
      <c r="S94">
        <f t="shared" si="38"/>
        <v>616.38</v>
      </c>
      <c r="T94">
        <f t="shared" si="39"/>
        <v>0</v>
      </c>
      <c r="U94">
        <f t="shared" si="40"/>
        <v>2.0715690599999994</v>
      </c>
      <c r="V94">
        <f t="shared" si="41"/>
        <v>7.7099999999999998E-3</v>
      </c>
      <c r="W94">
        <f t="shared" si="42"/>
        <v>0</v>
      </c>
      <c r="X94">
        <f t="shared" si="43"/>
        <v>581.63</v>
      </c>
      <c r="Y94">
        <f t="shared" si="44"/>
        <v>268.23</v>
      </c>
      <c r="AA94">
        <v>143120906</v>
      </c>
      <c r="AB94">
        <f t="shared" si="45"/>
        <v>251.71</v>
      </c>
      <c r="AC94">
        <f t="shared" si="46"/>
        <v>152.04</v>
      </c>
      <c r="AD94">
        <f>ROUND((((((ET94*1.25)*1.2))-(((EU94*1.25)*1.2)))+AE94),2)</f>
        <v>13.83</v>
      </c>
      <c r="AE94">
        <f>ROUND((((EU94*1.25)*1.2)),2)</f>
        <v>0.33</v>
      </c>
      <c r="AF94">
        <f>ROUND(((((EV94*1.15)*1.2)*1.1)),2)</f>
        <v>85.84</v>
      </c>
      <c r="AG94">
        <f t="shared" si="47"/>
        <v>0</v>
      </c>
      <c r="AH94">
        <f>((((EW94*1.15)*1.2)*1.1))</f>
        <v>8.0605799999999981</v>
      </c>
      <c r="AI94">
        <f>(((EX94*1.25)*1.2))</f>
        <v>0.03</v>
      </c>
      <c r="AJ94">
        <f t="shared" si="48"/>
        <v>0</v>
      </c>
      <c r="AK94">
        <v>217.81</v>
      </c>
      <c r="AL94">
        <v>152.04</v>
      </c>
      <c r="AM94">
        <v>9.2200000000000006</v>
      </c>
      <c r="AN94">
        <v>0.22</v>
      </c>
      <c r="AO94">
        <v>56.55</v>
      </c>
      <c r="AP94">
        <v>0</v>
      </c>
      <c r="AQ94">
        <v>5.31</v>
      </c>
      <c r="AR94">
        <v>0.02</v>
      </c>
      <c r="AS94">
        <v>0</v>
      </c>
      <c r="AT94">
        <v>94</v>
      </c>
      <c r="AU94">
        <v>43.35</v>
      </c>
      <c r="AV94">
        <v>1</v>
      </c>
      <c r="AW94">
        <v>1</v>
      </c>
      <c r="AZ94">
        <v>1</v>
      </c>
      <c r="BA94">
        <v>27.94</v>
      </c>
      <c r="BB94">
        <v>11.05</v>
      </c>
      <c r="BC94">
        <v>7.99</v>
      </c>
      <c r="BD94" t="s">
        <v>3</v>
      </c>
      <c r="BE94" t="s">
        <v>3</v>
      </c>
      <c r="BF94" t="s">
        <v>3</v>
      </c>
      <c r="BG94" t="s">
        <v>3</v>
      </c>
      <c r="BH94">
        <v>0</v>
      </c>
      <c r="BI94">
        <v>1</v>
      </c>
      <c r="BJ94" t="s">
        <v>255</v>
      </c>
      <c r="BM94">
        <v>13001</v>
      </c>
      <c r="BN94">
        <v>0</v>
      </c>
      <c r="BO94" t="s">
        <v>3</v>
      </c>
      <c r="BP94">
        <v>0</v>
      </c>
      <c r="BQ94">
        <v>2</v>
      </c>
      <c r="BR94">
        <v>0</v>
      </c>
      <c r="BS94">
        <v>27.94</v>
      </c>
      <c r="BT94">
        <v>1</v>
      </c>
      <c r="BU94">
        <v>1</v>
      </c>
      <c r="BV94">
        <v>1</v>
      </c>
      <c r="BW94">
        <v>1</v>
      </c>
      <c r="BX94">
        <v>1</v>
      </c>
      <c r="BY94" t="s">
        <v>3</v>
      </c>
      <c r="BZ94">
        <v>94</v>
      </c>
      <c r="CA94">
        <v>51</v>
      </c>
      <c r="CB94" t="s">
        <v>3</v>
      </c>
      <c r="CE94">
        <v>0</v>
      </c>
      <c r="CF94">
        <v>0</v>
      </c>
      <c r="CG94">
        <v>0</v>
      </c>
      <c r="CM94">
        <v>0</v>
      </c>
      <c r="CN94" t="s">
        <v>558</v>
      </c>
      <c r="CO94">
        <v>0</v>
      </c>
      <c r="CP94">
        <f t="shared" si="49"/>
        <v>967.86</v>
      </c>
      <c r="CQ94">
        <f t="shared" si="50"/>
        <v>1214.7996000000001</v>
      </c>
      <c r="CR94">
        <f>(((((ET94*1.25)*1.2))*BB94-(((EU94*1.25)*1.2))*BS94)+AE94*BS94)</f>
        <v>152.82150000000001</v>
      </c>
      <c r="CS94">
        <f t="shared" si="51"/>
        <v>9.2202000000000002</v>
      </c>
      <c r="CT94">
        <f t="shared" si="52"/>
        <v>2398.3696</v>
      </c>
      <c r="CU94">
        <f t="shared" si="53"/>
        <v>0</v>
      </c>
      <c r="CV94">
        <f t="shared" si="54"/>
        <v>8.0605799999999981</v>
      </c>
      <c r="CW94">
        <f t="shared" si="55"/>
        <v>0.03</v>
      </c>
      <c r="CX94">
        <f t="shared" si="56"/>
        <v>0</v>
      </c>
      <c r="CY94">
        <f t="shared" si="57"/>
        <v>581.625</v>
      </c>
      <c r="CZ94">
        <f t="shared" si="58"/>
        <v>268.22812499999998</v>
      </c>
      <c r="DC94" t="s">
        <v>3</v>
      </c>
      <c r="DD94" t="s">
        <v>3</v>
      </c>
      <c r="DE94" t="s">
        <v>16</v>
      </c>
      <c r="DF94" t="s">
        <v>16</v>
      </c>
      <c r="DG94" t="s">
        <v>256</v>
      </c>
      <c r="DH94" t="s">
        <v>3</v>
      </c>
      <c r="DI94" t="s">
        <v>256</v>
      </c>
      <c r="DJ94" t="s">
        <v>16</v>
      </c>
      <c r="DK94" t="s">
        <v>3</v>
      </c>
      <c r="DL94" t="s">
        <v>3</v>
      </c>
      <c r="DM94" t="s">
        <v>55</v>
      </c>
      <c r="DN94">
        <v>0</v>
      </c>
      <c r="DO94">
        <v>0</v>
      </c>
      <c r="DP94">
        <v>1</v>
      </c>
      <c r="DQ94">
        <v>1</v>
      </c>
      <c r="DU94">
        <v>1005</v>
      </c>
      <c r="DV94" t="s">
        <v>23</v>
      </c>
      <c r="DW94" t="s">
        <v>23</v>
      </c>
      <c r="DX94">
        <v>100</v>
      </c>
      <c r="DZ94" t="s">
        <v>3</v>
      </c>
      <c r="EA94" t="s">
        <v>3</v>
      </c>
      <c r="EB94" t="s">
        <v>3</v>
      </c>
      <c r="EC94" t="s">
        <v>3</v>
      </c>
      <c r="EE94">
        <v>140625034</v>
      </c>
      <c r="EF94">
        <v>2</v>
      </c>
      <c r="EG94" t="s">
        <v>27</v>
      </c>
      <c r="EH94">
        <v>13</v>
      </c>
      <c r="EI94" t="s">
        <v>243</v>
      </c>
      <c r="EJ94">
        <v>1</v>
      </c>
      <c r="EK94">
        <v>13001</v>
      </c>
      <c r="EL94" t="s">
        <v>244</v>
      </c>
      <c r="EM94" t="s">
        <v>245</v>
      </c>
      <c r="EO94" t="s">
        <v>257</v>
      </c>
      <c r="EQ94">
        <v>0</v>
      </c>
      <c r="ER94">
        <v>217.81</v>
      </c>
      <c r="ES94">
        <v>152.04</v>
      </c>
      <c r="ET94">
        <v>9.2200000000000006</v>
      </c>
      <c r="EU94">
        <v>0.22</v>
      </c>
      <c r="EV94">
        <v>56.55</v>
      </c>
      <c r="EW94">
        <v>5.31</v>
      </c>
      <c r="EX94">
        <v>0.02</v>
      </c>
      <c r="EY94">
        <v>0</v>
      </c>
      <c r="FQ94">
        <v>0</v>
      </c>
      <c r="FR94">
        <f t="shared" si="59"/>
        <v>0</v>
      </c>
      <c r="FS94">
        <v>0</v>
      </c>
      <c r="FX94">
        <v>94</v>
      </c>
      <c r="FY94">
        <v>43.35</v>
      </c>
      <c r="GA94" t="s">
        <v>3</v>
      </c>
      <c r="GD94">
        <v>1</v>
      </c>
      <c r="GF94">
        <v>-736059163</v>
      </c>
      <c r="GG94">
        <v>2</v>
      </c>
      <c r="GH94">
        <v>1</v>
      </c>
      <c r="GI94">
        <v>4</v>
      </c>
      <c r="GJ94">
        <v>0</v>
      </c>
      <c r="GK94">
        <v>0</v>
      </c>
      <c r="GL94">
        <f t="shared" si="60"/>
        <v>0</v>
      </c>
      <c r="GM94">
        <f t="shared" si="61"/>
        <v>1817.72</v>
      </c>
      <c r="GN94">
        <f t="shared" si="62"/>
        <v>1817.72</v>
      </c>
      <c r="GO94">
        <f t="shared" si="63"/>
        <v>0</v>
      </c>
      <c r="GP94">
        <f t="shared" si="64"/>
        <v>0</v>
      </c>
      <c r="GR94">
        <v>0</v>
      </c>
      <c r="GS94">
        <v>3</v>
      </c>
      <c r="GT94">
        <v>0</v>
      </c>
      <c r="GU94" t="s">
        <v>3</v>
      </c>
      <c r="GV94">
        <f t="shared" si="65"/>
        <v>0</v>
      </c>
      <c r="GW94">
        <v>1</v>
      </c>
      <c r="GX94">
        <f t="shared" si="66"/>
        <v>0</v>
      </c>
      <c r="HA94">
        <v>0</v>
      </c>
      <c r="HB94">
        <v>0</v>
      </c>
      <c r="HC94">
        <f t="shared" si="67"/>
        <v>0</v>
      </c>
      <c r="HE94" t="s">
        <v>3</v>
      </c>
      <c r="HF94" t="s">
        <v>3</v>
      </c>
      <c r="HM94" t="s">
        <v>3</v>
      </c>
      <c r="HN94" t="s">
        <v>246</v>
      </c>
      <c r="HO94" t="s">
        <v>247</v>
      </c>
      <c r="HP94" t="s">
        <v>243</v>
      </c>
      <c r="HQ94" t="s">
        <v>243</v>
      </c>
      <c r="IK94">
        <v>0</v>
      </c>
    </row>
    <row r="95" spans="1:245" x14ac:dyDescent="0.2">
      <c r="A95">
        <v>17</v>
      </c>
      <c r="B95">
        <v>1</v>
      </c>
      <c r="C95">
        <f>ROW(SmtRes!A106)</f>
        <v>106</v>
      </c>
      <c r="D95">
        <f>ROW(EtalonRes!A129)</f>
        <v>129</v>
      </c>
      <c r="E95" t="s">
        <v>258</v>
      </c>
      <c r="F95" t="s">
        <v>259</v>
      </c>
      <c r="G95" t="s">
        <v>260</v>
      </c>
      <c r="H95" t="s">
        <v>23</v>
      </c>
      <c r="I95">
        <f>ROUND(25.7/100,9)</f>
        <v>0.25700000000000001</v>
      </c>
      <c r="J95">
        <v>0</v>
      </c>
      <c r="K95">
        <f>ROUND(25.7/100,9)</f>
        <v>0.25700000000000001</v>
      </c>
      <c r="O95">
        <f t="shared" si="34"/>
        <v>5407.75</v>
      </c>
      <c r="P95">
        <f t="shared" si="35"/>
        <v>4838.91</v>
      </c>
      <c r="Q95">
        <f t="shared" si="36"/>
        <v>78.55</v>
      </c>
      <c r="R95">
        <f t="shared" si="37"/>
        <v>4.74</v>
      </c>
      <c r="S95">
        <f t="shared" si="38"/>
        <v>490.29</v>
      </c>
      <c r="T95">
        <f t="shared" si="39"/>
        <v>0</v>
      </c>
      <c r="U95">
        <f t="shared" si="40"/>
        <v>1.93502496</v>
      </c>
      <c r="V95">
        <f t="shared" si="41"/>
        <v>1.542E-2</v>
      </c>
      <c r="W95">
        <f t="shared" si="42"/>
        <v>0</v>
      </c>
      <c r="X95">
        <f t="shared" si="43"/>
        <v>465.33</v>
      </c>
      <c r="Y95">
        <f t="shared" si="44"/>
        <v>214.6</v>
      </c>
      <c r="AA95">
        <v>143120906</v>
      </c>
      <c r="AB95">
        <f t="shared" si="45"/>
        <v>2452.44</v>
      </c>
      <c r="AC95">
        <f>ROUND(((ES95*2)),2)</f>
        <v>2356.5</v>
      </c>
      <c r="AD95">
        <f>ROUND((((((ET95*1.25)*1.2*2))-(((EU95*1.25)*1.2*2)))+AE95),2)</f>
        <v>27.66</v>
      </c>
      <c r="AE95">
        <f>ROUND((((EU95*1.25)*1.2*2)),2)</f>
        <v>0.66</v>
      </c>
      <c r="AF95">
        <f>ROUND(((((EV95*1.15)*1.2)*1.1*2)),2)</f>
        <v>68.28</v>
      </c>
      <c r="AG95">
        <f t="shared" si="47"/>
        <v>0</v>
      </c>
      <c r="AH95">
        <f>((((EW95*1.15)*1.2)*1.1*2))</f>
        <v>7.52928</v>
      </c>
      <c r="AI95">
        <f>(((EX95*1.25)*1.2*2))</f>
        <v>0.06</v>
      </c>
      <c r="AJ95">
        <f t="shared" si="48"/>
        <v>0</v>
      </c>
      <c r="AK95">
        <v>1209.96</v>
      </c>
      <c r="AL95">
        <v>1178.25</v>
      </c>
      <c r="AM95">
        <v>9.2200000000000006</v>
      </c>
      <c r="AN95">
        <v>0.22</v>
      </c>
      <c r="AO95">
        <v>22.49</v>
      </c>
      <c r="AP95">
        <v>0</v>
      </c>
      <c r="AQ95">
        <v>2.48</v>
      </c>
      <c r="AR95">
        <v>0.02</v>
      </c>
      <c r="AS95">
        <v>0</v>
      </c>
      <c r="AT95">
        <v>94</v>
      </c>
      <c r="AU95">
        <v>43.35</v>
      </c>
      <c r="AV95">
        <v>1</v>
      </c>
      <c r="AW95">
        <v>1</v>
      </c>
      <c r="AZ95">
        <v>1</v>
      </c>
      <c r="BA95">
        <v>27.94</v>
      </c>
      <c r="BB95">
        <v>11.05</v>
      </c>
      <c r="BC95">
        <v>7.99</v>
      </c>
      <c r="BD95" t="s">
        <v>3</v>
      </c>
      <c r="BE95" t="s">
        <v>3</v>
      </c>
      <c r="BF95" t="s">
        <v>3</v>
      </c>
      <c r="BG95" t="s">
        <v>3</v>
      </c>
      <c r="BH95">
        <v>0</v>
      </c>
      <c r="BI95">
        <v>1</v>
      </c>
      <c r="BJ95" t="s">
        <v>261</v>
      </c>
      <c r="BM95">
        <v>13001</v>
      </c>
      <c r="BN95">
        <v>0</v>
      </c>
      <c r="BO95" t="s">
        <v>3</v>
      </c>
      <c r="BP95">
        <v>0</v>
      </c>
      <c r="BQ95">
        <v>2</v>
      </c>
      <c r="BR95">
        <v>0</v>
      </c>
      <c r="BS95">
        <v>27.94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3</v>
      </c>
      <c r="BZ95">
        <v>94</v>
      </c>
      <c r="CA95">
        <v>51</v>
      </c>
      <c r="CB95" t="s">
        <v>3</v>
      </c>
      <c r="CE95">
        <v>0</v>
      </c>
      <c r="CF95">
        <v>0</v>
      </c>
      <c r="CG95">
        <v>0</v>
      </c>
      <c r="CM95">
        <v>0</v>
      </c>
      <c r="CN95" t="s">
        <v>556</v>
      </c>
      <c r="CO95">
        <v>0</v>
      </c>
      <c r="CP95">
        <f t="shared" si="49"/>
        <v>5407.75</v>
      </c>
      <c r="CQ95">
        <f t="shared" si="50"/>
        <v>18828.435000000001</v>
      </c>
      <c r="CR95">
        <f>(((((ET95*1.25)*1.2*2))*BB95-(((EU95*1.25)*1.2*2))*BS95)+AE95*BS95)</f>
        <v>305.64300000000003</v>
      </c>
      <c r="CS95">
        <f t="shared" si="51"/>
        <v>18.4404</v>
      </c>
      <c r="CT95">
        <f t="shared" si="52"/>
        <v>1907.7432000000001</v>
      </c>
      <c r="CU95">
        <f t="shared" si="53"/>
        <v>0</v>
      </c>
      <c r="CV95">
        <f t="shared" si="54"/>
        <v>7.52928</v>
      </c>
      <c r="CW95">
        <f t="shared" si="55"/>
        <v>0.06</v>
      </c>
      <c r="CX95">
        <f t="shared" si="56"/>
        <v>0</v>
      </c>
      <c r="CY95">
        <f t="shared" si="57"/>
        <v>465.32819999999998</v>
      </c>
      <c r="CZ95">
        <f t="shared" si="58"/>
        <v>214.595505</v>
      </c>
      <c r="DC95" t="s">
        <v>3</v>
      </c>
      <c r="DD95" t="s">
        <v>262</v>
      </c>
      <c r="DE95" t="s">
        <v>263</v>
      </c>
      <c r="DF95" t="s">
        <v>263</v>
      </c>
      <c r="DG95" t="s">
        <v>264</v>
      </c>
      <c r="DH95" t="s">
        <v>3</v>
      </c>
      <c r="DI95" t="s">
        <v>264</v>
      </c>
      <c r="DJ95" t="s">
        <v>263</v>
      </c>
      <c r="DK95" t="s">
        <v>3</v>
      </c>
      <c r="DL95" t="s">
        <v>3</v>
      </c>
      <c r="DM95" t="s">
        <v>55</v>
      </c>
      <c r="DN95">
        <v>0</v>
      </c>
      <c r="DO95">
        <v>0</v>
      </c>
      <c r="DP95">
        <v>1</v>
      </c>
      <c r="DQ95">
        <v>1</v>
      </c>
      <c r="DU95">
        <v>1005</v>
      </c>
      <c r="DV95" t="s">
        <v>23</v>
      </c>
      <c r="DW95" t="s">
        <v>23</v>
      </c>
      <c r="DX95">
        <v>100</v>
      </c>
      <c r="DZ95" t="s">
        <v>3</v>
      </c>
      <c r="EA95" t="s">
        <v>3</v>
      </c>
      <c r="EB95" t="s">
        <v>3</v>
      </c>
      <c r="EC95" t="s">
        <v>3</v>
      </c>
      <c r="EE95">
        <v>140625034</v>
      </c>
      <c r="EF95">
        <v>2</v>
      </c>
      <c r="EG95" t="s">
        <v>27</v>
      </c>
      <c r="EH95">
        <v>13</v>
      </c>
      <c r="EI95" t="s">
        <v>243</v>
      </c>
      <c r="EJ95">
        <v>1</v>
      </c>
      <c r="EK95">
        <v>13001</v>
      </c>
      <c r="EL95" t="s">
        <v>244</v>
      </c>
      <c r="EM95" t="s">
        <v>245</v>
      </c>
      <c r="EO95" t="s">
        <v>18</v>
      </c>
      <c r="EQ95">
        <v>0</v>
      </c>
      <c r="ER95">
        <v>1209.96</v>
      </c>
      <c r="ES95">
        <v>1178.25</v>
      </c>
      <c r="ET95">
        <v>9.2200000000000006</v>
      </c>
      <c r="EU95">
        <v>0.22</v>
      </c>
      <c r="EV95">
        <v>22.49</v>
      </c>
      <c r="EW95">
        <v>2.48</v>
      </c>
      <c r="EX95">
        <v>0.02</v>
      </c>
      <c r="EY95">
        <v>0</v>
      </c>
      <c r="FQ95">
        <v>0</v>
      </c>
      <c r="FR95">
        <f t="shared" si="59"/>
        <v>0</v>
      </c>
      <c r="FS95">
        <v>0</v>
      </c>
      <c r="FX95">
        <v>94</v>
      </c>
      <c r="FY95">
        <v>43.35</v>
      </c>
      <c r="GA95" t="s">
        <v>3</v>
      </c>
      <c r="GD95">
        <v>1</v>
      </c>
      <c r="GF95">
        <v>639725417</v>
      </c>
      <c r="GG95">
        <v>2</v>
      </c>
      <c r="GH95">
        <v>1</v>
      </c>
      <c r="GI95">
        <v>4</v>
      </c>
      <c r="GJ95">
        <v>0</v>
      </c>
      <c r="GK95">
        <v>0</v>
      </c>
      <c r="GL95">
        <f t="shared" si="60"/>
        <v>0</v>
      </c>
      <c r="GM95">
        <f t="shared" si="61"/>
        <v>6087.68</v>
      </c>
      <c r="GN95">
        <f t="shared" si="62"/>
        <v>6087.68</v>
      </c>
      <c r="GO95">
        <f t="shared" si="63"/>
        <v>0</v>
      </c>
      <c r="GP95">
        <f t="shared" si="64"/>
        <v>0</v>
      </c>
      <c r="GR95">
        <v>0</v>
      </c>
      <c r="GS95">
        <v>3</v>
      </c>
      <c r="GT95">
        <v>0</v>
      </c>
      <c r="GU95" t="s">
        <v>3</v>
      </c>
      <c r="GV95">
        <f t="shared" si="65"/>
        <v>0</v>
      </c>
      <c r="GW95">
        <v>1</v>
      </c>
      <c r="GX95">
        <f t="shared" si="66"/>
        <v>0</v>
      </c>
      <c r="HA95">
        <v>0</v>
      </c>
      <c r="HB95">
        <v>0</v>
      </c>
      <c r="HC95">
        <f t="shared" si="67"/>
        <v>0</v>
      </c>
      <c r="HE95" t="s">
        <v>3</v>
      </c>
      <c r="HF95" t="s">
        <v>3</v>
      </c>
      <c r="HM95" t="s">
        <v>3</v>
      </c>
      <c r="HN95" t="s">
        <v>246</v>
      </c>
      <c r="HO95" t="s">
        <v>247</v>
      </c>
      <c r="HP95" t="s">
        <v>243</v>
      </c>
      <c r="HQ95" t="s">
        <v>243</v>
      </c>
      <c r="IK95">
        <v>0</v>
      </c>
    </row>
    <row r="96" spans="1:245" x14ac:dyDescent="0.2">
      <c r="A96">
        <v>18</v>
      </c>
      <c r="B96">
        <v>1</v>
      </c>
      <c r="C96">
        <v>104</v>
      </c>
      <c r="E96" t="s">
        <v>265</v>
      </c>
      <c r="F96" t="s">
        <v>266</v>
      </c>
      <c r="G96" t="s">
        <v>267</v>
      </c>
      <c r="H96" t="s">
        <v>199</v>
      </c>
      <c r="I96">
        <f>I95*J96</f>
        <v>-7.7099999999999998E-3</v>
      </c>
      <c r="J96">
        <v>-0.03</v>
      </c>
      <c r="K96">
        <v>-1.4999999999999999E-2</v>
      </c>
      <c r="O96">
        <f t="shared" si="34"/>
        <v>-4620.22</v>
      </c>
      <c r="P96">
        <f t="shared" si="35"/>
        <v>-4620.22</v>
      </c>
      <c r="Q96">
        <f t="shared" si="36"/>
        <v>0</v>
      </c>
      <c r="R96">
        <f t="shared" si="37"/>
        <v>0</v>
      </c>
      <c r="S96">
        <f t="shared" si="38"/>
        <v>0</v>
      </c>
      <c r="T96">
        <f t="shared" si="39"/>
        <v>0</v>
      </c>
      <c r="U96">
        <f t="shared" si="40"/>
        <v>0</v>
      </c>
      <c r="V96">
        <f t="shared" si="41"/>
        <v>0</v>
      </c>
      <c r="W96">
        <f t="shared" si="42"/>
        <v>0</v>
      </c>
      <c r="X96">
        <f t="shared" si="43"/>
        <v>0</v>
      </c>
      <c r="Y96">
        <f t="shared" si="44"/>
        <v>0</v>
      </c>
      <c r="AA96">
        <v>143120906</v>
      </c>
      <c r="AB96">
        <f t="shared" si="45"/>
        <v>75000</v>
      </c>
      <c r="AC96">
        <f>ROUND((ES96),2)</f>
        <v>75000</v>
      </c>
      <c r="AD96">
        <f>ROUND((((ET96)-(EU96))+AE96),2)</f>
        <v>0</v>
      </c>
      <c r="AE96">
        <f>ROUND((EU96),2)</f>
        <v>0</v>
      </c>
      <c r="AF96">
        <f>ROUND((EV96),2)</f>
        <v>0</v>
      </c>
      <c r="AG96">
        <f t="shared" si="47"/>
        <v>0</v>
      </c>
      <c r="AH96">
        <f>(EW96)</f>
        <v>0</v>
      </c>
      <c r="AI96">
        <f>(EX96)</f>
        <v>0</v>
      </c>
      <c r="AJ96">
        <f t="shared" si="48"/>
        <v>0</v>
      </c>
      <c r="AK96">
        <v>75000</v>
      </c>
      <c r="AL96">
        <v>75000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94</v>
      </c>
      <c r="AU96">
        <v>51</v>
      </c>
      <c r="AV96">
        <v>1</v>
      </c>
      <c r="AW96">
        <v>1</v>
      </c>
      <c r="AZ96">
        <v>1</v>
      </c>
      <c r="BA96">
        <v>1</v>
      </c>
      <c r="BB96">
        <v>1</v>
      </c>
      <c r="BC96">
        <v>7.99</v>
      </c>
      <c r="BD96" t="s">
        <v>3</v>
      </c>
      <c r="BE96" t="s">
        <v>3</v>
      </c>
      <c r="BF96" t="s">
        <v>3</v>
      </c>
      <c r="BG96" t="s">
        <v>3</v>
      </c>
      <c r="BH96">
        <v>3</v>
      </c>
      <c r="BI96">
        <v>1</v>
      </c>
      <c r="BJ96" t="s">
        <v>268</v>
      </c>
      <c r="BM96">
        <v>13001</v>
      </c>
      <c r="BN96">
        <v>0</v>
      </c>
      <c r="BO96" t="s">
        <v>3</v>
      </c>
      <c r="BP96">
        <v>0</v>
      </c>
      <c r="BQ96">
        <v>2</v>
      </c>
      <c r="BR96">
        <v>1</v>
      </c>
      <c r="BS96">
        <v>1</v>
      </c>
      <c r="BT96">
        <v>1</v>
      </c>
      <c r="BU96">
        <v>1</v>
      </c>
      <c r="BV96">
        <v>1</v>
      </c>
      <c r="BW96">
        <v>1</v>
      </c>
      <c r="BX96">
        <v>1</v>
      </c>
      <c r="BY96" t="s">
        <v>3</v>
      </c>
      <c r="BZ96">
        <v>94</v>
      </c>
      <c r="CA96">
        <v>51</v>
      </c>
      <c r="CB96" t="s">
        <v>3</v>
      </c>
      <c r="CE96">
        <v>0</v>
      </c>
      <c r="CF96">
        <v>0</v>
      </c>
      <c r="CG96">
        <v>0</v>
      </c>
      <c r="CM96">
        <v>0</v>
      </c>
      <c r="CN96" t="s">
        <v>559</v>
      </c>
      <c r="CO96">
        <v>0</v>
      </c>
      <c r="CP96">
        <f t="shared" si="49"/>
        <v>-4620.22</v>
      </c>
      <c r="CQ96">
        <f t="shared" si="50"/>
        <v>599250</v>
      </c>
      <c r="CR96">
        <f>(((ET96)*BB96-(EU96)*BS96)+AE96*BS96)</f>
        <v>0</v>
      </c>
      <c r="CS96">
        <f t="shared" si="51"/>
        <v>0</v>
      </c>
      <c r="CT96">
        <f t="shared" si="52"/>
        <v>0</v>
      </c>
      <c r="CU96">
        <f t="shared" si="53"/>
        <v>0</v>
      </c>
      <c r="CV96">
        <f t="shared" si="54"/>
        <v>0</v>
      </c>
      <c r="CW96">
        <f t="shared" si="55"/>
        <v>0</v>
      </c>
      <c r="CX96">
        <f t="shared" si="56"/>
        <v>0</v>
      </c>
      <c r="CY96">
        <f t="shared" si="57"/>
        <v>0</v>
      </c>
      <c r="CZ96">
        <f t="shared" si="58"/>
        <v>0</v>
      </c>
      <c r="DC96" t="s">
        <v>3</v>
      </c>
      <c r="DD96" t="s">
        <v>3</v>
      </c>
      <c r="DE96" t="s">
        <v>3</v>
      </c>
      <c r="DF96" t="s">
        <v>3</v>
      </c>
      <c r="DG96" t="s">
        <v>3</v>
      </c>
      <c r="DH96" t="s">
        <v>3</v>
      </c>
      <c r="DI96" t="s">
        <v>3</v>
      </c>
      <c r="DJ96" t="s">
        <v>3</v>
      </c>
      <c r="DK96" t="s">
        <v>3</v>
      </c>
      <c r="DL96" t="s">
        <v>3</v>
      </c>
      <c r="DM96" t="s">
        <v>3</v>
      </c>
      <c r="DN96">
        <v>0</v>
      </c>
      <c r="DO96">
        <v>0</v>
      </c>
      <c r="DP96">
        <v>1</v>
      </c>
      <c r="DQ96">
        <v>1</v>
      </c>
      <c r="DU96">
        <v>1009</v>
      </c>
      <c r="DV96" t="s">
        <v>199</v>
      </c>
      <c r="DW96" t="s">
        <v>199</v>
      </c>
      <c r="DX96">
        <v>1000</v>
      </c>
      <c r="DZ96" t="s">
        <v>3</v>
      </c>
      <c r="EA96" t="s">
        <v>3</v>
      </c>
      <c r="EB96" t="s">
        <v>3</v>
      </c>
      <c r="EC96" t="s">
        <v>3</v>
      </c>
      <c r="EE96">
        <v>140625034</v>
      </c>
      <c r="EF96">
        <v>2</v>
      </c>
      <c r="EG96" t="s">
        <v>27</v>
      </c>
      <c r="EH96">
        <v>13</v>
      </c>
      <c r="EI96" t="s">
        <v>243</v>
      </c>
      <c r="EJ96">
        <v>1</v>
      </c>
      <c r="EK96">
        <v>13001</v>
      </c>
      <c r="EL96" t="s">
        <v>244</v>
      </c>
      <c r="EM96" t="s">
        <v>245</v>
      </c>
      <c r="EO96" t="s">
        <v>269</v>
      </c>
      <c r="EQ96">
        <v>0</v>
      </c>
      <c r="ER96">
        <v>75000</v>
      </c>
      <c r="ES96">
        <v>75000</v>
      </c>
      <c r="ET96">
        <v>0</v>
      </c>
      <c r="EU96">
        <v>0</v>
      </c>
      <c r="EV96">
        <v>0</v>
      </c>
      <c r="EW96">
        <v>0</v>
      </c>
      <c r="EX96">
        <v>0</v>
      </c>
      <c r="FQ96">
        <v>0</v>
      </c>
      <c r="FR96">
        <f t="shared" si="59"/>
        <v>0</v>
      </c>
      <c r="FS96">
        <v>0</v>
      </c>
      <c r="FX96">
        <v>94</v>
      </c>
      <c r="FY96">
        <v>51</v>
      </c>
      <c r="GA96" t="s">
        <v>3</v>
      </c>
      <c r="GD96">
        <v>1</v>
      </c>
      <c r="GF96">
        <v>-754099152</v>
      </c>
      <c r="GG96">
        <v>2</v>
      </c>
      <c r="GH96">
        <v>1</v>
      </c>
      <c r="GI96">
        <v>4</v>
      </c>
      <c r="GJ96">
        <v>0</v>
      </c>
      <c r="GK96">
        <v>0</v>
      </c>
      <c r="GL96">
        <f t="shared" si="60"/>
        <v>0</v>
      </c>
      <c r="GM96">
        <f t="shared" si="61"/>
        <v>-4620.22</v>
      </c>
      <c r="GN96">
        <f t="shared" si="62"/>
        <v>-4620.22</v>
      </c>
      <c r="GO96">
        <f t="shared" si="63"/>
        <v>0</v>
      </c>
      <c r="GP96">
        <f t="shared" si="64"/>
        <v>0</v>
      </c>
      <c r="GR96">
        <v>0</v>
      </c>
      <c r="GS96">
        <v>3</v>
      </c>
      <c r="GT96">
        <v>0</v>
      </c>
      <c r="GU96" t="s">
        <v>3</v>
      </c>
      <c r="GV96">
        <f t="shared" si="65"/>
        <v>0</v>
      </c>
      <c r="GW96">
        <v>1</v>
      </c>
      <c r="GX96">
        <f t="shared" si="66"/>
        <v>0</v>
      </c>
      <c r="HA96">
        <v>0</v>
      </c>
      <c r="HB96">
        <v>0</v>
      </c>
      <c r="HC96">
        <f t="shared" si="67"/>
        <v>0</v>
      </c>
      <c r="HE96" t="s">
        <v>3</v>
      </c>
      <c r="HF96" t="s">
        <v>3</v>
      </c>
      <c r="HM96" t="s">
        <v>262</v>
      </c>
      <c r="HN96" t="s">
        <v>246</v>
      </c>
      <c r="HO96" t="s">
        <v>247</v>
      </c>
      <c r="HP96" t="s">
        <v>243</v>
      </c>
      <c r="HQ96" t="s">
        <v>243</v>
      </c>
      <c r="IK96">
        <v>0</v>
      </c>
    </row>
    <row r="97" spans="1:245" x14ac:dyDescent="0.2">
      <c r="A97">
        <v>17</v>
      </c>
      <c r="B97">
        <v>1</v>
      </c>
      <c r="E97" t="s">
        <v>270</v>
      </c>
      <c r="F97" t="s">
        <v>136</v>
      </c>
      <c r="G97" t="s">
        <v>271</v>
      </c>
      <c r="H97" t="s">
        <v>272</v>
      </c>
      <c r="I97">
        <f>ROUND(0.1*I95*100,9)</f>
        <v>2.57</v>
      </c>
      <c r="J97">
        <v>0</v>
      </c>
      <c r="K97">
        <f>ROUND(0.1*I95*100,9)</f>
        <v>2.57</v>
      </c>
      <c r="O97">
        <f t="shared" si="34"/>
        <v>4586.13</v>
      </c>
      <c r="P97">
        <f t="shared" si="35"/>
        <v>4586.13</v>
      </c>
      <c r="Q97">
        <f t="shared" si="36"/>
        <v>0</v>
      </c>
      <c r="R97">
        <f t="shared" si="37"/>
        <v>0</v>
      </c>
      <c r="S97">
        <f t="shared" si="38"/>
        <v>0</v>
      </c>
      <c r="T97">
        <f t="shared" si="39"/>
        <v>0</v>
      </c>
      <c r="U97">
        <f t="shared" si="40"/>
        <v>0</v>
      </c>
      <c r="V97">
        <f t="shared" si="41"/>
        <v>0</v>
      </c>
      <c r="W97">
        <f t="shared" si="42"/>
        <v>0</v>
      </c>
      <c r="X97">
        <f t="shared" si="43"/>
        <v>0</v>
      </c>
      <c r="Y97">
        <f t="shared" si="44"/>
        <v>0</v>
      </c>
      <c r="AA97">
        <v>143120906</v>
      </c>
      <c r="AB97">
        <f t="shared" si="45"/>
        <v>223.34</v>
      </c>
      <c r="AC97">
        <f>ROUND((ES97),2)</f>
        <v>223.34</v>
      </c>
      <c r="AD97">
        <f>ROUND((((ET97)-(EU97))+AE97),2)</f>
        <v>0</v>
      </c>
      <c r="AE97">
        <f>ROUND((EU97),2)</f>
        <v>0</v>
      </c>
      <c r="AF97">
        <f>ROUND((EV97),2)</f>
        <v>0</v>
      </c>
      <c r="AG97">
        <f t="shared" si="47"/>
        <v>0</v>
      </c>
      <c r="AH97">
        <f>(EW97)</f>
        <v>0</v>
      </c>
      <c r="AI97">
        <f>(EX97)</f>
        <v>0</v>
      </c>
      <c r="AJ97">
        <f t="shared" si="48"/>
        <v>0</v>
      </c>
      <c r="AK97">
        <v>223.34</v>
      </c>
      <c r="AL97">
        <v>223.34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1</v>
      </c>
      <c r="AW97">
        <v>1</v>
      </c>
      <c r="AZ97">
        <v>1</v>
      </c>
      <c r="BA97">
        <v>1</v>
      </c>
      <c r="BB97">
        <v>1</v>
      </c>
      <c r="BC97">
        <v>7.99</v>
      </c>
      <c r="BD97" t="s">
        <v>3</v>
      </c>
      <c r="BE97" t="s">
        <v>3</v>
      </c>
      <c r="BF97" t="s">
        <v>3</v>
      </c>
      <c r="BG97" t="s">
        <v>3</v>
      </c>
      <c r="BH97">
        <v>3</v>
      </c>
      <c r="BI97">
        <v>1</v>
      </c>
      <c r="BJ97" t="s">
        <v>3</v>
      </c>
      <c r="BM97">
        <v>1100</v>
      </c>
      <c r="BN97">
        <v>0</v>
      </c>
      <c r="BO97" t="s">
        <v>3</v>
      </c>
      <c r="BP97">
        <v>0</v>
      </c>
      <c r="BQ97">
        <v>8</v>
      </c>
      <c r="BR97">
        <v>0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Y97" t="s">
        <v>3</v>
      </c>
      <c r="BZ97">
        <v>0</v>
      </c>
      <c r="CA97">
        <v>0</v>
      </c>
      <c r="CB97" t="s">
        <v>3</v>
      </c>
      <c r="CE97">
        <v>0</v>
      </c>
      <c r="CF97">
        <v>0</v>
      </c>
      <c r="CG97">
        <v>0</v>
      </c>
      <c r="CM97">
        <v>0</v>
      </c>
      <c r="CN97" t="s">
        <v>3</v>
      </c>
      <c r="CO97">
        <v>0</v>
      </c>
      <c r="CP97">
        <f t="shared" si="49"/>
        <v>4586.13</v>
      </c>
      <c r="CQ97">
        <f t="shared" si="50"/>
        <v>1784.4866000000002</v>
      </c>
      <c r="CR97">
        <f>(((ET97)*BB97-(EU97)*BS97)+AE97*BS97)</f>
        <v>0</v>
      </c>
      <c r="CS97">
        <f t="shared" si="51"/>
        <v>0</v>
      </c>
      <c r="CT97">
        <f t="shared" si="52"/>
        <v>0</v>
      </c>
      <c r="CU97">
        <f t="shared" si="53"/>
        <v>0</v>
      </c>
      <c r="CV97">
        <f t="shared" si="54"/>
        <v>0</v>
      </c>
      <c r="CW97">
        <f t="shared" si="55"/>
        <v>0</v>
      </c>
      <c r="CX97">
        <f t="shared" si="56"/>
        <v>0</v>
      </c>
      <c r="CY97">
        <f t="shared" si="57"/>
        <v>0</v>
      </c>
      <c r="CZ97">
        <f t="shared" si="58"/>
        <v>0</v>
      </c>
      <c r="DC97" t="s">
        <v>3</v>
      </c>
      <c r="DD97" t="s">
        <v>3</v>
      </c>
      <c r="DE97" t="s">
        <v>3</v>
      </c>
      <c r="DF97" t="s">
        <v>3</v>
      </c>
      <c r="DG97" t="s">
        <v>3</v>
      </c>
      <c r="DH97" t="s">
        <v>3</v>
      </c>
      <c r="DI97" t="s">
        <v>3</v>
      </c>
      <c r="DJ97" t="s">
        <v>3</v>
      </c>
      <c r="DK97" t="s">
        <v>3</v>
      </c>
      <c r="DL97" t="s">
        <v>3</v>
      </c>
      <c r="DM97" t="s">
        <v>3</v>
      </c>
      <c r="DN97">
        <v>0</v>
      </c>
      <c r="DO97">
        <v>0</v>
      </c>
      <c r="DP97">
        <v>1</v>
      </c>
      <c r="DQ97">
        <v>1</v>
      </c>
      <c r="DU97">
        <v>1002</v>
      </c>
      <c r="DV97" t="s">
        <v>272</v>
      </c>
      <c r="DW97" t="s">
        <v>272</v>
      </c>
      <c r="DX97">
        <v>1</v>
      </c>
      <c r="DZ97" t="s">
        <v>3</v>
      </c>
      <c r="EA97" t="s">
        <v>3</v>
      </c>
      <c r="EB97" t="s">
        <v>3</v>
      </c>
      <c r="EC97" t="s">
        <v>3</v>
      </c>
      <c r="EE97">
        <v>140625274</v>
      </c>
      <c r="EF97">
        <v>8</v>
      </c>
      <c r="EG97" t="s">
        <v>139</v>
      </c>
      <c r="EH97">
        <v>0</v>
      </c>
      <c r="EI97" t="s">
        <v>3</v>
      </c>
      <c r="EJ97">
        <v>1</v>
      </c>
      <c r="EK97">
        <v>1100</v>
      </c>
      <c r="EL97" t="s">
        <v>140</v>
      </c>
      <c r="EM97" t="s">
        <v>141</v>
      </c>
      <c r="EO97" t="s">
        <v>3</v>
      </c>
      <c r="EQ97">
        <v>0</v>
      </c>
      <c r="ER97">
        <v>223.34</v>
      </c>
      <c r="ES97">
        <v>223.34</v>
      </c>
      <c r="ET97">
        <v>0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5</v>
      </c>
      <c r="FC97">
        <v>1</v>
      </c>
      <c r="FD97">
        <v>18</v>
      </c>
      <c r="FF97">
        <v>1999.4</v>
      </c>
      <c r="FQ97">
        <v>0</v>
      </c>
      <c r="FR97">
        <f t="shared" si="59"/>
        <v>0</v>
      </c>
      <c r="FS97">
        <v>0</v>
      </c>
      <c r="FX97">
        <v>0</v>
      </c>
      <c r="FY97">
        <v>0</v>
      </c>
      <c r="GA97" t="s">
        <v>273</v>
      </c>
      <c r="GD97">
        <v>1</v>
      </c>
      <c r="GF97">
        <v>1136750860</v>
      </c>
      <c r="GG97">
        <v>2</v>
      </c>
      <c r="GH97">
        <v>3</v>
      </c>
      <c r="GI97">
        <v>4</v>
      </c>
      <c r="GJ97">
        <v>0</v>
      </c>
      <c r="GK97">
        <v>0</v>
      </c>
      <c r="GL97">
        <f t="shared" si="60"/>
        <v>0</v>
      </c>
      <c r="GM97">
        <f t="shared" si="61"/>
        <v>4586.13</v>
      </c>
      <c r="GN97">
        <f t="shared" si="62"/>
        <v>4586.13</v>
      </c>
      <c r="GO97">
        <f t="shared" si="63"/>
        <v>0</v>
      </c>
      <c r="GP97">
        <f t="shared" si="64"/>
        <v>0</v>
      </c>
      <c r="GR97">
        <v>1</v>
      </c>
      <c r="GS97">
        <v>1</v>
      </c>
      <c r="GT97">
        <v>0</v>
      </c>
      <c r="GU97" t="s">
        <v>3</v>
      </c>
      <c r="GV97">
        <f t="shared" si="65"/>
        <v>0</v>
      </c>
      <c r="GW97">
        <v>1</v>
      </c>
      <c r="GX97">
        <f t="shared" si="66"/>
        <v>0</v>
      </c>
      <c r="HA97">
        <v>0</v>
      </c>
      <c r="HB97">
        <v>0</v>
      </c>
      <c r="HC97">
        <f t="shared" si="67"/>
        <v>0</v>
      </c>
      <c r="HE97" t="s">
        <v>61</v>
      </c>
      <c r="HF97" t="s">
        <v>33</v>
      </c>
      <c r="HM97" t="s">
        <v>3</v>
      </c>
      <c r="HN97" t="s">
        <v>3</v>
      </c>
      <c r="HO97" t="s">
        <v>3</v>
      </c>
      <c r="HP97" t="s">
        <v>3</v>
      </c>
      <c r="HQ97" t="s">
        <v>3</v>
      </c>
      <c r="IK97">
        <v>0</v>
      </c>
    </row>
    <row r="98" spans="1:245" x14ac:dyDescent="0.2">
      <c r="A98">
        <v>17</v>
      </c>
      <c r="B98">
        <v>1</v>
      </c>
      <c r="C98">
        <f>ROW(SmtRes!A119)</f>
        <v>119</v>
      </c>
      <c r="D98">
        <f>ROW(EtalonRes!A145)</f>
        <v>145</v>
      </c>
      <c r="E98" t="s">
        <v>274</v>
      </c>
      <c r="F98" t="s">
        <v>34</v>
      </c>
      <c r="G98" t="s">
        <v>275</v>
      </c>
      <c r="H98" t="s">
        <v>23</v>
      </c>
      <c r="I98">
        <f>ROUND(19.2/100,9)</f>
        <v>0.192</v>
      </c>
      <c r="J98">
        <v>0</v>
      </c>
      <c r="K98">
        <f>ROUND(19.2/100,9)</f>
        <v>0.192</v>
      </c>
      <c r="O98">
        <f t="shared" si="34"/>
        <v>14876.76</v>
      </c>
      <c r="P98">
        <f t="shared" si="35"/>
        <v>52.24</v>
      </c>
      <c r="Q98">
        <f t="shared" si="36"/>
        <v>6960.41</v>
      </c>
      <c r="R98">
        <f t="shared" si="37"/>
        <v>2000.68</v>
      </c>
      <c r="S98">
        <f t="shared" si="38"/>
        <v>7864.11</v>
      </c>
      <c r="T98">
        <f t="shared" si="39"/>
        <v>0</v>
      </c>
      <c r="U98">
        <f t="shared" si="40"/>
        <v>29.943129600000002</v>
      </c>
      <c r="V98">
        <f t="shared" si="41"/>
        <v>5.3280000000000003</v>
      </c>
      <c r="W98">
        <f t="shared" si="42"/>
        <v>0</v>
      </c>
      <c r="X98">
        <f t="shared" si="43"/>
        <v>9174.25</v>
      </c>
      <c r="Y98">
        <f t="shared" si="44"/>
        <v>5198.74</v>
      </c>
      <c r="AA98">
        <v>143120906</v>
      </c>
      <c r="AB98">
        <f t="shared" si="45"/>
        <v>4780.74</v>
      </c>
      <c r="AC98">
        <f>ROUND((ES98),2)</f>
        <v>34.049999999999997</v>
      </c>
      <c r="AD98">
        <f>ROUND((((((ET98*1.25)*1.2))-(((EU98*1.25)*1.2)))+AE98),2)</f>
        <v>3280.73</v>
      </c>
      <c r="AE98">
        <f>ROUND((((EU98*1.25)*1.2)),2)</f>
        <v>372.95</v>
      </c>
      <c r="AF98">
        <f>ROUND((((EV98*1.15)*1.2)),2)</f>
        <v>1465.96</v>
      </c>
      <c r="AG98">
        <f t="shared" si="47"/>
        <v>0</v>
      </c>
      <c r="AH98">
        <f>(((EW98*1.15)*1.2))</f>
        <v>155.9538</v>
      </c>
      <c r="AI98">
        <f>(((EX98*1.25)*1.2))</f>
        <v>27.75</v>
      </c>
      <c r="AJ98">
        <f t="shared" si="48"/>
        <v>0</v>
      </c>
      <c r="AK98">
        <v>3283.49</v>
      </c>
      <c r="AL98">
        <v>34.049999999999997</v>
      </c>
      <c r="AM98">
        <v>2187.15</v>
      </c>
      <c r="AN98">
        <v>248.63</v>
      </c>
      <c r="AO98">
        <v>1062.29</v>
      </c>
      <c r="AP98">
        <v>0</v>
      </c>
      <c r="AQ98">
        <v>113.01</v>
      </c>
      <c r="AR98">
        <v>18.5</v>
      </c>
      <c r="AS98">
        <v>0</v>
      </c>
      <c r="AT98">
        <v>93</v>
      </c>
      <c r="AU98">
        <v>52.7</v>
      </c>
      <c r="AV98">
        <v>1</v>
      </c>
      <c r="AW98">
        <v>1</v>
      </c>
      <c r="AZ98">
        <v>1</v>
      </c>
      <c r="BA98">
        <v>27.94</v>
      </c>
      <c r="BB98">
        <v>11.05</v>
      </c>
      <c r="BC98">
        <v>7.99</v>
      </c>
      <c r="BD98" t="s">
        <v>3</v>
      </c>
      <c r="BE98" t="s">
        <v>3</v>
      </c>
      <c r="BF98" t="s">
        <v>3</v>
      </c>
      <c r="BG98" t="s">
        <v>3</v>
      </c>
      <c r="BH98">
        <v>0</v>
      </c>
      <c r="BI98">
        <v>1</v>
      </c>
      <c r="BJ98" t="s">
        <v>36</v>
      </c>
      <c r="BM98">
        <v>9001</v>
      </c>
      <c r="BN98">
        <v>0</v>
      </c>
      <c r="BO98" t="s">
        <v>3</v>
      </c>
      <c r="BP98">
        <v>0</v>
      </c>
      <c r="BQ98">
        <v>2</v>
      </c>
      <c r="BR98">
        <v>0</v>
      </c>
      <c r="BS98">
        <v>27.94</v>
      </c>
      <c r="BT98">
        <v>1</v>
      </c>
      <c r="BU98">
        <v>1</v>
      </c>
      <c r="BV98">
        <v>1</v>
      </c>
      <c r="BW98">
        <v>1</v>
      </c>
      <c r="BX98">
        <v>1</v>
      </c>
      <c r="BY98" t="s">
        <v>3</v>
      </c>
      <c r="BZ98">
        <v>93</v>
      </c>
      <c r="CA98">
        <v>62</v>
      </c>
      <c r="CB98" t="s">
        <v>3</v>
      </c>
      <c r="CE98">
        <v>0</v>
      </c>
      <c r="CF98">
        <v>0</v>
      </c>
      <c r="CG98">
        <v>0</v>
      </c>
      <c r="CM98">
        <v>0</v>
      </c>
      <c r="CN98" t="s">
        <v>556</v>
      </c>
      <c r="CO98">
        <v>0</v>
      </c>
      <c r="CP98">
        <f t="shared" si="49"/>
        <v>14876.759999999998</v>
      </c>
      <c r="CQ98">
        <f t="shared" si="50"/>
        <v>272.05949999999996</v>
      </c>
      <c r="CR98">
        <f>(((((ET98*1.25)*1.2))*BB98-(((EU98*1.25)*1.2))*BS98)+AE98*BS98)</f>
        <v>36252.150950000003</v>
      </c>
      <c r="CS98">
        <f t="shared" si="51"/>
        <v>10420.223</v>
      </c>
      <c r="CT98">
        <f t="shared" si="52"/>
        <v>40958.922400000003</v>
      </c>
      <c r="CU98">
        <f t="shared" si="53"/>
        <v>0</v>
      </c>
      <c r="CV98">
        <f t="shared" si="54"/>
        <v>155.9538</v>
      </c>
      <c r="CW98">
        <f t="shared" si="55"/>
        <v>27.75</v>
      </c>
      <c r="CX98">
        <f t="shared" si="56"/>
        <v>0</v>
      </c>
      <c r="CY98">
        <f t="shared" si="57"/>
        <v>9174.2546999999977</v>
      </c>
      <c r="CZ98">
        <f t="shared" si="58"/>
        <v>5198.7443299999995</v>
      </c>
      <c r="DC98" t="s">
        <v>3</v>
      </c>
      <c r="DD98" t="s">
        <v>3</v>
      </c>
      <c r="DE98" t="s">
        <v>16</v>
      </c>
      <c r="DF98" t="s">
        <v>16</v>
      </c>
      <c r="DG98" t="s">
        <v>17</v>
      </c>
      <c r="DH98" t="s">
        <v>3</v>
      </c>
      <c r="DI98" t="s">
        <v>17</v>
      </c>
      <c r="DJ98" t="s">
        <v>16</v>
      </c>
      <c r="DK98" t="s">
        <v>3</v>
      </c>
      <c r="DL98" t="s">
        <v>3</v>
      </c>
      <c r="DM98" t="s">
        <v>55</v>
      </c>
      <c r="DN98">
        <v>0</v>
      </c>
      <c r="DO98">
        <v>0</v>
      </c>
      <c r="DP98">
        <v>1</v>
      </c>
      <c r="DQ98">
        <v>1</v>
      </c>
      <c r="DU98">
        <v>1005</v>
      </c>
      <c r="DV98" t="s">
        <v>23</v>
      </c>
      <c r="DW98" t="s">
        <v>23</v>
      </c>
      <c r="DX98">
        <v>100</v>
      </c>
      <c r="DZ98" t="s">
        <v>3</v>
      </c>
      <c r="EA98" t="s">
        <v>3</v>
      </c>
      <c r="EB98" t="s">
        <v>3</v>
      </c>
      <c r="EC98" t="s">
        <v>3</v>
      </c>
      <c r="EE98">
        <v>140625026</v>
      </c>
      <c r="EF98">
        <v>2</v>
      </c>
      <c r="EG98" t="s">
        <v>27</v>
      </c>
      <c r="EH98">
        <v>9</v>
      </c>
      <c r="EI98" t="s">
        <v>37</v>
      </c>
      <c r="EJ98">
        <v>1</v>
      </c>
      <c r="EK98">
        <v>9001</v>
      </c>
      <c r="EL98" t="s">
        <v>37</v>
      </c>
      <c r="EM98" t="s">
        <v>38</v>
      </c>
      <c r="EO98" t="s">
        <v>18</v>
      </c>
      <c r="EQ98">
        <v>0</v>
      </c>
      <c r="ER98">
        <v>3283.49</v>
      </c>
      <c r="ES98">
        <v>34.049999999999997</v>
      </c>
      <c r="ET98">
        <v>2187.15</v>
      </c>
      <c r="EU98">
        <v>248.63</v>
      </c>
      <c r="EV98">
        <v>1062.29</v>
      </c>
      <c r="EW98">
        <v>113.01</v>
      </c>
      <c r="EX98">
        <v>18.5</v>
      </c>
      <c r="EY98">
        <v>0</v>
      </c>
      <c r="FQ98">
        <v>0</v>
      </c>
      <c r="FR98">
        <f t="shared" si="59"/>
        <v>0</v>
      </c>
      <c r="FS98">
        <v>0</v>
      </c>
      <c r="FX98">
        <v>93</v>
      </c>
      <c r="FY98">
        <v>52.7</v>
      </c>
      <c r="GA98" t="s">
        <v>3</v>
      </c>
      <c r="GD98">
        <v>1</v>
      </c>
      <c r="GF98">
        <v>1005288079</v>
      </c>
      <c r="GG98">
        <v>2</v>
      </c>
      <c r="GH98">
        <v>1</v>
      </c>
      <c r="GI98">
        <v>4</v>
      </c>
      <c r="GJ98">
        <v>0</v>
      </c>
      <c r="GK98">
        <v>0</v>
      </c>
      <c r="GL98">
        <f t="shared" si="60"/>
        <v>0</v>
      </c>
      <c r="GM98">
        <f t="shared" si="61"/>
        <v>29249.75</v>
      </c>
      <c r="GN98">
        <f t="shared" si="62"/>
        <v>29249.75</v>
      </c>
      <c r="GO98">
        <f t="shared" si="63"/>
        <v>0</v>
      </c>
      <c r="GP98">
        <f t="shared" si="64"/>
        <v>0</v>
      </c>
      <c r="GR98">
        <v>0</v>
      </c>
      <c r="GS98">
        <v>3</v>
      </c>
      <c r="GT98">
        <v>0</v>
      </c>
      <c r="GU98" t="s">
        <v>3</v>
      </c>
      <c r="GV98">
        <f t="shared" si="65"/>
        <v>0</v>
      </c>
      <c r="GW98">
        <v>1</v>
      </c>
      <c r="GX98">
        <f t="shared" si="66"/>
        <v>0</v>
      </c>
      <c r="HA98">
        <v>0</v>
      </c>
      <c r="HB98">
        <v>0</v>
      </c>
      <c r="HC98">
        <f t="shared" si="67"/>
        <v>0</v>
      </c>
      <c r="HE98" t="s">
        <v>3</v>
      </c>
      <c r="HF98" t="s">
        <v>3</v>
      </c>
      <c r="HM98" t="s">
        <v>3</v>
      </c>
      <c r="HN98" t="s">
        <v>39</v>
      </c>
      <c r="HO98" t="s">
        <v>40</v>
      </c>
      <c r="HP98" t="s">
        <v>37</v>
      </c>
      <c r="HQ98" t="s">
        <v>37</v>
      </c>
      <c r="IK98">
        <v>0</v>
      </c>
    </row>
    <row r="99" spans="1:245" x14ac:dyDescent="0.2">
      <c r="A99">
        <v>17</v>
      </c>
      <c r="B99">
        <v>1</v>
      </c>
      <c r="E99" t="s">
        <v>276</v>
      </c>
      <c r="F99" t="s">
        <v>136</v>
      </c>
      <c r="G99" t="s">
        <v>277</v>
      </c>
      <c r="H99" t="s">
        <v>186</v>
      </c>
      <c r="I99">
        <v>20.16</v>
      </c>
      <c r="J99">
        <v>0</v>
      </c>
      <c r="K99">
        <v>20.16</v>
      </c>
      <c r="O99">
        <f t="shared" si="34"/>
        <v>41440.639999999999</v>
      </c>
      <c r="P99">
        <f t="shared" si="35"/>
        <v>41440.639999999999</v>
      </c>
      <c r="Q99">
        <f t="shared" si="36"/>
        <v>0</v>
      </c>
      <c r="R99">
        <f t="shared" si="37"/>
        <v>0</v>
      </c>
      <c r="S99">
        <f t="shared" si="38"/>
        <v>0</v>
      </c>
      <c r="T99">
        <f t="shared" si="39"/>
        <v>0</v>
      </c>
      <c r="U99">
        <f t="shared" si="40"/>
        <v>0</v>
      </c>
      <c r="V99">
        <f t="shared" si="41"/>
        <v>0</v>
      </c>
      <c r="W99">
        <f t="shared" si="42"/>
        <v>0</v>
      </c>
      <c r="X99">
        <f t="shared" si="43"/>
        <v>0</v>
      </c>
      <c r="Y99">
        <f t="shared" si="44"/>
        <v>0</v>
      </c>
      <c r="AA99">
        <v>143120906</v>
      </c>
      <c r="AB99">
        <f t="shared" si="45"/>
        <v>257.27</v>
      </c>
      <c r="AC99">
        <f>ROUND((ES99),2)</f>
        <v>257.27</v>
      </c>
      <c r="AD99">
        <f>ROUND((((ET99)-(EU99))+AE99),2)</f>
        <v>0</v>
      </c>
      <c r="AE99">
        <f>ROUND((EU99),2)</f>
        <v>0</v>
      </c>
      <c r="AF99">
        <f>ROUND((EV99),2)</f>
        <v>0</v>
      </c>
      <c r="AG99">
        <f t="shared" si="47"/>
        <v>0</v>
      </c>
      <c r="AH99">
        <f>(EW99)</f>
        <v>0</v>
      </c>
      <c r="AI99">
        <f>(EX99)</f>
        <v>0</v>
      </c>
      <c r="AJ99">
        <f t="shared" si="48"/>
        <v>0</v>
      </c>
      <c r="AK99">
        <v>257.27</v>
      </c>
      <c r="AL99">
        <v>257.27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1</v>
      </c>
      <c r="AW99">
        <v>1</v>
      </c>
      <c r="AZ99">
        <v>1</v>
      </c>
      <c r="BA99">
        <v>1</v>
      </c>
      <c r="BB99">
        <v>1</v>
      </c>
      <c r="BC99">
        <v>7.99</v>
      </c>
      <c r="BD99" t="s">
        <v>3</v>
      </c>
      <c r="BE99" t="s">
        <v>3</v>
      </c>
      <c r="BF99" t="s">
        <v>3</v>
      </c>
      <c r="BG99" t="s">
        <v>3</v>
      </c>
      <c r="BH99">
        <v>3</v>
      </c>
      <c r="BI99">
        <v>1</v>
      </c>
      <c r="BJ99" t="s">
        <v>3</v>
      </c>
      <c r="BM99">
        <v>1100</v>
      </c>
      <c r="BN99">
        <v>0</v>
      </c>
      <c r="BO99" t="s">
        <v>3</v>
      </c>
      <c r="BP99">
        <v>0</v>
      </c>
      <c r="BQ99">
        <v>8</v>
      </c>
      <c r="BR99">
        <v>0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Y99" t="s">
        <v>3</v>
      </c>
      <c r="BZ99">
        <v>0</v>
      </c>
      <c r="CA99">
        <v>0</v>
      </c>
      <c r="CB99" t="s">
        <v>3</v>
      </c>
      <c r="CE99">
        <v>0</v>
      </c>
      <c r="CF99">
        <v>0</v>
      </c>
      <c r="CG99">
        <v>0</v>
      </c>
      <c r="CM99">
        <v>0</v>
      </c>
      <c r="CN99" t="s">
        <v>3</v>
      </c>
      <c r="CO99">
        <v>0</v>
      </c>
      <c r="CP99">
        <f t="shared" si="49"/>
        <v>41440.639999999999</v>
      </c>
      <c r="CQ99">
        <f t="shared" si="50"/>
        <v>2055.5872999999997</v>
      </c>
      <c r="CR99">
        <f>(((ET99)*BB99-(EU99)*BS99)+AE99*BS99)</f>
        <v>0</v>
      </c>
      <c r="CS99">
        <f t="shared" si="51"/>
        <v>0</v>
      </c>
      <c r="CT99">
        <f t="shared" si="52"/>
        <v>0</v>
      </c>
      <c r="CU99">
        <f t="shared" si="53"/>
        <v>0</v>
      </c>
      <c r="CV99">
        <f t="shared" si="54"/>
        <v>0</v>
      </c>
      <c r="CW99">
        <f t="shared" si="55"/>
        <v>0</v>
      </c>
      <c r="CX99">
        <f t="shared" si="56"/>
        <v>0</v>
      </c>
      <c r="CY99">
        <f t="shared" si="57"/>
        <v>0</v>
      </c>
      <c r="CZ99">
        <f t="shared" si="58"/>
        <v>0</v>
      </c>
      <c r="DC99" t="s">
        <v>3</v>
      </c>
      <c r="DD99" t="s">
        <v>3</v>
      </c>
      <c r="DE99" t="s">
        <v>3</v>
      </c>
      <c r="DF99" t="s">
        <v>3</v>
      </c>
      <c r="DG99" t="s">
        <v>3</v>
      </c>
      <c r="DH99" t="s">
        <v>3</v>
      </c>
      <c r="DI99" t="s">
        <v>3</v>
      </c>
      <c r="DJ99" t="s">
        <v>3</v>
      </c>
      <c r="DK99" t="s">
        <v>3</v>
      </c>
      <c r="DL99" t="s">
        <v>3</v>
      </c>
      <c r="DM99" t="s">
        <v>3</v>
      </c>
      <c r="DN99">
        <v>0</v>
      </c>
      <c r="DO99">
        <v>0</v>
      </c>
      <c r="DP99">
        <v>1</v>
      </c>
      <c r="DQ99">
        <v>1</v>
      </c>
      <c r="DU99">
        <v>1005</v>
      </c>
      <c r="DV99" t="s">
        <v>186</v>
      </c>
      <c r="DW99" t="s">
        <v>186</v>
      </c>
      <c r="DX99">
        <v>1</v>
      </c>
      <c r="DZ99" t="s">
        <v>3</v>
      </c>
      <c r="EA99" t="s">
        <v>3</v>
      </c>
      <c r="EB99" t="s">
        <v>3</v>
      </c>
      <c r="EC99" t="s">
        <v>3</v>
      </c>
      <c r="EE99">
        <v>140625274</v>
      </c>
      <c r="EF99">
        <v>8</v>
      </c>
      <c r="EG99" t="s">
        <v>139</v>
      </c>
      <c r="EH99">
        <v>0</v>
      </c>
      <c r="EI99" t="s">
        <v>3</v>
      </c>
      <c r="EJ99">
        <v>1</v>
      </c>
      <c r="EK99">
        <v>1100</v>
      </c>
      <c r="EL99" t="s">
        <v>140</v>
      </c>
      <c r="EM99" t="s">
        <v>141</v>
      </c>
      <c r="EO99" t="s">
        <v>3</v>
      </c>
      <c r="EQ99">
        <v>0</v>
      </c>
      <c r="ER99">
        <v>257.27</v>
      </c>
      <c r="ES99">
        <v>257.27</v>
      </c>
      <c r="ET99">
        <v>0</v>
      </c>
      <c r="EU99">
        <v>0</v>
      </c>
      <c r="EV99">
        <v>0</v>
      </c>
      <c r="EW99">
        <v>0</v>
      </c>
      <c r="EX99">
        <v>0</v>
      </c>
      <c r="EY99">
        <v>0</v>
      </c>
      <c r="EZ99">
        <v>5</v>
      </c>
      <c r="FC99">
        <v>1</v>
      </c>
      <c r="FD99">
        <v>18</v>
      </c>
      <c r="FF99">
        <v>2303.23</v>
      </c>
      <c r="FQ99">
        <v>0</v>
      </c>
      <c r="FR99">
        <f t="shared" si="59"/>
        <v>0</v>
      </c>
      <c r="FS99">
        <v>0</v>
      </c>
      <c r="FX99">
        <v>0</v>
      </c>
      <c r="FY99">
        <v>0</v>
      </c>
      <c r="GA99" t="s">
        <v>278</v>
      </c>
      <c r="GD99">
        <v>1</v>
      </c>
      <c r="GF99">
        <v>1701637881</v>
      </c>
      <c r="GG99">
        <v>2</v>
      </c>
      <c r="GH99">
        <v>3</v>
      </c>
      <c r="GI99">
        <v>4</v>
      </c>
      <c r="GJ99">
        <v>0</v>
      </c>
      <c r="GK99">
        <v>0</v>
      </c>
      <c r="GL99">
        <f t="shared" si="60"/>
        <v>0</v>
      </c>
      <c r="GM99">
        <f t="shared" si="61"/>
        <v>41440.639999999999</v>
      </c>
      <c r="GN99">
        <f t="shared" si="62"/>
        <v>41440.639999999999</v>
      </c>
      <c r="GO99">
        <f t="shared" si="63"/>
        <v>0</v>
      </c>
      <c r="GP99">
        <f t="shared" si="64"/>
        <v>0</v>
      </c>
      <c r="GR99">
        <v>1</v>
      </c>
      <c r="GS99">
        <v>1</v>
      </c>
      <c r="GT99">
        <v>0</v>
      </c>
      <c r="GU99" t="s">
        <v>3</v>
      </c>
      <c r="GV99">
        <f t="shared" si="65"/>
        <v>0</v>
      </c>
      <c r="GW99">
        <v>1</v>
      </c>
      <c r="GX99">
        <f t="shared" si="66"/>
        <v>0</v>
      </c>
      <c r="HA99">
        <v>0</v>
      </c>
      <c r="HB99">
        <v>0</v>
      </c>
      <c r="HC99">
        <f t="shared" si="67"/>
        <v>0</v>
      </c>
      <c r="HE99" t="s">
        <v>61</v>
      </c>
      <c r="HF99" t="s">
        <v>33</v>
      </c>
      <c r="HM99" t="s">
        <v>3</v>
      </c>
      <c r="HN99" t="s">
        <v>3</v>
      </c>
      <c r="HO99" t="s">
        <v>3</v>
      </c>
      <c r="HP99" t="s">
        <v>3</v>
      </c>
      <c r="HQ99" t="s">
        <v>3</v>
      </c>
      <c r="IK99">
        <v>0</v>
      </c>
    </row>
    <row r="101" spans="1:245" x14ac:dyDescent="0.2">
      <c r="A101" s="2">
        <v>51</v>
      </c>
      <c r="B101" s="2">
        <f>B64</f>
        <v>1</v>
      </c>
      <c r="C101" s="2">
        <f>A64</f>
        <v>4</v>
      </c>
      <c r="D101" s="2">
        <f>ROW(A64)</f>
        <v>64</v>
      </c>
      <c r="E101" s="2"/>
      <c r="F101" s="2" t="str">
        <f>IF(F64&lt;&gt;"",F64,"")</f>
        <v>Новый раздел</v>
      </c>
      <c r="G101" s="2" t="str">
        <f>IF(G64&lt;&gt;"",G64,"")</f>
        <v>Строительные работы</v>
      </c>
      <c r="H101" s="2">
        <v>0</v>
      </c>
      <c r="I101" s="2"/>
      <c r="J101" s="2"/>
      <c r="K101" s="2"/>
      <c r="L101" s="2"/>
      <c r="M101" s="2"/>
      <c r="N101" s="2"/>
      <c r="O101" s="2">
        <f t="shared" ref="O101:T101" si="76">ROUND(AB101,2)</f>
        <v>265531.48</v>
      </c>
      <c r="P101" s="2">
        <f t="shared" si="76"/>
        <v>165636.96</v>
      </c>
      <c r="Q101" s="2">
        <f t="shared" si="76"/>
        <v>16745.080000000002</v>
      </c>
      <c r="R101" s="2">
        <f t="shared" si="76"/>
        <v>5379.22</v>
      </c>
      <c r="S101" s="2">
        <f t="shared" si="76"/>
        <v>83149.440000000002</v>
      </c>
      <c r="T101" s="2">
        <f t="shared" si="76"/>
        <v>0</v>
      </c>
      <c r="U101" s="2">
        <f>AH101</f>
        <v>328.73868942000001</v>
      </c>
      <c r="V101" s="2">
        <f>AI101</f>
        <v>14.640184999999999</v>
      </c>
      <c r="W101" s="2">
        <f>ROUND(AJ101,2)</f>
        <v>0</v>
      </c>
      <c r="X101" s="2">
        <f>ROUND(AK101,2)</f>
        <v>89093.61</v>
      </c>
      <c r="Y101" s="2">
        <f>ROUND(AL101,2)</f>
        <v>41828.29</v>
      </c>
      <c r="Z101" s="2"/>
      <c r="AA101" s="2"/>
      <c r="AB101" s="2">
        <f>ROUND(SUMIF(AA68:AA99,"=143120906",O68:O99),2)</f>
        <v>265531.48</v>
      </c>
      <c r="AC101" s="2">
        <f>ROUND(SUMIF(AA68:AA99,"=143120906",P68:P99),2)</f>
        <v>165636.96</v>
      </c>
      <c r="AD101" s="2">
        <f>ROUND(SUMIF(AA68:AA99,"=143120906",Q68:Q99),2)</f>
        <v>16745.080000000002</v>
      </c>
      <c r="AE101" s="2">
        <f>ROUND(SUMIF(AA68:AA99,"=143120906",R68:R99),2)</f>
        <v>5379.22</v>
      </c>
      <c r="AF101" s="2">
        <f>ROUND(SUMIF(AA68:AA99,"=143120906",S68:S99),2)</f>
        <v>83149.440000000002</v>
      </c>
      <c r="AG101" s="2">
        <f>ROUND(SUMIF(AA68:AA99,"=143120906",T68:T99),2)</f>
        <v>0</v>
      </c>
      <c r="AH101" s="2">
        <f>SUMIF(AA68:AA99,"=143120906",U68:U99)</f>
        <v>328.73868942000001</v>
      </c>
      <c r="AI101" s="2">
        <f>SUMIF(AA68:AA99,"=143120906",V68:V99)</f>
        <v>14.640184999999999</v>
      </c>
      <c r="AJ101" s="2">
        <f>ROUND(SUMIF(AA68:AA99,"=143120906",W68:W99),2)</f>
        <v>0</v>
      </c>
      <c r="AK101" s="2">
        <f>ROUND(SUMIF(AA68:AA99,"=143120906",X68:X99),2)</f>
        <v>89093.61</v>
      </c>
      <c r="AL101" s="2">
        <f>ROUND(SUMIF(AA68:AA99,"=143120906",Y68:Y99),2)</f>
        <v>41828.29</v>
      </c>
      <c r="AM101" s="2"/>
      <c r="AN101" s="2"/>
      <c r="AO101" s="2">
        <f t="shared" ref="AO101:BD101" si="77">ROUND(BX101,2)</f>
        <v>0</v>
      </c>
      <c r="AP101" s="2">
        <f t="shared" si="77"/>
        <v>0</v>
      </c>
      <c r="AQ101" s="2">
        <f t="shared" si="77"/>
        <v>0</v>
      </c>
      <c r="AR101" s="2">
        <f t="shared" si="77"/>
        <v>396453.38</v>
      </c>
      <c r="AS101" s="2">
        <f t="shared" si="77"/>
        <v>396453.38</v>
      </c>
      <c r="AT101" s="2">
        <f t="shared" si="77"/>
        <v>0</v>
      </c>
      <c r="AU101" s="2">
        <f t="shared" si="77"/>
        <v>0</v>
      </c>
      <c r="AV101" s="2">
        <f t="shared" si="77"/>
        <v>165636.96</v>
      </c>
      <c r="AW101" s="2">
        <f t="shared" si="77"/>
        <v>165636.96</v>
      </c>
      <c r="AX101" s="2">
        <f t="shared" si="77"/>
        <v>0</v>
      </c>
      <c r="AY101" s="2">
        <f t="shared" si="77"/>
        <v>165636.96</v>
      </c>
      <c r="AZ101" s="2">
        <f t="shared" si="77"/>
        <v>0</v>
      </c>
      <c r="BA101" s="2">
        <f t="shared" si="77"/>
        <v>0</v>
      </c>
      <c r="BB101" s="2">
        <f t="shared" si="77"/>
        <v>0</v>
      </c>
      <c r="BC101" s="2">
        <f t="shared" si="77"/>
        <v>0</v>
      </c>
      <c r="BD101" s="2">
        <f t="shared" si="77"/>
        <v>0</v>
      </c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>
        <f>ROUND(SUMIF(AA68:AA99,"=143120906",FQ68:FQ99),2)</f>
        <v>0</v>
      </c>
      <c r="BY101" s="2">
        <f>ROUND(SUMIF(AA68:AA99,"=143120906",FR68:FR99),2)</f>
        <v>0</v>
      </c>
      <c r="BZ101" s="2">
        <f>ROUND(SUMIF(AA68:AA99,"=143120906",GL68:GL99),2)</f>
        <v>0</v>
      </c>
      <c r="CA101" s="2">
        <f>ROUND(SUMIF(AA68:AA99,"=143120906",GM68:GM99),2)</f>
        <v>396453.38</v>
      </c>
      <c r="CB101" s="2">
        <f>ROUND(SUMIF(AA68:AA99,"=143120906",GN68:GN99),2)</f>
        <v>396453.38</v>
      </c>
      <c r="CC101" s="2">
        <f>ROUND(SUMIF(AA68:AA99,"=143120906",GO68:GO99),2)</f>
        <v>0</v>
      </c>
      <c r="CD101" s="2">
        <f>ROUND(SUMIF(AA68:AA99,"=143120906",GP68:GP99),2)</f>
        <v>0</v>
      </c>
      <c r="CE101" s="2">
        <f>AC101-BX101</f>
        <v>165636.96</v>
      </c>
      <c r="CF101" s="2">
        <f>AC101-BY101</f>
        <v>165636.96</v>
      </c>
      <c r="CG101" s="2">
        <f>BX101-BZ101</f>
        <v>0</v>
      </c>
      <c r="CH101" s="2">
        <f>AC101-BX101-BY101+BZ101</f>
        <v>165636.96</v>
      </c>
      <c r="CI101" s="2">
        <f>BY101-BZ101</f>
        <v>0</v>
      </c>
      <c r="CJ101" s="2">
        <f>ROUND(SUMIF(AA68:AA99,"=143120906",GX68:GX99),2)</f>
        <v>0</v>
      </c>
      <c r="CK101" s="2">
        <f>ROUND(SUMIF(AA68:AA99,"=143120906",GY68:GY99),2)</f>
        <v>0</v>
      </c>
      <c r="CL101" s="2">
        <f>ROUND(SUMIF(AA68:AA99,"=143120906",GZ68:GZ99),2)</f>
        <v>0</v>
      </c>
      <c r="CM101" s="2">
        <f>ROUND(SUMIF(AA68:AA99,"=143120906",HD68:HD99),2)</f>
        <v>0</v>
      </c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>
        <v>0</v>
      </c>
    </row>
    <row r="103" spans="1:245" x14ac:dyDescent="0.2">
      <c r="A103" s="4">
        <v>50</v>
      </c>
      <c r="B103" s="4">
        <v>0</v>
      </c>
      <c r="C103" s="4">
        <v>0</v>
      </c>
      <c r="D103" s="4">
        <v>1</v>
      </c>
      <c r="E103" s="4">
        <v>201</v>
      </c>
      <c r="F103" s="4">
        <f>ROUND(Source!O101,O103)</f>
        <v>265531.48</v>
      </c>
      <c r="G103" s="4" t="s">
        <v>71</v>
      </c>
      <c r="H103" s="4" t="s">
        <v>72</v>
      </c>
      <c r="I103" s="4"/>
      <c r="J103" s="4"/>
      <c r="K103" s="4">
        <v>201</v>
      </c>
      <c r="L103" s="4">
        <v>1</v>
      </c>
      <c r="M103" s="4">
        <v>3</v>
      </c>
      <c r="N103" s="4" t="s">
        <v>3</v>
      </c>
      <c r="O103" s="4">
        <v>2</v>
      </c>
      <c r="P103" s="4"/>
      <c r="Q103" s="4"/>
      <c r="R103" s="4"/>
      <c r="S103" s="4"/>
      <c r="T103" s="4"/>
      <c r="U103" s="4"/>
      <c r="V103" s="4"/>
      <c r="W103" s="4">
        <v>265531.48</v>
      </c>
      <c r="X103" s="4">
        <v>1</v>
      </c>
      <c r="Y103" s="4">
        <v>265531.48</v>
      </c>
      <c r="Z103" s="4"/>
      <c r="AA103" s="4"/>
      <c r="AB103" s="4"/>
    </row>
    <row r="104" spans="1:245" x14ac:dyDescent="0.2">
      <c r="A104" s="4">
        <v>50</v>
      </c>
      <c r="B104" s="4">
        <v>0</v>
      </c>
      <c r="C104" s="4">
        <v>0</v>
      </c>
      <c r="D104" s="4">
        <v>1</v>
      </c>
      <c r="E104" s="4">
        <v>202</v>
      </c>
      <c r="F104" s="4">
        <f>ROUND(Source!P101,O104)</f>
        <v>165636.96</v>
      </c>
      <c r="G104" s="4" t="s">
        <v>73</v>
      </c>
      <c r="H104" s="4" t="s">
        <v>74</v>
      </c>
      <c r="I104" s="4"/>
      <c r="J104" s="4"/>
      <c r="K104" s="4">
        <v>202</v>
      </c>
      <c r="L104" s="4">
        <v>2</v>
      </c>
      <c r="M104" s="4">
        <v>3</v>
      </c>
      <c r="N104" s="4" t="s">
        <v>3</v>
      </c>
      <c r="O104" s="4">
        <v>2</v>
      </c>
      <c r="P104" s="4"/>
      <c r="Q104" s="4"/>
      <c r="R104" s="4"/>
      <c r="S104" s="4"/>
      <c r="T104" s="4"/>
      <c r="U104" s="4"/>
      <c r="V104" s="4"/>
      <c r="W104" s="4">
        <v>165636.96</v>
      </c>
      <c r="X104" s="4">
        <v>1</v>
      </c>
      <c r="Y104" s="4">
        <v>165636.96</v>
      </c>
      <c r="Z104" s="4"/>
      <c r="AA104" s="4"/>
      <c r="AB104" s="4"/>
    </row>
    <row r="105" spans="1:245" x14ac:dyDescent="0.2">
      <c r="A105" s="4">
        <v>50</v>
      </c>
      <c r="B105" s="4">
        <v>0</v>
      </c>
      <c r="C105" s="4">
        <v>0</v>
      </c>
      <c r="D105" s="4">
        <v>1</v>
      </c>
      <c r="E105" s="4">
        <v>222</v>
      </c>
      <c r="F105" s="4">
        <f>ROUND(Source!AO101,O105)</f>
        <v>0</v>
      </c>
      <c r="G105" s="4" t="s">
        <v>75</v>
      </c>
      <c r="H105" s="4" t="s">
        <v>76</v>
      </c>
      <c r="I105" s="4"/>
      <c r="J105" s="4"/>
      <c r="K105" s="4">
        <v>222</v>
      </c>
      <c r="L105" s="4">
        <v>3</v>
      </c>
      <c r="M105" s="4">
        <v>3</v>
      </c>
      <c r="N105" s="4" t="s">
        <v>3</v>
      </c>
      <c r="O105" s="4">
        <v>2</v>
      </c>
      <c r="P105" s="4"/>
      <c r="Q105" s="4"/>
      <c r="R105" s="4"/>
      <c r="S105" s="4"/>
      <c r="T105" s="4"/>
      <c r="U105" s="4"/>
      <c r="V105" s="4"/>
      <c r="W105" s="4">
        <v>0</v>
      </c>
      <c r="X105" s="4">
        <v>1</v>
      </c>
      <c r="Y105" s="4">
        <v>0</v>
      </c>
      <c r="Z105" s="4"/>
      <c r="AA105" s="4"/>
      <c r="AB105" s="4"/>
    </row>
    <row r="106" spans="1:245" x14ac:dyDescent="0.2">
      <c r="A106" s="4">
        <v>50</v>
      </c>
      <c r="B106" s="4">
        <v>0</v>
      </c>
      <c r="C106" s="4">
        <v>0</v>
      </c>
      <c r="D106" s="4">
        <v>1</v>
      </c>
      <c r="E106" s="4">
        <v>225</v>
      </c>
      <c r="F106" s="4">
        <f>ROUND(Source!AV101,O106)</f>
        <v>165636.96</v>
      </c>
      <c r="G106" s="4" t="s">
        <v>77</v>
      </c>
      <c r="H106" s="4" t="s">
        <v>78</v>
      </c>
      <c r="I106" s="4"/>
      <c r="J106" s="4"/>
      <c r="K106" s="4">
        <v>225</v>
      </c>
      <c r="L106" s="4">
        <v>4</v>
      </c>
      <c r="M106" s="4">
        <v>3</v>
      </c>
      <c r="N106" s="4" t="s">
        <v>3</v>
      </c>
      <c r="O106" s="4">
        <v>2</v>
      </c>
      <c r="P106" s="4"/>
      <c r="Q106" s="4"/>
      <c r="R106" s="4"/>
      <c r="S106" s="4"/>
      <c r="T106" s="4"/>
      <c r="U106" s="4"/>
      <c r="V106" s="4"/>
      <c r="W106" s="4">
        <v>165636.96</v>
      </c>
      <c r="X106" s="4">
        <v>1</v>
      </c>
      <c r="Y106" s="4">
        <v>165636.96</v>
      </c>
      <c r="Z106" s="4"/>
      <c r="AA106" s="4"/>
      <c r="AB106" s="4"/>
    </row>
    <row r="107" spans="1:245" x14ac:dyDescent="0.2">
      <c r="A107" s="4">
        <v>50</v>
      </c>
      <c r="B107" s="4">
        <v>0</v>
      </c>
      <c r="C107" s="4">
        <v>0</v>
      </c>
      <c r="D107" s="4">
        <v>1</v>
      </c>
      <c r="E107" s="4">
        <v>226</v>
      </c>
      <c r="F107" s="4">
        <f>ROUND(Source!AW101,O107)</f>
        <v>165636.96</v>
      </c>
      <c r="G107" s="4" t="s">
        <v>79</v>
      </c>
      <c r="H107" s="4" t="s">
        <v>80</v>
      </c>
      <c r="I107" s="4"/>
      <c r="J107" s="4"/>
      <c r="K107" s="4">
        <v>226</v>
      </c>
      <c r="L107" s="4">
        <v>5</v>
      </c>
      <c r="M107" s="4">
        <v>3</v>
      </c>
      <c r="N107" s="4" t="s">
        <v>3</v>
      </c>
      <c r="O107" s="4">
        <v>2</v>
      </c>
      <c r="P107" s="4"/>
      <c r="Q107" s="4"/>
      <c r="R107" s="4"/>
      <c r="S107" s="4"/>
      <c r="T107" s="4"/>
      <c r="U107" s="4"/>
      <c r="V107" s="4"/>
      <c r="W107" s="4">
        <v>165636.96</v>
      </c>
      <c r="X107" s="4">
        <v>1</v>
      </c>
      <c r="Y107" s="4">
        <v>165636.96</v>
      </c>
      <c r="Z107" s="4"/>
      <c r="AA107" s="4"/>
      <c r="AB107" s="4"/>
    </row>
    <row r="108" spans="1:245" x14ac:dyDescent="0.2">
      <c r="A108" s="4">
        <v>50</v>
      </c>
      <c r="B108" s="4">
        <v>0</v>
      </c>
      <c r="C108" s="4">
        <v>0</v>
      </c>
      <c r="D108" s="4">
        <v>1</v>
      </c>
      <c r="E108" s="4">
        <v>227</v>
      </c>
      <c r="F108" s="4">
        <f>ROUND(Source!AX101,O108)</f>
        <v>0</v>
      </c>
      <c r="G108" s="4" t="s">
        <v>81</v>
      </c>
      <c r="H108" s="4" t="s">
        <v>82</v>
      </c>
      <c r="I108" s="4"/>
      <c r="J108" s="4"/>
      <c r="K108" s="4">
        <v>227</v>
      </c>
      <c r="L108" s="4">
        <v>6</v>
      </c>
      <c r="M108" s="4">
        <v>3</v>
      </c>
      <c r="N108" s="4" t="s">
        <v>3</v>
      </c>
      <c r="O108" s="4">
        <v>2</v>
      </c>
      <c r="P108" s="4"/>
      <c r="Q108" s="4"/>
      <c r="R108" s="4"/>
      <c r="S108" s="4"/>
      <c r="T108" s="4"/>
      <c r="U108" s="4"/>
      <c r="V108" s="4"/>
      <c r="W108" s="4">
        <v>0</v>
      </c>
      <c r="X108" s="4">
        <v>1</v>
      </c>
      <c r="Y108" s="4">
        <v>0</v>
      </c>
      <c r="Z108" s="4"/>
      <c r="AA108" s="4"/>
      <c r="AB108" s="4"/>
    </row>
    <row r="109" spans="1:245" x14ac:dyDescent="0.2">
      <c r="A109" s="4">
        <v>50</v>
      </c>
      <c r="B109" s="4">
        <v>0</v>
      </c>
      <c r="C109" s="4">
        <v>0</v>
      </c>
      <c r="D109" s="4">
        <v>1</v>
      </c>
      <c r="E109" s="4">
        <v>228</v>
      </c>
      <c r="F109" s="4">
        <f>ROUND(Source!AY101,O109)</f>
        <v>165636.96</v>
      </c>
      <c r="G109" s="4" t="s">
        <v>83</v>
      </c>
      <c r="H109" s="4" t="s">
        <v>84</v>
      </c>
      <c r="I109" s="4"/>
      <c r="J109" s="4"/>
      <c r="K109" s="4">
        <v>228</v>
      </c>
      <c r="L109" s="4">
        <v>7</v>
      </c>
      <c r="M109" s="4">
        <v>3</v>
      </c>
      <c r="N109" s="4" t="s">
        <v>3</v>
      </c>
      <c r="O109" s="4">
        <v>2</v>
      </c>
      <c r="P109" s="4"/>
      <c r="Q109" s="4"/>
      <c r="R109" s="4"/>
      <c r="S109" s="4"/>
      <c r="T109" s="4"/>
      <c r="U109" s="4"/>
      <c r="V109" s="4"/>
      <c r="W109" s="4">
        <v>165636.96</v>
      </c>
      <c r="X109" s="4">
        <v>1</v>
      </c>
      <c r="Y109" s="4">
        <v>165636.96</v>
      </c>
      <c r="Z109" s="4"/>
      <c r="AA109" s="4"/>
      <c r="AB109" s="4"/>
    </row>
    <row r="110" spans="1:245" x14ac:dyDescent="0.2">
      <c r="A110" s="4">
        <v>50</v>
      </c>
      <c r="B110" s="4">
        <v>0</v>
      </c>
      <c r="C110" s="4">
        <v>0</v>
      </c>
      <c r="D110" s="4">
        <v>1</v>
      </c>
      <c r="E110" s="4">
        <v>216</v>
      </c>
      <c r="F110" s="4">
        <f>ROUND(Source!AP101,O110)</f>
        <v>0</v>
      </c>
      <c r="G110" s="4" t="s">
        <v>85</v>
      </c>
      <c r="H110" s="4" t="s">
        <v>86</v>
      </c>
      <c r="I110" s="4"/>
      <c r="J110" s="4"/>
      <c r="K110" s="4">
        <v>216</v>
      </c>
      <c r="L110" s="4">
        <v>8</v>
      </c>
      <c r="M110" s="4">
        <v>3</v>
      </c>
      <c r="N110" s="4" t="s">
        <v>3</v>
      </c>
      <c r="O110" s="4">
        <v>2</v>
      </c>
      <c r="P110" s="4"/>
      <c r="Q110" s="4"/>
      <c r="R110" s="4"/>
      <c r="S110" s="4"/>
      <c r="T110" s="4"/>
      <c r="U110" s="4"/>
      <c r="V110" s="4"/>
      <c r="W110" s="4">
        <v>0</v>
      </c>
      <c r="X110" s="4">
        <v>1</v>
      </c>
      <c r="Y110" s="4">
        <v>0</v>
      </c>
      <c r="Z110" s="4"/>
      <c r="AA110" s="4"/>
      <c r="AB110" s="4"/>
    </row>
    <row r="111" spans="1:245" x14ac:dyDescent="0.2">
      <c r="A111" s="4">
        <v>50</v>
      </c>
      <c r="B111" s="4">
        <v>0</v>
      </c>
      <c r="C111" s="4">
        <v>0</v>
      </c>
      <c r="D111" s="4">
        <v>1</v>
      </c>
      <c r="E111" s="4">
        <v>223</v>
      </c>
      <c r="F111" s="4">
        <f>ROUND(Source!AQ101,O111)</f>
        <v>0</v>
      </c>
      <c r="G111" s="4" t="s">
        <v>87</v>
      </c>
      <c r="H111" s="4" t="s">
        <v>88</v>
      </c>
      <c r="I111" s="4"/>
      <c r="J111" s="4"/>
      <c r="K111" s="4">
        <v>223</v>
      </c>
      <c r="L111" s="4">
        <v>9</v>
      </c>
      <c r="M111" s="4">
        <v>3</v>
      </c>
      <c r="N111" s="4" t="s">
        <v>3</v>
      </c>
      <c r="O111" s="4">
        <v>2</v>
      </c>
      <c r="P111" s="4"/>
      <c r="Q111" s="4"/>
      <c r="R111" s="4"/>
      <c r="S111" s="4"/>
      <c r="T111" s="4"/>
      <c r="U111" s="4"/>
      <c r="V111" s="4"/>
      <c r="W111" s="4">
        <v>0</v>
      </c>
      <c r="X111" s="4">
        <v>1</v>
      </c>
      <c r="Y111" s="4">
        <v>0</v>
      </c>
      <c r="Z111" s="4"/>
      <c r="AA111" s="4"/>
      <c r="AB111" s="4"/>
    </row>
    <row r="112" spans="1:245" x14ac:dyDescent="0.2">
      <c r="A112" s="4">
        <v>50</v>
      </c>
      <c r="B112" s="4">
        <v>0</v>
      </c>
      <c r="C112" s="4">
        <v>0</v>
      </c>
      <c r="D112" s="4">
        <v>1</v>
      </c>
      <c r="E112" s="4">
        <v>229</v>
      </c>
      <c r="F112" s="4">
        <f>ROUND(Source!AZ101,O112)</f>
        <v>0</v>
      </c>
      <c r="G112" s="4" t="s">
        <v>89</v>
      </c>
      <c r="H112" s="4" t="s">
        <v>90</v>
      </c>
      <c r="I112" s="4"/>
      <c r="J112" s="4"/>
      <c r="K112" s="4">
        <v>229</v>
      </c>
      <c r="L112" s="4">
        <v>10</v>
      </c>
      <c r="M112" s="4">
        <v>3</v>
      </c>
      <c r="N112" s="4" t="s">
        <v>3</v>
      </c>
      <c r="O112" s="4">
        <v>2</v>
      </c>
      <c r="P112" s="4"/>
      <c r="Q112" s="4"/>
      <c r="R112" s="4"/>
      <c r="S112" s="4"/>
      <c r="T112" s="4"/>
      <c r="U112" s="4"/>
      <c r="V112" s="4"/>
      <c r="W112" s="4">
        <v>0</v>
      </c>
      <c r="X112" s="4">
        <v>1</v>
      </c>
      <c r="Y112" s="4">
        <v>0</v>
      </c>
      <c r="Z112" s="4"/>
      <c r="AA112" s="4"/>
      <c r="AB112" s="4"/>
    </row>
    <row r="113" spans="1:28" x14ac:dyDescent="0.2">
      <c r="A113" s="4">
        <v>50</v>
      </c>
      <c r="B113" s="4">
        <v>0</v>
      </c>
      <c r="C113" s="4">
        <v>0</v>
      </c>
      <c r="D113" s="4">
        <v>1</v>
      </c>
      <c r="E113" s="4">
        <v>203</v>
      </c>
      <c r="F113" s="4">
        <f>ROUND(Source!Q101,O113)</f>
        <v>16745.080000000002</v>
      </c>
      <c r="G113" s="4" t="s">
        <v>91</v>
      </c>
      <c r="H113" s="4" t="s">
        <v>92</v>
      </c>
      <c r="I113" s="4"/>
      <c r="J113" s="4"/>
      <c r="K113" s="4">
        <v>203</v>
      </c>
      <c r="L113" s="4">
        <v>11</v>
      </c>
      <c r="M113" s="4">
        <v>3</v>
      </c>
      <c r="N113" s="4" t="s">
        <v>3</v>
      </c>
      <c r="O113" s="4">
        <v>2</v>
      </c>
      <c r="P113" s="4"/>
      <c r="Q113" s="4"/>
      <c r="R113" s="4"/>
      <c r="S113" s="4"/>
      <c r="T113" s="4"/>
      <c r="U113" s="4"/>
      <c r="V113" s="4"/>
      <c r="W113" s="4">
        <v>16745.080000000002</v>
      </c>
      <c r="X113" s="4">
        <v>1</v>
      </c>
      <c r="Y113" s="4">
        <v>16745.080000000002</v>
      </c>
      <c r="Z113" s="4"/>
      <c r="AA113" s="4"/>
      <c r="AB113" s="4"/>
    </row>
    <row r="114" spans="1:28" x14ac:dyDescent="0.2">
      <c r="A114" s="4">
        <v>50</v>
      </c>
      <c r="B114" s="4">
        <v>0</v>
      </c>
      <c r="C114" s="4">
        <v>0</v>
      </c>
      <c r="D114" s="4">
        <v>1</v>
      </c>
      <c r="E114" s="4">
        <v>231</v>
      </c>
      <c r="F114" s="4">
        <f>ROUND(Source!BB101,O114)</f>
        <v>0</v>
      </c>
      <c r="G114" s="4" t="s">
        <v>93</v>
      </c>
      <c r="H114" s="4" t="s">
        <v>94</v>
      </c>
      <c r="I114" s="4"/>
      <c r="J114" s="4"/>
      <c r="K114" s="4">
        <v>231</v>
      </c>
      <c r="L114" s="4">
        <v>12</v>
      </c>
      <c r="M114" s="4">
        <v>3</v>
      </c>
      <c r="N114" s="4" t="s">
        <v>3</v>
      </c>
      <c r="O114" s="4">
        <v>2</v>
      </c>
      <c r="P114" s="4"/>
      <c r="Q114" s="4"/>
      <c r="R114" s="4"/>
      <c r="S114" s="4"/>
      <c r="T114" s="4"/>
      <c r="U114" s="4"/>
      <c r="V114" s="4"/>
      <c r="W114" s="4">
        <v>0</v>
      </c>
      <c r="X114" s="4">
        <v>1</v>
      </c>
      <c r="Y114" s="4">
        <v>0</v>
      </c>
      <c r="Z114" s="4"/>
      <c r="AA114" s="4"/>
      <c r="AB114" s="4"/>
    </row>
    <row r="115" spans="1:28" x14ac:dyDescent="0.2">
      <c r="A115" s="4">
        <v>50</v>
      </c>
      <c r="B115" s="4">
        <v>0</v>
      </c>
      <c r="C115" s="4">
        <v>0</v>
      </c>
      <c r="D115" s="4">
        <v>1</v>
      </c>
      <c r="E115" s="4">
        <v>204</v>
      </c>
      <c r="F115" s="4">
        <f>ROUND(Source!R101,O115)</f>
        <v>5379.22</v>
      </c>
      <c r="G115" s="4" t="s">
        <v>95</v>
      </c>
      <c r="H115" s="4" t="s">
        <v>96</v>
      </c>
      <c r="I115" s="4"/>
      <c r="J115" s="4"/>
      <c r="K115" s="4">
        <v>204</v>
      </c>
      <c r="L115" s="4">
        <v>13</v>
      </c>
      <c r="M115" s="4">
        <v>3</v>
      </c>
      <c r="N115" s="4" t="s">
        <v>3</v>
      </c>
      <c r="O115" s="4">
        <v>2</v>
      </c>
      <c r="P115" s="4"/>
      <c r="Q115" s="4"/>
      <c r="R115" s="4"/>
      <c r="S115" s="4"/>
      <c r="T115" s="4"/>
      <c r="U115" s="4"/>
      <c r="V115" s="4"/>
      <c r="W115" s="4">
        <v>5379.22</v>
      </c>
      <c r="X115" s="4">
        <v>1</v>
      </c>
      <c r="Y115" s="4">
        <v>5379.22</v>
      </c>
      <c r="Z115" s="4"/>
      <c r="AA115" s="4"/>
      <c r="AB115" s="4"/>
    </row>
    <row r="116" spans="1:28" x14ac:dyDescent="0.2">
      <c r="A116" s="4">
        <v>50</v>
      </c>
      <c r="B116" s="4">
        <v>0</v>
      </c>
      <c r="C116" s="4">
        <v>0</v>
      </c>
      <c r="D116" s="4">
        <v>1</v>
      </c>
      <c r="E116" s="4">
        <v>205</v>
      </c>
      <c r="F116" s="4">
        <f>ROUND(Source!S101,O116)</f>
        <v>83149.440000000002</v>
      </c>
      <c r="G116" s="4" t="s">
        <v>97</v>
      </c>
      <c r="H116" s="4" t="s">
        <v>98</v>
      </c>
      <c r="I116" s="4"/>
      <c r="J116" s="4"/>
      <c r="K116" s="4">
        <v>205</v>
      </c>
      <c r="L116" s="4">
        <v>14</v>
      </c>
      <c r="M116" s="4">
        <v>3</v>
      </c>
      <c r="N116" s="4" t="s">
        <v>3</v>
      </c>
      <c r="O116" s="4">
        <v>2</v>
      </c>
      <c r="P116" s="4"/>
      <c r="Q116" s="4"/>
      <c r="R116" s="4"/>
      <c r="S116" s="4"/>
      <c r="T116" s="4"/>
      <c r="U116" s="4"/>
      <c r="V116" s="4"/>
      <c r="W116" s="4">
        <v>83149.440000000002</v>
      </c>
      <c r="X116" s="4">
        <v>1</v>
      </c>
      <c r="Y116" s="4">
        <v>83149.440000000002</v>
      </c>
      <c r="Z116" s="4"/>
      <c r="AA116" s="4"/>
      <c r="AB116" s="4"/>
    </row>
    <row r="117" spans="1:28" x14ac:dyDescent="0.2">
      <c r="A117" s="4">
        <v>50</v>
      </c>
      <c r="B117" s="4">
        <v>0</v>
      </c>
      <c r="C117" s="4">
        <v>0</v>
      </c>
      <c r="D117" s="4">
        <v>1</v>
      </c>
      <c r="E117" s="4">
        <v>232</v>
      </c>
      <c r="F117" s="4">
        <f>ROUND(Source!BC101,O117)</f>
        <v>0</v>
      </c>
      <c r="G117" s="4" t="s">
        <v>99</v>
      </c>
      <c r="H117" s="4" t="s">
        <v>100</v>
      </c>
      <c r="I117" s="4"/>
      <c r="J117" s="4"/>
      <c r="K117" s="4">
        <v>232</v>
      </c>
      <c r="L117" s="4">
        <v>15</v>
      </c>
      <c r="M117" s="4">
        <v>3</v>
      </c>
      <c r="N117" s="4" t="s">
        <v>3</v>
      </c>
      <c r="O117" s="4">
        <v>2</v>
      </c>
      <c r="P117" s="4"/>
      <c r="Q117" s="4"/>
      <c r="R117" s="4"/>
      <c r="S117" s="4"/>
      <c r="T117" s="4"/>
      <c r="U117" s="4"/>
      <c r="V117" s="4"/>
      <c r="W117" s="4">
        <v>0</v>
      </c>
      <c r="X117" s="4">
        <v>1</v>
      </c>
      <c r="Y117" s="4">
        <v>0</v>
      </c>
      <c r="Z117" s="4"/>
      <c r="AA117" s="4"/>
      <c r="AB117" s="4"/>
    </row>
    <row r="118" spans="1:28" x14ac:dyDescent="0.2">
      <c r="A118" s="4">
        <v>50</v>
      </c>
      <c r="B118" s="4">
        <v>0</v>
      </c>
      <c r="C118" s="4">
        <v>0</v>
      </c>
      <c r="D118" s="4">
        <v>1</v>
      </c>
      <c r="E118" s="4">
        <v>214</v>
      </c>
      <c r="F118" s="4">
        <f>ROUND(Source!AS101,O118)</f>
        <v>396453.38</v>
      </c>
      <c r="G118" s="4" t="s">
        <v>101</v>
      </c>
      <c r="H118" s="4" t="s">
        <v>102</v>
      </c>
      <c r="I118" s="4"/>
      <c r="J118" s="4"/>
      <c r="K118" s="4">
        <v>214</v>
      </c>
      <c r="L118" s="4">
        <v>16</v>
      </c>
      <c r="M118" s="4">
        <v>3</v>
      </c>
      <c r="N118" s="4" t="s">
        <v>3</v>
      </c>
      <c r="O118" s="4">
        <v>2</v>
      </c>
      <c r="P118" s="4"/>
      <c r="Q118" s="4"/>
      <c r="R118" s="4"/>
      <c r="S118" s="4"/>
      <c r="T118" s="4"/>
      <c r="U118" s="4"/>
      <c r="V118" s="4"/>
      <c r="W118" s="4">
        <v>396453.38</v>
      </c>
      <c r="X118" s="4">
        <v>1</v>
      </c>
      <c r="Y118" s="4">
        <v>396453.38</v>
      </c>
      <c r="Z118" s="4"/>
      <c r="AA118" s="4"/>
      <c r="AB118" s="4"/>
    </row>
    <row r="119" spans="1:28" x14ac:dyDescent="0.2">
      <c r="A119" s="4">
        <v>50</v>
      </c>
      <c r="B119" s="4">
        <v>0</v>
      </c>
      <c r="C119" s="4">
        <v>0</v>
      </c>
      <c r="D119" s="4">
        <v>1</v>
      </c>
      <c r="E119" s="4">
        <v>215</v>
      </c>
      <c r="F119" s="4">
        <f>ROUND(Source!AT101,O119)</f>
        <v>0</v>
      </c>
      <c r="G119" s="4" t="s">
        <v>103</v>
      </c>
      <c r="H119" s="4" t="s">
        <v>104</v>
      </c>
      <c r="I119" s="4"/>
      <c r="J119" s="4"/>
      <c r="K119" s="4">
        <v>215</v>
      </c>
      <c r="L119" s="4">
        <v>17</v>
      </c>
      <c r="M119" s="4">
        <v>3</v>
      </c>
      <c r="N119" s="4" t="s">
        <v>3</v>
      </c>
      <c r="O119" s="4">
        <v>2</v>
      </c>
      <c r="P119" s="4"/>
      <c r="Q119" s="4"/>
      <c r="R119" s="4"/>
      <c r="S119" s="4"/>
      <c r="T119" s="4"/>
      <c r="U119" s="4"/>
      <c r="V119" s="4"/>
      <c r="W119" s="4">
        <v>0</v>
      </c>
      <c r="X119" s="4">
        <v>1</v>
      </c>
      <c r="Y119" s="4">
        <v>0</v>
      </c>
      <c r="Z119" s="4"/>
      <c r="AA119" s="4"/>
      <c r="AB119" s="4"/>
    </row>
    <row r="120" spans="1:28" x14ac:dyDescent="0.2">
      <c r="A120" s="4">
        <v>50</v>
      </c>
      <c r="B120" s="4">
        <v>0</v>
      </c>
      <c r="C120" s="4">
        <v>0</v>
      </c>
      <c r="D120" s="4">
        <v>1</v>
      </c>
      <c r="E120" s="4">
        <v>217</v>
      </c>
      <c r="F120" s="4">
        <f>ROUND(Source!AU101,O120)</f>
        <v>0</v>
      </c>
      <c r="G120" s="4" t="s">
        <v>105</v>
      </c>
      <c r="H120" s="4" t="s">
        <v>106</v>
      </c>
      <c r="I120" s="4"/>
      <c r="J120" s="4"/>
      <c r="K120" s="4">
        <v>217</v>
      </c>
      <c r="L120" s="4">
        <v>18</v>
      </c>
      <c r="M120" s="4">
        <v>3</v>
      </c>
      <c r="N120" s="4" t="s">
        <v>3</v>
      </c>
      <c r="O120" s="4">
        <v>2</v>
      </c>
      <c r="P120" s="4"/>
      <c r="Q120" s="4"/>
      <c r="R120" s="4"/>
      <c r="S120" s="4"/>
      <c r="T120" s="4"/>
      <c r="U120" s="4"/>
      <c r="V120" s="4"/>
      <c r="W120" s="4">
        <v>0</v>
      </c>
      <c r="X120" s="4">
        <v>1</v>
      </c>
      <c r="Y120" s="4">
        <v>0</v>
      </c>
      <c r="Z120" s="4"/>
      <c r="AA120" s="4"/>
      <c r="AB120" s="4"/>
    </row>
    <row r="121" spans="1:28" x14ac:dyDescent="0.2">
      <c r="A121" s="4">
        <v>50</v>
      </c>
      <c r="B121" s="4">
        <v>0</v>
      </c>
      <c r="C121" s="4">
        <v>0</v>
      </c>
      <c r="D121" s="4">
        <v>1</v>
      </c>
      <c r="E121" s="4">
        <v>230</v>
      </c>
      <c r="F121" s="4">
        <f>ROUND(Source!BA101,O121)</f>
        <v>0</v>
      </c>
      <c r="G121" s="4" t="s">
        <v>107</v>
      </c>
      <c r="H121" s="4" t="s">
        <v>108</v>
      </c>
      <c r="I121" s="4"/>
      <c r="J121" s="4"/>
      <c r="K121" s="4">
        <v>230</v>
      </c>
      <c r="L121" s="4">
        <v>19</v>
      </c>
      <c r="M121" s="4">
        <v>3</v>
      </c>
      <c r="N121" s="4" t="s">
        <v>3</v>
      </c>
      <c r="O121" s="4">
        <v>2</v>
      </c>
      <c r="P121" s="4"/>
      <c r="Q121" s="4"/>
      <c r="R121" s="4"/>
      <c r="S121" s="4"/>
      <c r="T121" s="4"/>
      <c r="U121" s="4"/>
      <c r="V121" s="4"/>
      <c r="W121" s="4">
        <v>0</v>
      </c>
      <c r="X121" s="4">
        <v>1</v>
      </c>
      <c r="Y121" s="4">
        <v>0</v>
      </c>
      <c r="Z121" s="4"/>
      <c r="AA121" s="4"/>
      <c r="AB121" s="4"/>
    </row>
    <row r="122" spans="1:28" x14ac:dyDescent="0.2">
      <c r="A122" s="4">
        <v>50</v>
      </c>
      <c r="B122" s="4">
        <v>0</v>
      </c>
      <c r="C122" s="4">
        <v>0</v>
      </c>
      <c r="D122" s="4">
        <v>1</v>
      </c>
      <c r="E122" s="4">
        <v>206</v>
      </c>
      <c r="F122" s="4">
        <f>ROUND(Source!T101,O122)</f>
        <v>0</v>
      </c>
      <c r="G122" s="4" t="s">
        <v>109</v>
      </c>
      <c r="H122" s="4" t="s">
        <v>110</v>
      </c>
      <c r="I122" s="4"/>
      <c r="J122" s="4"/>
      <c r="K122" s="4">
        <v>206</v>
      </c>
      <c r="L122" s="4">
        <v>20</v>
      </c>
      <c r="M122" s="4">
        <v>3</v>
      </c>
      <c r="N122" s="4" t="s">
        <v>3</v>
      </c>
      <c r="O122" s="4">
        <v>2</v>
      </c>
      <c r="P122" s="4"/>
      <c r="Q122" s="4"/>
      <c r="R122" s="4"/>
      <c r="S122" s="4"/>
      <c r="T122" s="4"/>
      <c r="U122" s="4"/>
      <c r="V122" s="4"/>
      <c r="W122" s="4">
        <v>0</v>
      </c>
      <c r="X122" s="4">
        <v>1</v>
      </c>
      <c r="Y122" s="4">
        <v>0</v>
      </c>
      <c r="Z122" s="4"/>
      <c r="AA122" s="4"/>
      <c r="AB122" s="4"/>
    </row>
    <row r="123" spans="1:28" x14ac:dyDescent="0.2">
      <c r="A123" s="4">
        <v>50</v>
      </c>
      <c r="B123" s="4">
        <v>0</v>
      </c>
      <c r="C123" s="4">
        <v>0</v>
      </c>
      <c r="D123" s="4">
        <v>1</v>
      </c>
      <c r="E123" s="4">
        <v>207</v>
      </c>
      <c r="F123" s="4">
        <f>Source!U101</f>
        <v>328.73868942000001</v>
      </c>
      <c r="G123" s="4" t="s">
        <v>111</v>
      </c>
      <c r="H123" s="4" t="s">
        <v>112</v>
      </c>
      <c r="I123" s="4"/>
      <c r="J123" s="4"/>
      <c r="K123" s="4">
        <v>207</v>
      </c>
      <c r="L123" s="4">
        <v>21</v>
      </c>
      <c r="M123" s="4">
        <v>3</v>
      </c>
      <c r="N123" s="4" t="s">
        <v>3</v>
      </c>
      <c r="O123" s="4">
        <v>-1</v>
      </c>
      <c r="P123" s="4"/>
      <c r="Q123" s="4"/>
      <c r="R123" s="4"/>
      <c r="S123" s="4"/>
      <c r="T123" s="4"/>
      <c r="U123" s="4"/>
      <c r="V123" s="4"/>
      <c r="W123" s="4">
        <v>328.73868942000007</v>
      </c>
      <c r="X123" s="4">
        <v>1</v>
      </c>
      <c r="Y123" s="4">
        <v>328.73868942000007</v>
      </c>
      <c r="Z123" s="4"/>
      <c r="AA123" s="4"/>
      <c r="AB123" s="4"/>
    </row>
    <row r="124" spans="1:28" x14ac:dyDescent="0.2">
      <c r="A124" s="4">
        <v>50</v>
      </c>
      <c r="B124" s="4">
        <v>0</v>
      </c>
      <c r="C124" s="4">
        <v>0</v>
      </c>
      <c r="D124" s="4">
        <v>1</v>
      </c>
      <c r="E124" s="4">
        <v>208</v>
      </c>
      <c r="F124" s="4">
        <f>Source!V101</f>
        <v>14.640184999999999</v>
      </c>
      <c r="G124" s="4" t="s">
        <v>113</v>
      </c>
      <c r="H124" s="4" t="s">
        <v>114</v>
      </c>
      <c r="I124" s="4"/>
      <c r="J124" s="4"/>
      <c r="K124" s="4">
        <v>208</v>
      </c>
      <c r="L124" s="4">
        <v>22</v>
      </c>
      <c r="M124" s="4">
        <v>3</v>
      </c>
      <c r="N124" s="4" t="s">
        <v>3</v>
      </c>
      <c r="O124" s="4">
        <v>-1</v>
      </c>
      <c r="P124" s="4"/>
      <c r="Q124" s="4"/>
      <c r="R124" s="4"/>
      <c r="S124" s="4"/>
      <c r="T124" s="4"/>
      <c r="U124" s="4"/>
      <c r="V124" s="4"/>
      <c r="W124" s="4">
        <v>14.640184999999999</v>
      </c>
      <c r="X124" s="4">
        <v>1</v>
      </c>
      <c r="Y124" s="4">
        <v>14.640184999999999</v>
      </c>
      <c r="Z124" s="4"/>
      <c r="AA124" s="4"/>
      <c r="AB124" s="4"/>
    </row>
    <row r="125" spans="1:28" x14ac:dyDescent="0.2">
      <c r="A125" s="4">
        <v>50</v>
      </c>
      <c r="B125" s="4">
        <v>0</v>
      </c>
      <c r="C125" s="4">
        <v>0</v>
      </c>
      <c r="D125" s="4">
        <v>1</v>
      </c>
      <c r="E125" s="4">
        <v>209</v>
      </c>
      <c r="F125" s="4">
        <f>ROUND(Source!W101,O125)</f>
        <v>0</v>
      </c>
      <c r="G125" s="4" t="s">
        <v>115</v>
      </c>
      <c r="H125" s="4" t="s">
        <v>116</v>
      </c>
      <c r="I125" s="4"/>
      <c r="J125" s="4"/>
      <c r="K125" s="4">
        <v>209</v>
      </c>
      <c r="L125" s="4">
        <v>23</v>
      </c>
      <c r="M125" s="4">
        <v>3</v>
      </c>
      <c r="N125" s="4" t="s">
        <v>3</v>
      </c>
      <c r="O125" s="4">
        <v>2</v>
      </c>
      <c r="P125" s="4"/>
      <c r="Q125" s="4"/>
      <c r="R125" s="4"/>
      <c r="S125" s="4"/>
      <c r="T125" s="4"/>
      <c r="U125" s="4"/>
      <c r="V125" s="4"/>
      <c r="W125" s="4">
        <v>0</v>
      </c>
      <c r="X125" s="4">
        <v>1</v>
      </c>
      <c r="Y125" s="4">
        <v>0</v>
      </c>
      <c r="Z125" s="4"/>
      <c r="AA125" s="4"/>
      <c r="AB125" s="4"/>
    </row>
    <row r="126" spans="1:28" x14ac:dyDescent="0.2">
      <c r="A126" s="4">
        <v>50</v>
      </c>
      <c r="B126" s="4">
        <v>0</v>
      </c>
      <c r="C126" s="4">
        <v>0</v>
      </c>
      <c r="D126" s="4">
        <v>1</v>
      </c>
      <c r="E126" s="4">
        <v>233</v>
      </c>
      <c r="F126" s="4">
        <f>ROUND(Source!BD101,O126)</f>
        <v>0</v>
      </c>
      <c r="G126" s="4" t="s">
        <v>117</v>
      </c>
      <c r="H126" s="4" t="s">
        <v>118</v>
      </c>
      <c r="I126" s="4"/>
      <c r="J126" s="4"/>
      <c r="K126" s="4">
        <v>233</v>
      </c>
      <c r="L126" s="4">
        <v>24</v>
      </c>
      <c r="M126" s="4">
        <v>3</v>
      </c>
      <c r="N126" s="4" t="s">
        <v>3</v>
      </c>
      <c r="O126" s="4">
        <v>2</v>
      </c>
      <c r="P126" s="4"/>
      <c r="Q126" s="4"/>
      <c r="R126" s="4"/>
      <c r="S126" s="4"/>
      <c r="T126" s="4"/>
      <c r="U126" s="4"/>
      <c r="V126" s="4"/>
      <c r="W126" s="4">
        <v>0</v>
      </c>
      <c r="X126" s="4">
        <v>1</v>
      </c>
      <c r="Y126" s="4">
        <v>0</v>
      </c>
      <c r="Z126" s="4"/>
      <c r="AA126" s="4"/>
      <c r="AB126" s="4"/>
    </row>
    <row r="127" spans="1:28" x14ac:dyDescent="0.2">
      <c r="A127" s="4">
        <v>50</v>
      </c>
      <c r="B127" s="4">
        <v>0</v>
      </c>
      <c r="C127" s="4">
        <v>0</v>
      </c>
      <c r="D127" s="4">
        <v>1</v>
      </c>
      <c r="E127" s="4">
        <v>210</v>
      </c>
      <c r="F127" s="4">
        <f>ROUND(Source!X101,O127)</f>
        <v>89093.61</v>
      </c>
      <c r="G127" s="4" t="s">
        <v>119</v>
      </c>
      <c r="H127" s="4" t="s">
        <v>120</v>
      </c>
      <c r="I127" s="4"/>
      <c r="J127" s="4"/>
      <c r="K127" s="4">
        <v>210</v>
      </c>
      <c r="L127" s="4">
        <v>25</v>
      </c>
      <c r="M127" s="4">
        <v>3</v>
      </c>
      <c r="N127" s="4" t="s">
        <v>3</v>
      </c>
      <c r="O127" s="4">
        <v>2</v>
      </c>
      <c r="P127" s="4"/>
      <c r="Q127" s="4"/>
      <c r="R127" s="4"/>
      <c r="S127" s="4"/>
      <c r="T127" s="4"/>
      <c r="U127" s="4"/>
      <c r="V127" s="4"/>
      <c r="W127" s="4">
        <v>89093.61</v>
      </c>
      <c r="X127" s="4">
        <v>1</v>
      </c>
      <c r="Y127" s="4">
        <v>89093.61</v>
      </c>
      <c r="Z127" s="4"/>
      <c r="AA127" s="4"/>
      <c r="AB127" s="4"/>
    </row>
    <row r="128" spans="1:28" x14ac:dyDescent="0.2">
      <c r="A128" s="4">
        <v>50</v>
      </c>
      <c r="B128" s="4">
        <v>0</v>
      </c>
      <c r="C128" s="4">
        <v>0</v>
      </c>
      <c r="D128" s="4">
        <v>1</v>
      </c>
      <c r="E128" s="4">
        <v>211</v>
      </c>
      <c r="F128" s="4">
        <f>ROUND(Source!Y101,O128)</f>
        <v>41828.29</v>
      </c>
      <c r="G128" s="4" t="s">
        <v>121</v>
      </c>
      <c r="H128" s="4" t="s">
        <v>122</v>
      </c>
      <c r="I128" s="4"/>
      <c r="J128" s="4"/>
      <c r="K128" s="4">
        <v>211</v>
      </c>
      <c r="L128" s="4">
        <v>26</v>
      </c>
      <c r="M128" s="4">
        <v>3</v>
      </c>
      <c r="N128" s="4" t="s">
        <v>3</v>
      </c>
      <c r="O128" s="4">
        <v>2</v>
      </c>
      <c r="P128" s="4"/>
      <c r="Q128" s="4"/>
      <c r="R128" s="4"/>
      <c r="S128" s="4"/>
      <c r="T128" s="4"/>
      <c r="U128" s="4"/>
      <c r="V128" s="4"/>
      <c r="W128" s="4">
        <v>41828.29</v>
      </c>
      <c r="X128" s="4">
        <v>1</v>
      </c>
      <c r="Y128" s="4">
        <v>41828.29</v>
      </c>
      <c r="Z128" s="4"/>
      <c r="AA128" s="4"/>
      <c r="AB128" s="4"/>
    </row>
    <row r="129" spans="1:245" x14ac:dyDescent="0.2">
      <c r="A129" s="4">
        <v>50</v>
      </c>
      <c r="B129" s="4">
        <v>0</v>
      </c>
      <c r="C129" s="4">
        <v>0</v>
      </c>
      <c r="D129" s="4">
        <v>1</v>
      </c>
      <c r="E129" s="4">
        <v>224</v>
      </c>
      <c r="F129" s="4">
        <f>ROUND(Source!AR101,O129)</f>
        <v>396453.38</v>
      </c>
      <c r="G129" s="4" t="s">
        <v>123</v>
      </c>
      <c r="H129" s="4" t="s">
        <v>124</v>
      </c>
      <c r="I129" s="4"/>
      <c r="J129" s="4"/>
      <c r="K129" s="4">
        <v>224</v>
      </c>
      <c r="L129" s="4">
        <v>27</v>
      </c>
      <c r="M129" s="4">
        <v>3</v>
      </c>
      <c r="N129" s="4" t="s">
        <v>3</v>
      </c>
      <c r="O129" s="4">
        <v>2</v>
      </c>
      <c r="P129" s="4"/>
      <c r="Q129" s="4"/>
      <c r="R129" s="4"/>
      <c r="S129" s="4"/>
      <c r="T129" s="4"/>
      <c r="U129" s="4"/>
      <c r="V129" s="4"/>
      <c r="W129" s="4">
        <v>396453.38</v>
      </c>
      <c r="X129" s="4">
        <v>1</v>
      </c>
      <c r="Y129" s="4">
        <v>396453.38</v>
      </c>
      <c r="Z129" s="4"/>
      <c r="AA129" s="4"/>
      <c r="AB129" s="4"/>
    </row>
    <row r="131" spans="1:245" x14ac:dyDescent="0.2">
      <c r="A131" s="1">
        <v>4</v>
      </c>
      <c r="B131" s="1">
        <v>1</v>
      </c>
      <c r="C131" s="1"/>
      <c r="D131" s="1">
        <f>ROW(A139)</f>
        <v>139</v>
      </c>
      <c r="E131" s="1"/>
      <c r="F131" s="1" t="s">
        <v>19</v>
      </c>
      <c r="G131" s="1" t="s">
        <v>279</v>
      </c>
      <c r="H131" s="1" t="s">
        <v>3</v>
      </c>
      <c r="I131" s="1">
        <v>0</v>
      </c>
      <c r="J131" s="1"/>
      <c r="K131" s="1">
        <v>0</v>
      </c>
      <c r="L131" s="1"/>
      <c r="M131" s="1" t="s">
        <v>3</v>
      </c>
      <c r="N131" s="1"/>
      <c r="O131" s="1"/>
      <c r="P131" s="1"/>
      <c r="Q131" s="1"/>
      <c r="R131" s="1"/>
      <c r="S131" s="1">
        <v>0</v>
      </c>
      <c r="T131" s="1"/>
      <c r="U131" s="1" t="s">
        <v>3</v>
      </c>
      <c r="V131" s="1">
        <v>0</v>
      </c>
      <c r="W131" s="1"/>
      <c r="X131" s="1"/>
      <c r="Y131" s="1"/>
      <c r="Z131" s="1"/>
      <c r="AA131" s="1"/>
      <c r="AB131" s="1" t="s">
        <v>3</v>
      </c>
      <c r="AC131" s="1" t="s">
        <v>3</v>
      </c>
      <c r="AD131" s="1" t="s">
        <v>3</v>
      </c>
      <c r="AE131" s="1" t="s">
        <v>3</v>
      </c>
      <c r="AF131" s="1" t="s">
        <v>3</v>
      </c>
      <c r="AG131" s="1" t="s">
        <v>3</v>
      </c>
      <c r="AH131" s="1"/>
      <c r="AI131" s="1"/>
      <c r="AJ131" s="1"/>
      <c r="AK131" s="1"/>
      <c r="AL131" s="1"/>
      <c r="AM131" s="1"/>
      <c r="AN131" s="1"/>
      <c r="AO131" s="1"/>
      <c r="AP131" s="1" t="s">
        <v>3</v>
      </c>
      <c r="AQ131" s="1" t="s">
        <v>3</v>
      </c>
      <c r="AR131" s="1" t="s">
        <v>3</v>
      </c>
      <c r="AS131" s="1"/>
      <c r="AT131" s="1"/>
      <c r="AU131" s="1"/>
      <c r="AV131" s="1"/>
      <c r="AW131" s="1"/>
      <c r="AX131" s="1"/>
      <c r="AY131" s="1"/>
      <c r="AZ131" s="1" t="s">
        <v>3</v>
      </c>
      <c r="BA131" s="1"/>
      <c r="BB131" s="1" t="s">
        <v>3</v>
      </c>
      <c r="BC131" s="1" t="s">
        <v>3</v>
      </c>
      <c r="BD131" s="1" t="s">
        <v>16</v>
      </c>
      <c r="BE131" s="1" t="s">
        <v>16</v>
      </c>
      <c r="BF131" s="1" t="s">
        <v>17</v>
      </c>
      <c r="BG131" s="1" t="s">
        <v>3</v>
      </c>
      <c r="BH131" s="1" t="s">
        <v>17</v>
      </c>
      <c r="BI131" s="1" t="s">
        <v>16</v>
      </c>
      <c r="BJ131" s="1" t="s">
        <v>3</v>
      </c>
      <c r="BK131" s="1" t="s">
        <v>3</v>
      </c>
      <c r="BL131" s="1" t="s">
        <v>3</v>
      </c>
      <c r="BM131" s="1" t="s">
        <v>3</v>
      </c>
      <c r="BN131" s="1" t="s">
        <v>16</v>
      </c>
      <c r="BO131" s="1" t="s">
        <v>556</v>
      </c>
      <c r="BP131" s="1" t="s">
        <v>18</v>
      </c>
      <c r="BQ131" s="1"/>
      <c r="BR131" s="1"/>
      <c r="BS131" s="1"/>
      <c r="BT131" s="1"/>
      <c r="BU131" s="1"/>
      <c r="BV131" s="1"/>
      <c r="BW131" s="1"/>
      <c r="BX131" s="1">
        <v>0</v>
      </c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>
        <v>0</v>
      </c>
    </row>
    <row r="133" spans="1:245" x14ac:dyDescent="0.2">
      <c r="A133" s="2">
        <v>52</v>
      </c>
      <c r="B133" s="2">
        <f t="shared" ref="B133:G133" si="78">B139</f>
        <v>1</v>
      </c>
      <c r="C133" s="2">
        <f t="shared" si="78"/>
        <v>4</v>
      </c>
      <c r="D133" s="2">
        <f t="shared" si="78"/>
        <v>131</v>
      </c>
      <c r="E133" s="2">
        <f t="shared" si="78"/>
        <v>0</v>
      </c>
      <c r="F133" s="2" t="str">
        <f t="shared" si="78"/>
        <v>Новый раздел</v>
      </c>
      <c r="G133" s="2" t="str">
        <f t="shared" si="78"/>
        <v>Прочие работы</v>
      </c>
      <c r="H133" s="2"/>
      <c r="I133" s="2"/>
      <c r="J133" s="2"/>
      <c r="K133" s="2"/>
      <c r="L133" s="2"/>
      <c r="M133" s="2"/>
      <c r="N133" s="2"/>
      <c r="O133" s="2">
        <f t="shared" ref="O133:AT133" si="79">O139</f>
        <v>599.97</v>
      </c>
      <c r="P133" s="2">
        <f t="shared" si="79"/>
        <v>599.97</v>
      </c>
      <c r="Q133" s="2">
        <f t="shared" si="79"/>
        <v>0</v>
      </c>
      <c r="R133" s="2">
        <f t="shared" si="79"/>
        <v>0</v>
      </c>
      <c r="S133" s="2">
        <f t="shared" si="79"/>
        <v>0</v>
      </c>
      <c r="T133" s="2">
        <f t="shared" si="79"/>
        <v>0</v>
      </c>
      <c r="U133" s="2">
        <f t="shared" si="79"/>
        <v>0</v>
      </c>
      <c r="V133" s="2">
        <f t="shared" si="79"/>
        <v>0</v>
      </c>
      <c r="W133" s="2">
        <f t="shared" si="79"/>
        <v>0</v>
      </c>
      <c r="X133" s="2">
        <f t="shared" si="79"/>
        <v>0</v>
      </c>
      <c r="Y133" s="2">
        <f t="shared" si="79"/>
        <v>0</v>
      </c>
      <c r="Z133" s="2">
        <f t="shared" si="79"/>
        <v>0</v>
      </c>
      <c r="AA133" s="2">
        <f t="shared" si="79"/>
        <v>0</v>
      </c>
      <c r="AB133" s="2">
        <f t="shared" si="79"/>
        <v>599.97</v>
      </c>
      <c r="AC133" s="2">
        <f t="shared" si="79"/>
        <v>599.97</v>
      </c>
      <c r="AD133" s="2">
        <f t="shared" si="79"/>
        <v>0</v>
      </c>
      <c r="AE133" s="2">
        <f t="shared" si="79"/>
        <v>0</v>
      </c>
      <c r="AF133" s="2">
        <f t="shared" si="79"/>
        <v>0</v>
      </c>
      <c r="AG133" s="2">
        <f t="shared" si="79"/>
        <v>0</v>
      </c>
      <c r="AH133" s="2">
        <f t="shared" si="79"/>
        <v>0</v>
      </c>
      <c r="AI133" s="2">
        <f t="shared" si="79"/>
        <v>0</v>
      </c>
      <c r="AJ133" s="2">
        <f t="shared" si="79"/>
        <v>0</v>
      </c>
      <c r="AK133" s="2">
        <f t="shared" si="79"/>
        <v>0</v>
      </c>
      <c r="AL133" s="2">
        <f t="shared" si="79"/>
        <v>0</v>
      </c>
      <c r="AM133" s="2">
        <f t="shared" si="79"/>
        <v>0</v>
      </c>
      <c r="AN133" s="2">
        <f t="shared" si="79"/>
        <v>0</v>
      </c>
      <c r="AO133" s="2">
        <f t="shared" si="79"/>
        <v>0</v>
      </c>
      <c r="AP133" s="2">
        <f t="shared" si="79"/>
        <v>0</v>
      </c>
      <c r="AQ133" s="2">
        <f t="shared" si="79"/>
        <v>0</v>
      </c>
      <c r="AR133" s="2">
        <f t="shared" si="79"/>
        <v>731.02</v>
      </c>
      <c r="AS133" s="2">
        <f t="shared" si="79"/>
        <v>731.02</v>
      </c>
      <c r="AT133" s="2">
        <f t="shared" si="79"/>
        <v>0</v>
      </c>
      <c r="AU133" s="2">
        <f t="shared" ref="AU133:BZ133" si="80">AU139</f>
        <v>0</v>
      </c>
      <c r="AV133" s="2">
        <f t="shared" si="80"/>
        <v>599.97</v>
      </c>
      <c r="AW133" s="2">
        <f t="shared" si="80"/>
        <v>599.97</v>
      </c>
      <c r="AX133" s="2">
        <f t="shared" si="80"/>
        <v>0</v>
      </c>
      <c r="AY133" s="2">
        <f t="shared" si="80"/>
        <v>599.97</v>
      </c>
      <c r="AZ133" s="2">
        <f t="shared" si="80"/>
        <v>0</v>
      </c>
      <c r="BA133" s="2">
        <f t="shared" si="80"/>
        <v>0</v>
      </c>
      <c r="BB133" s="2">
        <f t="shared" si="80"/>
        <v>0</v>
      </c>
      <c r="BC133" s="2">
        <f t="shared" si="80"/>
        <v>0</v>
      </c>
      <c r="BD133" s="2">
        <f t="shared" si="80"/>
        <v>131.05000000000001</v>
      </c>
      <c r="BE133" s="2">
        <f t="shared" si="80"/>
        <v>0</v>
      </c>
      <c r="BF133" s="2">
        <f t="shared" si="80"/>
        <v>0</v>
      </c>
      <c r="BG133" s="2">
        <f t="shared" si="80"/>
        <v>0</v>
      </c>
      <c r="BH133" s="2">
        <f t="shared" si="80"/>
        <v>0</v>
      </c>
      <c r="BI133" s="2">
        <f t="shared" si="80"/>
        <v>0</v>
      </c>
      <c r="BJ133" s="2">
        <f t="shared" si="80"/>
        <v>0</v>
      </c>
      <c r="BK133" s="2">
        <f t="shared" si="80"/>
        <v>0</v>
      </c>
      <c r="BL133" s="2">
        <f t="shared" si="80"/>
        <v>0</v>
      </c>
      <c r="BM133" s="2">
        <f t="shared" si="80"/>
        <v>0</v>
      </c>
      <c r="BN133" s="2">
        <f t="shared" si="80"/>
        <v>0</v>
      </c>
      <c r="BO133" s="2">
        <f t="shared" si="80"/>
        <v>0</v>
      </c>
      <c r="BP133" s="2">
        <f t="shared" si="80"/>
        <v>0</v>
      </c>
      <c r="BQ133" s="2">
        <f t="shared" si="80"/>
        <v>0</v>
      </c>
      <c r="BR133" s="2">
        <f t="shared" si="80"/>
        <v>0</v>
      </c>
      <c r="BS133" s="2">
        <f t="shared" si="80"/>
        <v>0</v>
      </c>
      <c r="BT133" s="2">
        <f t="shared" si="80"/>
        <v>0</v>
      </c>
      <c r="BU133" s="2">
        <f t="shared" si="80"/>
        <v>0</v>
      </c>
      <c r="BV133" s="2">
        <f t="shared" si="80"/>
        <v>0</v>
      </c>
      <c r="BW133" s="2">
        <f t="shared" si="80"/>
        <v>0</v>
      </c>
      <c r="BX133" s="2">
        <f t="shared" si="80"/>
        <v>0</v>
      </c>
      <c r="BY133" s="2">
        <f t="shared" si="80"/>
        <v>0</v>
      </c>
      <c r="BZ133" s="2">
        <f t="shared" si="80"/>
        <v>0</v>
      </c>
      <c r="CA133" s="2">
        <f t="shared" ref="CA133:DF133" si="81">CA139</f>
        <v>731.02</v>
      </c>
      <c r="CB133" s="2">
        <f t="shared" si="81"/>
        <v>731.02</v>
      </c>
      <c r="CC133" s="2">
        <f t="shared" si="81"/>
        <v>0</v>
      </c>
      <c r="CD133" s="2">
        <f t="shared" si="81"/>
        <v>0</v>
      </c>
      <c r="CE133" s="2">
        <f t="shared" si="81"/>
        <v>599.97</v>
      </c>
      <c r="CF133" s="2">
        <f t="shared" si="81"/>
        <v>599.97</v>
      </c>
      <c r="CG133" s="2">
        <f t="shared" si="81"/>
        <v>0</v>
      </c>
      <c r="CH133" s="2">
        <f t="shared" si="81"/>
        <v>599.97</v>
      </c>
      <c r="CI133" s="2">
        <f t="shared" si="81"/>
        <v>0</v>
      </c>
      <c r="CJ133" s="2">
        <f t="shared" si="81"/>
        <v>0</v>
      </c>
      <c r="CK133" s="2">
        <f t="shared" si="81"/>
        <v>0</v>
      </c>
      <c r="CL133" s="2">
        <f t="shared" si="81"/>
        <v>0</v>
      </c>
      <c r="CM133" s="2">
        <f t="shared" si="81"/>
        <v>131.05000000000001</v>
      </c>
      <c r="CN133" s="2">
        <f t="shared" si="81"/>
        <v>0</v>
      </c>
      <c r="CO133" s="2">
        <f t="shared" si="81"/>
        <v>0</v>
      </c>
      <c r="CP133" s="2">
        <f t="shared" si="81"/>
        <v>0</v>
      </c>
      <c r="CQ133" s="2">
        <f t="shared" si="81"/>
        <v>0</v>
      </c>
      <c r="CR133" s="2">
        <f t="shared" si="81"/>
        <v>0</v>
      </c>
      <c r="CS133" s="2">
        <f t="shared" si="81"/>
        <v>0</v>
      </c>
      <c r="CT133" s="2">
        <f t="shared" si="81"/>
        <v>0</v>
      </c>
      <c r="CU133" s="2">
        <f t="shared" si="81"/>
        <v>0</v>
      </c>
      <c r="CV133" s="2">
        <f t="shared" si="81"/>
        <v>0</v>
      </c>
      <c r="CW133" s="2">
        <f t="shared" si="81"/>
        <v>0</v>
      </c>
      <c r="CX133" s="2">
        <f t="shared" si="81"/>
        <v>0</v>
      </c>
      <c r="CY133" s="2">
        <f t="shared" si="81"/>
        <v>0</v>
      </c>
      <c r="CZ133" s="2">
        <f t="shared" si="81"/>
        <v>0</v>
      </c>
      <c r="DA133" s="2">
        <f t="shared" si="81"/>
        <v>0</v>
      </c>
      <c r="DB133" s="2">
        <f t="shared" si="81"/>
        <v>0</v>
      </c>
      <c r="DC133" s="2">
        <f t="shared" si="81"/>
        <v>0</v>
      </c>
      <c r="DD133" s="2">
        <f t="shared" si="81"/>
        <v>0</v>
      </c>
      <c r="DE133" s="2">
        <f t="shared" si="81"/>
        <v>0</v>
      </c>
      <c r="DF133" s="2">
        <f t="shared" si="81"/>
        <v>0</v>
      </c>
      <c r="DG133" s="3">
        <f t="shared" ref="DG133:EL133" si="82">DG139</f>
        <v>0</v>
      </c>
      <c r="DH133" s="3">
        <f t="shared" si="82"/>
        <v>0</v>
      </c>
      <c r="DI133" s="3">
        <f t="shared" si="82"/>
        <v>0</v>
      </c>
      <c r="DJ133" s="3">
        <f t="shared" si="82"/>
        <v>0</v>
      </c>
      <c r="DK133" s="3">
        <f t="shared" si="82"/>
        <v>0</v>
      </c>
      <c r="DL133" s="3">
        <f t="shared" si="82"/>
        <v>0</v>
      </c>
      <c r="DM133" s="3">
        <f t="shared" si="82"/>
        <v>0</v>
      </c>
      <c r="DN133" s="3">
        <f t="shared" si="82"/>
        <v>0</v>
      </c>
      <c r="DO133" s="3">
        <f t="shared" si="82"/>
        <v>0</v>
      </c>
      <c r="DP133" s="3">
        <f t="shared" si="82"/>
        <v>0</v>
      </c>
      <c r="DQ133" s="3">
        <f t="shared" si="82"/>
        <v>0</v>
      </c>
      <c r="DR133" s="3">
        <f t="shared" si="82"/>
        <v>0</v>
      </c>
      <c r="DS133" s="3">
        <f t="shared" si="82"/>
        <v>0</v>
      </c>
      <c r="DT133" s="3">
        <f t="shared" si="82"/>
        <v>0</v>
      </c>
      <c r="DU133" s="3">
        <f t="shared" si="82"/>
        <v>0</v>
      </c>
      <c r="DV133" s="3">
        <f t="shared" si="82"/>
        <v>0</v>
      </c>
      <c r="DW133" s="3">
        <f t="shared" si="82"/>
        <v>0</v>
      </c>
      <c r="DX133" s="3">
        <f t="shared" si="82"/>
        <v>0</v>
      </c>
      <c r="DY133" s="3">
        <f t="shared" si="82"/>
        <v>0</v>
      </c>
      <c r="DZ133" s="3">
        <f t="shared" si="82"/>
        <v>0</v>
      </c>
      <c r="EA133" s="3">
        <f t="shared" si="82"/>
        <v>0</v>
      </c>
      <c r="EB133" s="3">
        <f t="shared" si="82"/>
        <v>0</v>
      </c>
      <c r="EC133" s="3">
        <f t="shared" si="82"/>
        <v>0</v>
      </c>
      <c r="ED133" s="3">
        <f t="shared" si="82"/>
        <v>0</v>
      </c>
      <c r="EE133" s="3">
        <f t="shared" si="82"/>
        <v>0</v>
      </c>
      <c r="EF133" s="3">
        <f t="shared" si="82"/>
        <v>0</v>
      </c>
      <c r="EG133" s="3">
        <f t="shared" si="82"/>
        <v>0</v>
      </c>
      <c r="EH133" s="3">
        <f t="shared" si="82"/>
        <v>0</v>
      </c>
      <c r="EI133" s="3">
        <f t="shared" si="82"/>
        <v>0</v>
      </c>
      <c r="EJ133" s="3">
        <f t="shared" si="82"/>
        <v>0</v>
      </c>
      <c r="EK133" s="3">
        <f t="shared" si="82"/>
        <v>0</v>
      </c>
      <c r="EL133" s="3">
        <f t="shared" si="82"/>
        <v>0</v>
      </c>
      <c r="EM133" s="3">
        <f t="shared" ref="EM133:FR133" si="83">EM139</f>
        <v>0</v>
      </c>
      <c r="EN133" s="3">
        <f t="shared" si="83"/>
        <v>0</v>
      </c>
      <c r="EO133" s="3">
        <f t="shared" si="83"/>
        <v>0</v>
      </c>
      <c r="EP133" s="3">
        <f t="shared" si="83"/>
        <v>0</v>
      </c>
      <c r="EQ133" s="3">
        <f t="shared" si="83"/>
        <v>0</v>
      </c>
      <c r="ER133" s="3">
        <f t="shared" si="83"/>
        <v>0</v>
      </c>
      <c r="ES133" s="3">
        <f t="shared" si="83"/>
        <v>0</v>
      </c>
      <c r="ET133" s="3">
        <f t="shared" si="83"/>
        <v>0</v>
      </c>
      <c r="EU133" s="3">
        <f t="shared" si="83"/>
        <v>0</v>
      </c>
      <c r="EV133" s="3">
        <f t="shared" si="83"/>
        <v>0</v>
      </c>
      <c r="EW133" s="3">
        <f t="shared" si="83"/>
        <v>0</v>
      </c>
      <c r="EX133" s="3">
        <f t="shared" si="83"/>
        <v>0</v>
      </c>
      <c r="EY133" s="3">
        <f t="shared" si="83"/>
        <v>0</v>
      </c>
      <c r="EZ133" s="3">
        <f t="shared" si="83"/>
        <v>0</v>
      </c>
      <c r="FA133" s="3">
        <f t="shared" si="83"/>
        <v>0</v>
      </c>
      <c r="FB133" s="3">
        <f t="shared" si="83"/>
        <v>0</v>
      </c>
      <c r="FC133" s="3">
        <f t="shared" si="83"/>
        <v>0</v>
      </c>
      <c r="FD133" s="3">
        <f t="shared" si="83"/>
        <v>0</v>
      </c>
      <c r="FE133" s="3">
        <f t="shared" si="83"/>
        <v>0</v>
      </c>
      <c r="FF133" s="3">
        <f t="shared" si="83"/>
        <v>0</v>
      </c>
      <c r="FG133" s="3">
        <f t="shared" si="83"/>
        <v>0</v>
      </c>
      <c r="FH133" s="3">
        <f t="shared" si="83"/>
        <v>0</v>
      </c>
      <c r="FI133" s="3">
        <f t="shared" si="83"/>
        <v>0</v>
      </c>
      <c r="FJ133" s="3">
        <f t="shared" si="83"/>
        <v>0</v>
      </c>
      <c r="FK133" s="3">
        <f t="shared" si="83"/>
        <v>0</v>
      </c>
      <c r="FL133" s="3">
        <f t="shared" si="83"/>
        <v>0</v>
      </c>
      <c r="FM133" s="3">
        <f t="shared" si="83"/>
        <v>0</v>
      </c>
      <c r="FN133" s="3">
        <f t="shared" si="83"/>
        <v>0</v>
      </c>
      <c r="FO133" s="3">
        <f t="shared" si="83"/>
        <v>0</v>
      </c>
      <c r="FP133" s="3">
        <f t="shared" si="83"/>
        <v>0</v>
      </c>
      <c r="FQ133" s="3">
        <f t="shared" si="83"/>
        <v>0</v>
      </c>
      <c r="FR133" s="3">
        <f t="shared" si="83"/>
        <v>0</v>
      </c>
      <c r="FS133" s="3">
        <f t="shared" ref="FS133:GX133" si="84">FS139</f>
        <v>0</v>
      </c>
      <c r="FT133" s="3">
        <f t="shared" si="84"/>
        <v>0</v>
      </c>
      <c r="FU133" s="3">
        <f t="shared" si="84"/>
        <v>0</v>
      </c>
      <c r="FV133" s="3">
        <f t="shared" si="84"/>
        <v>0</v>
      </c>
      <c r="FW133" s="3">
        <f t="shared" si="84"/>
        <v>0</v>
      </c>
      <c r="FX133" s="3">
        <f t="shared" si="84"/>
        <v>0</v>
      </c>
      <c r="FY133" s="3">
        <f t="shared" si="84"/>
        <v>0</v>
      </c>
      <c r="FZ133" s="3">
        <f t="shared" si="84"/>
        <v>0</v>
      </c>
      <c r="GA133" s="3">
        <f t="shared" si="84"/>
        <v>0</v>
      </c>
      <c r="GB133" s="3">
        <f t="shared" si="84"/>
        <v>0</v>
      </c>
      <c r="GC133" s="3">
        <f t="shared" si="84"/>
        <v>0</v>
      </c>
      <c r="GD133" s="3">
        <f t="shared" si="84"/>
        <v>0</v>
      </c>
      <c r="GE133" s="3">
        <f t="shared" si="84"/>
        <v>0</v>
      </c>
      <c r="GF133" s="3">
        <f t="shared" si="84"/>
        <v>0</v>
      </c>
      <c r="GG133" s="3">
        <f t="shared" si="84"/>
        <v>0</v>
      </c>
      <c r="GH133" s="3">
        <f t="shared" si="84"/>
        <v>0</v>
      </c>
      <c r="GI133" s="3">
        <f t="shared" si="84"/>
        <v>0</v>
      </c>
      <c r="GJ133" s="3">
        <f t="shared" si="84"/>
        <v>0</v>
      </c>
      <c r="GK133" s="3">
        <f t="shared" si="84"/>
        <v>0</v>
      </c>
      <c r="GL133" s="3">
        <f t="shared" si="84"/>
        <v>0</v>
      </c>
      <c r="GM133" s="3">
        <f t="shared" si="84"/>
        <v>0</v>
      </c>
      <c r="GN133" s="3">
        <f t="shared" si="84"/>
        <v>0</v>
      </c>
      <c r="GO133" s="3">
        <f t="shared" si="84"/>
        <v>0</v>
      </c>
      <c r="GP133" s="3">
        <f t="shared" si="84"/>
        <v>0</v>
      </c>
      <c r="GQ133" s="3">
        <f t="shared" si="84"/>
        <v>0</v>
      </c>
      <c r="GR133" s="3">
        <f t="shared" si="84"/>
        <v>0</v>
      </c>
      <c r="GS133" s="3">
        <f t="shared" si="84"/>
        <v>0</v>
      </c>
      <c r="GT133" s="3">
        <f t="shared" si="84"/>
        <v>0</v>
      </c>
      <c r="GU133" s="3">
        <f t="shared" si="84"/>
        <v>0</v>
      </c>
      <c r="GV133" s="3">
        <f t="shared" si="84"/>
        <v>0</v>
      </c>
      <c r="GW133" s="3">
        <f t="shared" si="84"/>
        <v>0</v>
      </c>
      <c r="GX133" s="3">
        <f t="shared" si="84"/>
        <v>0</v>
      </c>
    </row>
    <row r="135" spans="1:245" x14ac:dyDescent="0.2">
      <c r="A135">
        <v>17</v>
      </c>
      <c r="B135">
        <v>1</v>
      </c>
      <c r="E135" t="s">
        <v>280</v>
      </c>
      <c r="F135" t="s">
        <v>281</v>
      </c>
      <c r="G135" t="s">
        <v>282</v>
      </c>
      <c r="H135" t="s">
        <v>283</v>
      </c>
      <c r="I135">
        <v>1</v>
      </c>
      <c r="J135">
        <v>0</v>
      </c>
      <c r="K135">
        <v>1</v>
      </c>
      <c r="O135">
        <f>0</f>
        <v>0</v>
      </c>
      <c r="P135">
        <f>0</f>
        <v>0</v>
      </c>
      <c r="Q135">
        <f>0</f>
        <v>0</v>
      </c>
      <c r="R135">
        <f>0</f>
        <v>0</v>
      </c>
      <c r="S135">
        <f>0</f>
        <v>0</v>
      </c>
      <c r="T135">
        <f>0</f>
        <v>0</v>
      </c>
      <c r="U135">
        <f>0</f>
        <v>0</v>
      </c>
      <c r="V135">
        <f>0</f>
        <v>0</v>
      </c>
      <c r="W135">
        <f>0</f>
        <v>0</v>
      </c>
      <c r="X135">
        <f>0</f>
        <v>0</v>
      </c>
      <c r="Y135">
        <f>0</f>
        <v>0</v>
      </c>
      <c r="AA135">
        <v>143120906</v>
      </c>
      <c r="AB135">
        <f>ROUND((AK135),2)</f>
        <v>3.28</v>
      </c>
      <c r="AC135">
        <f>0</f>
        <v>0</v>
      </c>
      <c r="AD135">
        <f>0</f>
        <v>0</v>
      </c>
      <c r="AE135">
        <f>0</f>
        <v>0</v>
      </c>
      <c r="AF135">
        <f>0</f>
        <v>0</v>
      </c>
      <c r="AG135">
        <f>0</f>
        <v>0</v>
      </c>
      <c r="AH135">
        <f>0</f>
        <v>0</v>
      </c>
      <c r="AI135">
        <f>0</f>
        <v>0</v>
      </c>
      <c r="AJ135">
        <f>0</f>
        <v>0</v>
      </c>
      <c r="AK135">
        <v>3.28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1</v>
      </c>
      <c r="AW135">
        <v>1</v>
      </c>
      <c r="AZ135">
        <v>11.05</v>
      </c>
      <c r="BA135">
        <v>1</v>
      </c>
      <c r="BB135">
        <v>1</v>
      </c>
      <c r="BC135">
        <v>1</v>
      </c>
      <c r="BD135" t="s">
        <v>3</v>
      </c>
      <c r="BE135" t="s">
        <v>3</v>
      </c>
      <c r="BF135" t="s">
        <v>3</v>
      </c>
      <c r="BG135" t="s">
        <v>3</v>
      </c>
      <c r="BH135">
        <v>0</v>
      </c>
      <c r="BI135">
        <v>1</v>
      </c>
      <c r="BJ135" t="s">
        <v>284</v>
      </c>
      <c r="BM135">
        <v>700004</v>
      </c>
      <c r="BN135">
        <v>0</v>
      </c>
      <c r="BO135" t="s">
        <v>3</v>
      </c>
      <c r="BP135">
        <v>0</v>
      </c>
      <c r="BQ135">
        <v>19</v>
      </c>
      <c r="BR135">
        <v>0</v>
      </c>
      <c r="BS135">
        <v>1</v>
      </c>
      <c r="BT135">
        <v>1</v>
      </c>
      <c r="BU135">
        <v>1</v>
      </c>
      <c r="BV135">
        <v>1</v>
      </c>
      <c r="BW135">
        <v>1</v>
      </c>
      <c r="BX135">
        <v>1</v>
      </c>
      <c r="BY135" t="s">
        <v>3</v>
      </c>
      <c r="BZ135">
        <v>0</v>
      </c>
      <c r="CA135">
        <v>0</v>
      </c>
      <c r="CB135" t="s">
        <v>3</v>
      </c>
      <c r="CE135">
        <v>0</v>
      </c>
      <c r="CF135">
        <v>0</v>
      </c>
      <c r="CG135">
        <v>0</v>
      </c>
      <c r="CM135">
        <v>0</v>
      </c>
      <c r="CN135" t="s">
        <v>3</v>
      </c>
      <c r="CO135">
        <v>0</v>
      </c>
      <c r="CP135">
        <f>AB135*AZ135</f>
        <v>36.244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C135" t="s">
        <v>3</v>
      </c>
      <c r="DD135" t="s">
        <v>3</v>
      </c>
      <c r="DE135" t="s">
        <v>3</v>
      </c>
      <c r="DF135" t="s">
        <v>3</v>
      </c>
      <c r="DG135" t="s">
        <v>3</v>
      </c>
      <c r="DH135" t="s">
        <v>3</v>
      </c>
      <c r="DI135" t="s">
        <v>3</v>
      </c>
      <c r="DJ135" t="s">
        <v>3</v>
      </c>
      <c r="DK135" t="s">
        <v>3</v>
      </c>
      <c r="DL135" t="s">
        <v>3</v>
      </c>
      <c r="DM135" t="s">
        <v>3</v>
      </c>
      <c r="DN135">
        <v>0</v>
      </c>
      <c r="DO135">
        <v>0</v>
      </c>
      <c r="DP135">
        <v>1</v>
      </c>
      <c r="DQ135">
        <v>1</v>
      </c>
      <c r="DU135">
        <v>1013</v>
      </c>
      <c r="DV135" t="s">
        <v>283</v>
      </c>
      <c r="DW135" t="s">
        <v>283</v>
      </c>
      <c r="DX135">
        <v>1</v>
      </c>
      <c r="DZ135" t="s">
        <v>3</v>
      </c>
      <c r="EA135" t="s">
        <v>3</v>
      </c>
      <c r="EB135" t="s">
        <v>3</v>
      </c>
      <c r="EC135" t="s">
        <v>3</v>
      </c>
      <c r="EE135">
        <v>140625282</v>
      </c>
      <c r="EF135">
        <v>19</v>
      </c>
      <c r="EG135" t="s">
        <v>285</v>
      </c>
      <c r="EH135">
        <v>106</v>
      </c>
      <c r="EI135" t="s">
        <v>285</v>
      </c>
      <c r="EJ135">
        <v>1</v>
      </c>
      <c r="EK135">
        <v>700004</v>
      </c>
      <c r="EL135" t="s">
        <v>285</v>
      </c>
      <c r="EM135" t="s">
        <v>286</v>
      </c>
      <c r="EO135" t="s">
        <v>3</v>
      </c>
      <c r="EQ135">
        <v>0</v>
      </c>
      <c r="ER135">
        <v>0</v>
      </c>
      <c r="ES135">
        <v>0</v>
      </c>
      <c r="ET135">
        <v>0</v>
      </c>
      <c r="EU135">
        <v>0</v>
      </c>
      <c r="EV135">
        <v>0</v>
      </c>
      <c r="EW135">
        <v>0</v>
      </c>
      <c r="EX135">
        <v>0</v>
      </c>
      <c r="EY135">
        <v>0</v>
      </c>
      <c r="FQ135">
        <v>0</v>
      </c>
      <c r="FR135">
        <f>ROUND(IF(AND(BH135=3,BI135=3),P135,0),2)</f>
        <v>0</v>
      </c>
      <c r="FS135">
        <v>0</v>
      </c>
      <c r="FX135">
        <v>0</v>
      </c>
      <c r="FY135">
        <v>0</v>
      </c>
      <c r="GA135" t="s">
        <v>3</v>
      </c>
      <c r="GD135">
        <v>1</v>
      </c>
      <c r="GF135">
        <v>1072927856</v>
      </c>
      <c r="GG135">
        <v>2</v>
      </c>
      <c r="GH135">
        <v>1</v>
      </c>
      <c r="GI135">
        <v>4</v>
      </c>
      <c r="GJ135">
        <v>2</v>
      </c>
      <c r="GK135">
        <v>0</v>
      </c>
      <c r="GL135">
        <f>ROUND(IF(AND(BH135=3,BI135=3,FS135&lt;&gt;0),P135,0),2)</f>
        <v>0</v>
      </c>
      <c r="GM135">
        <f>ROUND(CP135*I135,2)</f>
        <v>36.24</v>
      </c>
      <c r="GN135">
        <f>IF(OR(BI135=0,BI135=1),ROUND(CP135*I135,2),0)</f>
        <v>36.24</v>
      </c>
      <c r="GO135">
        <f>IF(BI135=2,ROUND(CP135*I135,2),0)</f>
        <v>0</v>
      </c>
      <c r="GP135">
        <f>IF(BI135=4,ROUND(CP135*I135,2)+GX135,0)</f>
        <v>0</v>
      </c>
      <c r="GR135">
        <v>0</v>
      </c>
      <c r="GS135">
        <v>3</v>
      </c>
      <c r="GT135">
        <v>0</v>
      </c>
      <c r="GU135" t="s">
        <v>3</v>
      </c>
      <c r="GV135">
        <f>0</f>
        <v>0</v>
      </c>
      <c r="GW135">
        <v>1</v>
      </c>
      <c r="GX135">
        <f>0</f>
        <v>0</v>
      </c>
      <c r="HA135">
        <v>0</v>
      </c>
      <c r="HB135">
        <v>0</v>
      </c>
      <c r="HC135">
        <v>0</v>
      </c>
      <c r="HD135">
        <f>GM135</f>
        <v>36.24</v>
      </c>
      <c r="HE135" t="s">
        <v>3</v>
      </c>
      <c r="HF135" t="s">
        <v>3</v>
      </c>
      <c r="HM135" t="s">
        <v>3</v>
      </c>
      <c r="HN135" t="s">
        <v>3</v>
      </c>
      <c r="HO135" t="s">
        <v>3</v>
      </c>
      <c r="HP135" t="s">
        <v>3</v>
      </c>
      <c r="HQ135" t="s">
        <v>3</v>
      </c>
      <c r="IK135">
        <v>0</v>
      </c>
    </row>
    <row r="136" spans="1:245" x14ac:dyDescent="0.2">
      <c r="A136">
        <v>17</v>
      </c>
      <c r="B136">
        <v>1</v>
      </c>
      <c r="E136" t="s">
        <v>287</v>
      </c>
      <c r="F136" t="s">
        <v>288</v>
      </c>
      <c r="G136" t="s">
        <v>289</v>
      </c>
      <c r="H136" t="s">
        <v>283</v>
      </c>
      <c r="I136">
        <f>ROUND(I135,9)</f>
        <v>1</v>
      </c>
      <c r="J136">
        <v>0</v>
      </c>
      <c r="K136">
        <f>ROUND(I135,9)</f>
        <v>1</v>
      </c>
      <c r="O136">
        <f>0</f>
        <v>0</v>
      </c>
      <c r="P136">
        <f>0</f>
        <v>0</v>
      </c>
      <c r="Q136">
        <f>0</f>
        <v>0</v>
      </c>
      <c r="R136">
        <f>0</f>
        <v>0</v>
      </c>
      <c r="S136">
        <f>0</f>
        <v>0</v>
      </c>
      <c r="T136">
        <f>0</f>
        <v>0</v>
      </c>
      <c r="U136">
        <f>0</f>
        <v>0</v>
      </c>
      <c r="V136">
        <f>0</f>
        <v>0</v>
      </c>
      <c r="W136">
        <f>0</f>
        <v>0</v>
      </c>
      <c r="X136">
        <f>0</f>
        <v>0</v>
      </c>
      <c r="Y136">
        <f>0</f>
        <v>0</v>
      </c>
      <c r="AA136">
        <v>143120906</v>
      </c>
      <c r="AB136">
        <f>ROUND((AK136),2)</f>
        <v>8.58</v>
      </c>
      <c r="AC136">
        <f>0</f>
        <v>0</v>
      </c>
      <c r="AD136">
        <f>0</f>
        <v>0</v>
      </c>
      <c r="AE136">
        <f>0</f>
        <v>0</v>
      </c>
      <c r="AF136">
        <f>0</f>
        <v>0</v>
      </c>
      <c r="AG136">
        <f>0</f>
        <v>0</v>
      </c>
      <c r="AH136">
        <f>0</f>
        <v>0</v>
      </c>
      <c r="AI136">
        <f>0</f>
        <v>0</v>
      </c>
      <c r="AJ136">
        <f>0</f>
        <v>0</v>
      </c>
      <c r="AK136">
        <v>8.58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1</v>
      </c>
      <c r="AW136">
        <v>1</v>
      </c>
      <c r="AZ136">
        <v>11.05</v>
      </c>
      <c r="BA136">
        <v>1</v>
      </c>
      <c r="BB136">
        <v>1</v>
      </c>
      <c r="BC136">
        <v>1</v>
      </c>
      <c r="BD136" t="s">
        <v>3</v>
      </c>
      <c r="BE136" t="s">
        <v>3</v>
      </c>
      <c r="BF136" t="s">
        <v>3</v>
      </c>
      <c r="BG136" t="s">
        <v>3</v>
      </c>
      <c r="BH136">
        <v>0</v>
      </c>
      <c r="BI136">
        <v>1</v>
      </c>
      <c r="BJ136" t="s">
        <v>290</v>
      </c>
      <c r="BM136">
        <v>700011</v>
      </c>
      <c r="BN136">
        <v>0</v>
      </c>
      <c r="BO136" t="s">
        <v>3</v>
      </c>
      <c r="BP136">
        <v>0</v>
      </c>
      <c r="BQ136">
        <v>40</v>
      </c>
      <c r="BR136">
        <v>0</v>
      </c>
      <c r="BS136">
        <v>1</v>
      </c>
      <c r="BT136">
        <v>1</v>
      </c>
      <c r="BU136">
        <v>1</v>
      </c>
      <c r="BV136">
        <v>1</v>
      </c>
      <c r="BW136">
        <v>1</v>
      </c>
      <c r="BX136">
        <v>1</v>
      </c>
      <c r="BY136" t="s">
        <v>3</v>
      </c>
      <c r="BZ136">
        <v>0</v>
      </c>
      <c r="CA136">
        <v>0</v>
      </c>
      <c r="CB136" t="s">
        <v>3</v>
      </c>
      <c r="CE136">
        <v>0</v>
      </c>
      <c r="CF136">
        <v>0</v>
      </c>
      <c r="CG136">
        <v>0</v>
      </c>
      <c r="CM136">
        <v>0</v>
      </c>
      <c r="CN136" t="s">
        <v>3</v>
      </c>
      <c r="CO136">
        <v>0</v>
      </c>
      <c r="CP136">
        <f>AB136*AZ136</f>
        <v>94.809000000000012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C136" t="s">
        <v>3</v>
      </c>
      <c r="DD136" t="s">
        <v>3</v>
      </c>
      <c r="DE136" t="s">
        <v>3</v>
      </c>
      <c r="DF136" t="s">
        <v>3</v>
      </c>
      <c r="DG136" t="s">
        <v>3</v>
      </c>
      <c r="DH136" t="s">
        <v>3</v>
      </c>
      <c r="DI136" t="s">
        <v>3</v>
      </c>
      <c r="DJ136" t="s">
        <v>3</v>
      </c>
      <c r="DK136" t="s">
        <v>3</v>
      </c>
      <c r="DL136" t="s">
        <v>3</v>
      </c>
      <c r="DM136" t="s">
        <v>3</v>
      </c>
      <c r="DN136">
        <v>0</v>
      </c>
      <c r="DO136">
        <v>0</v>
      </c>
      <c r="DP136">
        <v>1</v>
      </c>
      <c r="DQ136">
        <v>1</v>
      </c>
      <c r="DU136">
        <v>1013</v>
      </c>
      <c r="DV136" t="s">
        <v>283</v>
      </c>
      <c r="DW136" t="s">
        <v>283</v>
      </c>
      <c r="DX136">
        <v>1</v>
      </c>
      <c r="DZ136" t="s">
        <v>3</v>
      </c>
      <c r="EA136" t="s">
        <v>3</v>
      </c>
      <c r="EB136" t="s">
        <v>3</v>
      </c>
      <c r="EC136" t="s">
        <v>3</v>
      </c>
      <c r="EE136">
        <v>140625621</v>
      </c>
      <c r="EF136">
        <v>40</v>
      </c>
      <c r="EG136" t="s">
        <v>291</v>
      </c>
      <c r="EH136">
        <v>107</v>
      </c>
      <c r="EI136" t="s">
        <v>292</v>
      </c>
      <c r="EJ136">
        <v>1</v>
      </c>
      <c r="EK136">
        <v>700011</v>
      </c>
      <c r="EL136" t="s">
        <v>293</v>
      </c>
      <c r="EM136" t="s">
        <v>294</v>
      </c>
      <c r="EO136" t="s">
        <v>3</v>
      </c>
      <c r="EQ136">
        <v>0</v>
      </c>
      <c r="ER136">
        <v>0</v>
      </c>
      <c r="ES136">
        <v>0</v>
      </c>
      <c r="ET136">
        <v>0</v>
      </c>
      <c r="EU136">
        <v>0</v>
      </c>
      <c r="EV136">
        <v>0</v>
      </c>
      <c r="EW136">
        <v>0</v>
      </c>
      <c r="EX136">
        <v>0</v>
      </c>
      <c r="EY136">
        <v>0</v>
      </c>
      <c r="FQ136">
        <v>0</v>
      </c>
      <c r="FR136">
        <f>ROUND(IF(AND(BH136=3,BI136=3),P136,0),2)</f>
        <v>0</v>
      </c>
      <c r="FS136">
        <v>0</v>
      </c>
      <c r="FX136">
        <v>0</v>
      </c>
      <c r="FY136">
        <v>0</v>
      </c>
      <c r="GA136" t="s">
        <v>3</v>
      </c>
      <c r="GD136">
        <v>1</v>
      </c>
      <c r="GF136">
        <v>-1765993943</v>
      </c>
      <c r="GG136">
        <v>2</v>
      </c>
      <c r="GH136">
        <v>1</v>
      </c>
      <c r="GI136">
        <v>4</v>
      </c>
      <c r="GJ136">
        <v>2</v>
      </c>
      <c r="GK136">
        <v>0</v>
      </c>
      <c r="GL136">
        <f>ROUND(IF(AND(BH136=3,BI136=3,FS136&lt;&gt;0),P136,0),2)</f>
        <v>0</v>
      </c>
      <c r="GM136">
        <f>ROUND(CP136*I136,2)</f>
        <v>94.81</v>
      </c>
      <c r="GN136">
        <f>IF(OR(BI136=0,BI136=1),ROUND(CP136*I136,2),0)</f>
        <v>94.81</v>
      </c>
      <c r="GO136">
        <f>IF(BI136=2,ROUND(CP136*I136,2),0)</f>
        <v>0</v>
      </c>
      <c r="GP136">
        <f>IF(BI136=4,ROUND(CP136*I136,2)+GX136,0)</f>
        <v>0</v>
      </c>
      <c r="GR136">
        <v>0</v>
      </c>
      <c r="GS136">
        <v>3</v>
      </c>
      <c r="GT136">
        <v>0</v>
      </c>
      <c r="GU136" t="s">
        <v>3</v>
      </c>
      <c r="GV136">
        <f>0</f>
        <v>0</v>
      </c>
      <c r="GW136">
        <v>1</v>
      </c>
      <c r="GX136">
        <f>0</f>
        <v>0</v>
      </c>
      <c r="HA136">
        <v>0</v>
      </c>
      <c r="HB136">
        <v>0</v>
      </c>
      <c r="HC136">
        <v>0</v>
      </c>
      <c r="HD136">
        <f>GM136</f>
        <v>94.81</v>
      </c>
      <c r="HE136" t="s">
        <v>3</v>
      </c>
      <c r="HF136" t="s">
        <v>3</v>
      </c>
      <c r="HM136" t="s">
        <v>3</v>
      </c>
      <c r="HN136" t="s">
        <v>3</v>
      </c>
      <c r="HO136" t="s">
        <v>3</v>
      </c>
      <c r="HP136" t="s">
        <v>3</v>
      </c>
      <c r="HQ136" t="s">
        <v>3</v>
      </c>
      <c r="IK136">
        <v>0</v>
      </c>
    </row>
    <row r="137" spans="1:245" x14ac:dyDescent="0.2">
      <c r="A137">
        <v>17</v>
      </c>
      <c r="B137">
        <v>1</v>
      </c>
      <c r="E137" t="s">
        <v>295</v>
      </c>
      <c r="F137" t="s">
        <v>136</v>
      </c>
      <c r="G137" t="s">
        <v>296</v>
      </c>
      <c r="H137" t="s">
        <v>297</v>
      </c>
      <c r="I137">
        <f>ROUND(I135,9)</f>
        <v>1</v>
      </c>
      <c r="J137">
        <v>0</v>
      </c>
      <c r="K137">
        <f>ROUND(I135,9)</f>
        <v>1</v>
      </c>
      <c r="O137">
        <f>ROUND(CP137,2)</f>
        <v>599.97</v>
      </c>
      <c r="P137">
        <f>ROUND(CQ137*I137,2)</f>
        <v>599.97</v>
      </c>
      <c r="Q137">
        <f>ROUND(CR137*I137,2)</f>
        <v>0</v>
      </c>
      <c r="R137">
        <f>ROUND(CS137*I137,2)</f>
        <v>0</v>
      </c>
      <c r="S137">
        <f>ROUND(CT137*I137,2)</f>
        <v>0</v>
      </c>
      <c r="T137">
        <f>ROUND(CU137*I137,2)</f>
        <v>0</v>
      </c>
      <c r="U137">
        <f>CV137*I137</f>
        <v>0</v>
      </c>
      <c r="V137">
        <f>CW137*I137</f>
        <v>0</v>
      </c>
      <c r="W137">
        <f>ROUND(CX137*I137,2)</f>
        <v>0</v>
      </c>
      <c r="X137">
        <f>ROUND(CY137,2)</f>
        <v>0</v>
      </c>
      <c r="Y137">
        <f>ROUND(CZ137,2)</f>
        <v>0</v>
      </c>
      <c r="AA137">
        <v>143120906</v>
      </c>
      <c r="AB137">
        <f>ROUND((AC137+AD137+AF137),2)</f>
        <v>75.09</v>
      </c>
      <c r="AC137">
        <f>ROUND((ES137),2)</f>
        <v>75.09</v>
      </c>
      <c r="AD137">
        <f>ROUND((((ET137)-(EU137))+AE137),2)</f>
        <v>0</v>
      </c>
      <c r="AE137">
        <f>ROUND((EU137),2)</f>
        <v>0</v>
      </c>
      <c r="AF137">
        <f>ROUND((EV137),2)</f>
        <v>0</v>
      </c>
      <c r="AG137">
        <f>ROUND((AP137),2)</f>
        <v>0</v>
      </c>
      <c r="AH137">
        <f>(EW137)</f>
        <v>0</v>
      </c>
      <c r="AI137">
        <f>(EX137)</f>
        <v>0</v>
      </c>
      <c r="AJ137">
        <f>(AS137)</f>
        <v>0</v>
      </c>
      <c r="AK137">
        <v>75.09</v>
      </c>
      <c r="AL137">
        <v>75.09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1</v>
      </c>
      <c r="AW137">
        <v>1</v>
      </c>
      <c r="AZ137">
        <v>1</v>
      </c>
      <c r="BA137">
        <v>1</v>
      </c>
      <c r="BB137">
        <v>1</v>
      </c>
      <c r="BC137">
        <v>7.99</v>
      </c>
      <c r="BD137" t="s">
        <v>3</v>
      </c>
      <c r="BE137" t="s">
        <v>3</v>
      </c>
      <c r="BF137" t="s">
        <v>3</v>
      </c>
      <c r="BG137" t="s">
        <v>3</v>
      </c>
      <c r="BH137">
        <v>3</v>
      </c>
      <c r="BI137">
        <v>1</v>
      </c>
      <c r="BJ137" t="s">
        <v>3</v>
      </c>
      <c r="BM137">
        <v>1100</v>
      </c>
      <c r="BN137">
        <v>0</v>
      </c>
      <c r="BO137" t="s">
        <v>3</v>
      </c>
      <c r="BP137">
        <v>0</v>
      </c>
      <c r="BQ137">
        <v>8</v>
      </c>
      <c r="BR137">
        <v>0</v>
      </c>
      <c r="BS137">
        <v>1</v>
      </c>
      <c r="BT137">
        <v>1</v>
      </c>
      <c r="BU137">
        <v>1</v>
      </c>
      <c r="BV137">
        <v>1</v>
      </c>
      <c r="BW137">
        <v>1</v>
      </c>
      <c r="BX137">
        <v>1</v>
      </c>
      <c r="BY137" t="s">
        <v>3</v>
      </c>
      <c r="BZ137">
        <v>0</v>
      </c>
      <c r="CA137">
        <v>0</v>
      </c>
      <c r="CB137" t="s">
        <v>3</v>
      </c>
      <c r="CE137">
        <v>0</v>
      </c>
      <c r="CF137">
        <v>0</v>
      </c>
      <c r="CG137">
        <v>0</v>
      </c>
      <c r="CM137">
        <v>0</v>
      </c>
      <c r="CN137" t="s">
        <v>3</v>
      </c>
      <c r="CO137">
        <v>0</v>
      </c>
      <c r="CP137">
        <f>(P137+Q137+S137)</f>
        <v>599.97</v>
      </c>
      <c r="CQ137">
        <f>AC137*BC137</f>
        <v>599.96910000000003</v>
      </c>
      <c r="CR137">
        <f>(((ET137)*BB137-(EU137)*BS137)+AE137*BS137)</f>
        <v>0</v>
      </c>
      <c r="CS137">
        <f>AE137*BS137</f>
        <v>0</v>
      </c>
      <c r="CT137">
        <f>AF137*BA137</f>
        <v>0</v>
      </c>
      <c r="CU137">
        <f>AG137</f>
        <v>0</v>
      </c>
      <c r="CV137">
        <f>AH137</f>
        <v>0</v>
      </c>
      <c r="CW137">
        <f>AI137</f>
        <v>0</v>
      </c>
      <c r="CX137">
        <f>AJ137</f>
        <v>0</v>
      </c>
      <c r="CY137">
        <f>(((S137+R137)*AT137)/100)</f>
        <v>0</v>
      </c>
      <c r="CZ137">
        <f>(((S137+R137)*AU137)/100)</f>
        <v>0</v>
      </c>
      <c r="DC137" t="s">
        <v>3</v>
      </c>
      <c r="DD137" t="s">
        <v>3</v>
      </c>
      <c r="DE137" t="s">
        <v>3</v>
      </c>
      <c r="DF137" t="s">
        <v>3</v>
      </c>
      <c r="DG137" t="s">
        <v>3</v>
      </c>
      <c r="DH137" t="s">
        <v>3</v>
      </c>
      <c r="DI137" t="s">
        <v>3</v>
      </c>
      <c r="DJ137" t="s">
        <v>3</v>
      </c>
      <c r="DK137" t="s">
        <v>3</v>
      </c>
      <c r="DL137" t="s">
        <v>3</v>
      </c>
      <c r="DM137" t="s">
        <v>3</v>
      </c>
      <c r="DN137">
        <v>0</v>
      </c>
      <c r="DO137">
        <v>0</v>
      </c>
      <c r="DP137">
        <v>1</v>
      </c>
      <c r="DQ137">
        <v>1</v>
      </c>
      <c r="DU137">
        <v>1013</v>
      </c>
      <c r="DV137" t="s">
        <v>297</v>
      </c>
      <c r="DW137" t="s">
        <v>297</v>
      </c>
      <c r="DX137">
        <v>1</v>
      </c>
      <c r="DZ137" t="s">
        <v>3</v>
      </c>
      <c r="EA137" t="s">
        <v>3</v>
      </c>
      <c r="EB137" t="s">
        <v>3</v>
      </c>
      <c r="EC137" t="s">
        <v>3</v>
      </c>
      <c r="EE137">
        <v>140625274</v>
      </c>
      <c r="EF137">
        <v>8</v>
      </c>
      <c r="EG137" t="s">
        <v>139</v>
      </c>
      <c r="EH137">
        <v>0</v>
      </c>
      <c r="EI137" t="s">
        <v>3</v>
      </c>
      <c r="EJ137">
        <v>1</v>
      </c>
      <c r="EK137">
        <v>1100</v>
      </c>
      <c r="EL137" t="s">
        <v>140</v>
      </c>
      <c r="EM137" t="s">
        <v>141</v>
      </c>
      <c r="EO137" t="s">
        <v>3</v>
      </c>
      <c r="EQ137">
        <v>0</v>
      </c>
      <c r="ER137">
        <v>75.09</v>
      </c>
      <c r="ES137">
        <v>75.09</v>
      </c>
      <c r="ET137">
        <v>0</v>
      </c>
      <c r="EU137">
        <v>0</v>
      </c>
      <c r="EV137">
        <v>0</v>
      </c>
      <c r="EW137">
        <v>0</v>
      </c>
      <c r="EX137">
        <v>0</v>
      </c>
      <c r="EY137">
        <v>0</v>
      </c>
      <c r="EZ137">
        <v>5</v>
      </c>
      <c r="FC137">
        <v>0</v>
      </c>
      <c r="FD137">
        <v>18</v>
      </c>
      <c r="FF137">
        <v>600</v>
      </c>
      <c r="FQ137">
        <v>0</v>
      </c>
      <c r="FR137">
        <f>ROUND(IF(AND(BH137=3,BI137=3),P137,0),2)</f>
        <v>0</v>
      </c>
      <c r="FS137">
        <v>0</v>
      </c>
      <c r="FX137">
        <v>0</v>
      </c>
      <c r="FY137">
        <v>0</v>
      </c>
      <c r="GA137" t="s">
        <v>298</v>
      </c>
      <c r="GD137">
        <v>1</v>
      </c>
      <c r="GF137">
        <v>-158256423</v>
      </c>
      <c r="GG137">
        <v>2</v>
      </c>
      <c r="GH137">
        <v>3</v>
      </c>
      <c r="GI137">
        <v>4</v>
      </c>
      <c r="GJ137">
        <v>0</v>
      </c>
      <c r="GK137">
        <v>0</v>
      </c>
      <c r="GL137">
        <f>ROUND(IF(AND(BH137=3,BI137=3,FS137&lt;&gt;0),P137,0),2)</f>
        <v>0</v>
      </c>
      <c r="GM137">
        <f>ROUND(O137+X137+Y137,2)+GX137</f>
        <v>599.97</v>
      </c>
      <c r="GN137">
        <f>IF(OR(BI137=0,BI137=1),ROUND(O137+X137+Y137,2),0)</f>
        <v>599.97</v>
      </c>
      <c r="GO137">
        <f>IF(BI137=2,ROUND(O137+X137+Y137,2),0)</f>
        <v>0</v>
      </c>
      <c r="GP137">
        <f>IF(BI137=4,ROUND(O137+X137+Y137,2)+GX137,0)</f>
        <v>0</v>
      </c>
      <c r="GR137">
        <v>1</v>
      </c>
      <c r="GS137">
        <v>1</v>
      </c>
      <c r="GT137">
        <v>0</v>
      </c>
      <c r="GU137" t="s">
        <v>3</v>
      </c>
      <c r="GV137">
        <f>ROUND((GT137),2)</f>
        <v>0</v>
      </c>
      <c r="GW137">
        <v>1</v>
      </c>
      <c r="GX137">
        <f>ROUND(HC137*I137,2)</f>
        <v>0</v>
      </c>
      <c r="HA137">
        <v>0</v>
      </c>
      <c r="HB137">
        <v>0</v>
      </c>
      <c r="HC137">
        <f>GV137*GW137</f>
        <v>0</v>
      </c>
      <c r="HE137" t="s">
        <v>154</v>
      </c>
      <c r="HF137" t="s">
        <v>154</v>
      </c>
      <c r="HM137" t="s">
        <v>3</v>
      </c>
      <c r="HN137" t="s">
        <v>3</v>
      </c>
      <c r="HO137" t="s">
        <v>3</v>
      </c>
      <c r="HP137" t="s">
        <v>3</v>
      </c>
      <c r="HQ137" t="s">
        <v>3</v>
      </c>
      <c r="IK137">
        <v>0</v>
      </c>
    </row>
    <row r="139" spans="1:245" x14ac:dyDescent="0.2">
      <c r="A139" s="2">
        <v>51</v>
      </c>
      <c r="B139" s="2">
        <f>B131</f>
        <v>1</v>
      </c>
      <c r="C139" s="2">
        <f>A131</f>
        <v>4</v>
      </c>
      <c r="D139" s="2">
        <f>ROW(A131)</f>
        <v>131</v>
      </c>
      <c r="E139" s="2"/>
      <c r="F139" s="2" t="str">
        <f>IF(F131&lt;&gt;"",F131,"")</f>
        <v>Новый раздел</v>
      </c>
      <c r="G139" s="2" t="str">
        <f>IF(G131&lt;&gt;"",G131,"")</f>
        <v>Прочие работы</v>
      </c>
      <c r="H139" s="2">
        <v>0</v>
      </c>
      <c r="I139" s="2"/>
      <c r="J139" s="2"/>
      <c r="K139" s="2"/>
      <c r="L139" s="2"/>
      <c r="M139" s="2"/>
      <c r="N139" s="2"/>
      <c r="O139" s="2">
        <f t="shared" ref="O139:T139" si="85">ROUND(AB139,2)</f>
        <v>599.97</v>
      </c>
      <c r="P139" s="2">
        <f t="shared" si="85"/>
        <v>599.97</v>
      </c>
      <c r="Q139" s="2">
        <f t="shared" si="85"/>
        <v>0</v>
      </c>
      <c r="R139" s="2">
        <f t="shared" si="85"/>
        <v>0</v>
      </c>
      <c r="S139" s="2">
        <f t="shared" si="85"/>
        <v>0</v>
      </c>
      <c r="T139" s="2">
        <f t="shared" si="85"/>
        <v>0</v>
      </c>
      <c r="U139" s="2">
        <f>AH139</f>
        <v>0</v>
      </c>
      <c r="V139" s="2">
        <f>AI139</f>
        <v>0</v>
      </c>
      <c r="W139" s="2">
        <f>ROUND(AJ139,2)</f>
        <v>0</v>
      </c>
      <c r="X139" s="2">
        <f>ROUND(AK139,2)</f>
        <v>0</v>
      </c>
      <c r="Y139" s="2">
        <f>ROUND(AL139,2)</f>
        <v>0</v>
      </c>
      <c r="Z139" s="2"/>
      <c r="AA139" s="2"/>
      <c r="AB139" s="2">
        <f>ROUND(SUMIF(AA135:AA137,"=143120906",O135:O137),2)</f>
        <v>599.97</v>
      </c>
      <c r="AC139" s="2">
        <f>ROUND(SUMIF(AA135:AA137,"=143120906",P135:P137),2)</f>
        <v>599.97</v>
      </c>
      <c r="AD139" s="2">
        <f>ROUND(SUMIF(AA135:AA137,"=143120906",Q135:Q137),2)</f>
        <v>0</v>
      </c>
      <c r="AE139" s="2">
        <f>ROUND(SUMIF(AA135:AA137,"=143120906",R135:R137),2)</f>
        <v>0</v>
      </c>
      <c r="AF139" s="2">
        <f>ROUND(SUMIF(AA135:AA137,"=143120906",S135:S137),2)</f>
        <v>0</v>
      </c>
      <c r="AG139" s="2">
        <f>ROUND(SUMIF(AA135:AA137,"=143120906",T135:T137),2)</f>
        <v>0</v>
      </c>
      <c r="AH139" s="2">
        <f>SUMIF(AA135:AA137,"=143120906",U135:U137)</f>
        <v>0</v>
      </c>
      <c r="AI139" s="2">
        <f>SUMIF(AA135:AA137,"=143120906",V135:V137)</f>
        <v>0</v>
      </c>
      <c r="AJ139" s="2">
        <f>ROUND(SUMIF(AA135:AA137,"=143120906",W135:W137),2)</f>
        <v>0</v>
      </c>
      <c r="AK139" s="2">
        <f>ROUND(SUMIF(AA135:AA137,"=143120906",X135:X137),2)</f>
        <v>0</v>
      </c>
      <c r="AL139" s="2">
        <f>ROUND(SUMIF(AA135:AA137,"=143120906",Y135:Y137),2)</f>
        <v>0</v>
      </c>
      <c r="AM139" s="2"/>
      <c r="AN139" s="2"/>
      <c r="AO139" s="2">
        <f t="shared" ref="AO139:BD139" si="86">ROUND(BX139,2)</f>
        <v>0</v>
      </c>
      <c r="AP139" s="2">
        <f t="shared" si="86"/>
        <v>0</v>
      </c>
      <c r="AQ139" s="2">
        <f t="shared" si="86"/>
        <v>0</v>
      </c>
      <c r="AR139" s="2">
        <f t="shared" si="86"/>
        <v>731.02</v>
      </c>
      <c r="AS139" s="2">
        <f t="shared" si="86"/>
        <v>731.02</v>
      </c>
      <c r="AT139" s="2">
        <f t="shared" si="86"/>
        <v>0</v>
      </c>
      <c r="AU139" s="2">
        <f t="shared" si="86"/>
        <v>0</v>
      </c>
      <c r="AV139" s="2">
        <f t="shared" si="86"/>
        <v>599.97</v>
      </c>
      <c r="AW139" s="2">
        <f t="shared" si="86"/>
        <v>599.97</v>
      </c>
      <c r="AX139" s="2">
        <f t="shared" si="86"/>
        <v>0</v>
      </c>
      <c r="AY139" s="2">
        <f t="shared" si="86"/>
        <v>599.97</v>
      </c>
      <c r="AZ139" s="2">
        <f t="shared" si="86"/>
        <v>0</v>
      </c>
      <c r="BA139" s="2">
        <f t="shared" si="86"/>
        <v>0</v>
      </c>
      <c r="BB139" s="2">
        <f t="shared" si="86"/>
        <v>0</v>
      </c>
      <c r="BC139" s="2">
        <f t="shared" si="86"/>
        <v>0</v>
      </c>
      <c r="BD139" s="2">
        <f t="shared" si="86"/>
        <v>131.05000000000001</v>
      </c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>
        <f>ROUND(SUMIF(AA135:AA137,"=143120906",FQ135:FQ137),2)</f>
        <v>0</v>
      </c>
      <c r="BY139" s="2">
        <f>ROUND(SUMIF(AA135:AA137,"=143120906",FR135:FR137),2)</f>
        <v>0</v>
      </c>
      <c r="BZ139" s="2">
        <f>ROUND(SUMIF(AA135:AA137,"=143120906",GL135:GL137),2)</f>
        <v>0</v>
      </c>
      <c r="CA139" s="2">
        <f>ROUND(SUMIF(AA135:AA137,"=143120906",GM135:GM137),2)</f>
        <v>731.02</v>
      </c>
      <c r="CB139" s="2">
        <f>ROUND(SUMIF(AA135:AA137,"=143120906",GN135:GN137),2)</f>
        <v>731.02</v>
      </c>
      <c r="CC139" s="2">
        <f>ROUND(SUMIF(AA135:AA137,"=143120906",GO135:GO137),2)</f>
        <v>0</v>
      </c>
      <c r="CD139" s="2">
        <f>ROUND(SUMIF(AA135:AA137,"=143120906",GP135:GP137),2)</f>
        <v>0</v>
      </c>
      <c r="CE139" s="2">
        <f>AC139-BX139</f>
        <v>599.97</v>
      </c>
      <c r="CF139" s="2">
        <f>AC139-BY139</f>
        <v>599.97</v>
      </c>
      <c r="CG139" s="2">
        <f>BX139-BZ139</f>
        <v>0</v>
      </c>
      <c r="CH139" s="2">
        <f>AC139-BX139-BY139+BZ139</f>
        <v>599.97</v>
      </c>
      <c r="CI139" s="2">
        <f>BY139-BZ139</f>
        <v>0</v>
      </c>
      <c r="CJ139" s="2">
        <f>ROUND(SUMIF(AA135:AA137,"=143120906",GX135:GX137),2)</f>
        <v>0</v>
      </c>
      <c r="CK139" s="2">
        <f>ROUND(SUMIF(AA135:AA137,"=143120906",GY135:GY137),2)</f>
        <v>0</v>
      </c>
      <c r="CL139" s="2">
        <f>ROUND(SUMIF(AA135:AA137,"=143120906",GZ135:GZ137),2)</f>
        <v>0</v>
      </c>
      <c r="CM139" s="2">
        <f>ROUND(SUMIF(AA135:AA137,"=143120906",HD135:HD137),2)</f>
        <v>131.05000000000001</v>
      </c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>
        <v>0</v>
      </c>
    </row>
    <row r="141" spans="1:245" x14ac:dyDescent="0.2">
      <c r="A141" s="4">
        <v>50</v>
      </c>
      <c r="B141" s="4">
        <v>0</v>
      </c>
      <c r="C141" s="4">
        <v>0</v>
      </c>
      <c r="D141" s="4">
        <v>1</v>
      </c>
      <c r="E141" s="4">
        <v>201</v>
      </c>
      <c r="F141" s="4">
        <f>ROUND(Source!O139,O141)</f>
        <v>599.97</v>
      </c>
      <c r="G141" s="4" t="s">
        <v>71</v>
      </c>
      <c r="H141" s="4" t="s">
        <v>72</v>
      </c>
      <c r="I141" s="4"/>
      <c r="J141" s="4"/>
      <c r="K141" s="4">
        <v>201</v>
      </c>
      <c r="L141" s="4">
        <v>1</v>
      </c>
      <c r="M141" s="4">
        <v>3</v>
      </c>
      <c r="N141" s="4" t="s">
        <v>3</v>
      </c>
      <c r="O141" s="4">
        <v>2</v>
      </c>
      <c r="P141" s="4"/>
      <c r="Q141" s="4"/>
      <c r="R141" s="4"/>
      <c r="S141" s="4"/>
      <c r="T141" s="4"/>
      <c r="U141" s="4"/>
      <c r="V141" s="4"/>
      <c r="W141" s="4">
        <v>599.97</v>
      </c>
      <c r="X141" s="4">
        <v>1</v>
      </c>
      <c r="Y141" s="4">
        <v>599.97</v>
      </c>
      <c r="Z141" s="4"/>
      <c r="AA141" s="4"/>
      <c r="AB141" s="4"/>
    </row>
    <row r="142" spans="1:245" x14ac:dyDescent="0.2">
      <c r="A142" s="4">
        <v>50</v>
      </c>
      <c r="B142" s="4">
        <v>0</v>
      </c>
      <c r="C142" s="4">
        <v>0</v>
      </c>
      <c r="D142" s="4">
        <v>1</v>
      </c>
      <c r="E142" s="4">
        <v>202</v>
      </c>
      <c r="F142" s="4">
        <f>ROUND(Source!P139,O142)</f>
        <v>599.97</v>
      </c>
      <c r="G142" s="4" t="s">
        <v>73</v>
      </c>
      <c r="H142" s="4" t="s">
        <v>74</v>
      </c>
      <c r="I142" s="4"/>
      <c r="J142" s="4"/>
      <c r="K142" s="4">
        <v>202</v>
      </c>
      <c r="L142" s="4">
        <v>2</v>
      </c>
      <c r="M142" s="4">
        <v>3</v>
      </c>
      <c r="N142" s="4" t="s">
        <v>3</v>
      </c>
      <c r="O142" s="4">
        <v>2</v>
      </c>
      <c r="P142" s="4"/>
      <c r="Q142" s="4"/>
      <c r="R142" s="4"/>
      <c r="S142" s="4"/>
      <c r="T142" s="4"/>
      <c r="U142" s="4"/>
      <c r="V142" s="4"/>
      <c r="W142" s="4">
        <v>599.97</v>
      </c>
      <c r="X142" s="4">
        <v>1</v>
      </c>
      <c r="Y142" s="4">
        <v>599.97</v>
      </c>
      <c r="Z142" s="4"/>
      <c r="AA142" s="4"/>
      <c r="AB142" s="4"/>
    </row>
    <row r="143" spans="1:245" x14ac:dyDescent="0.2">
      <c r="A143" s="4">
        <v>50</v>
      </c>
      <c r="B143" s="4">
        <v>0</v>
      </c>
      <c r="C143" s="4">
        <v>0</v>
      </c>
      <c r="D143" s="4">
        <v>1</v>
      </c>
      <c r="E143" s="4">
        <v>222</v>
      </c>
      <c r="F143" s="4">
        <f>ROUND(Source!AO139,O143)</f>
        <v>0</v>
      </c>
      <c r="G143" s="4" t="s">
        <v>75</v>
      </c>
      <c r="H143" s="4" t="s">
        <v>76</v>
      </c>
      <c r="I143" s="4"/>
      <c r="J143" s="4"/>
      <c r="K143" s="4">
        <v>222</v>
      </c>
      <c r="L143" s="4">
        <v>3</v>
      </c>
      <c r="M143" s="4">
        <v>3</v>
      </c>
      <c r="N143" s="4" t="s">
        <v>3</v>
      </c>
      <c r="O143" s="4">
        <v>2</v>
      </c>
      <c r="P143" s="4"/>
      <c r="Q143" s="4"/>
      <c r="R143" s="4"/>
      <c r="S143" s="4"/>
      <c r="T143" s="4"/>
      <c r="U143" s="4"/>
      <c r="V143" s="4"/>
      <c r="W143" s="4">
        <v>0</v>
      </c>
      <c r="X143" s="4">
        <v>1</v>
      </c>
      <c r="Y143" s="4">
        <v>0</v>
      </c>
      <c r="Z143" s="4"/>
      <c r="AA143" s="4"/>
      <c r="AB143" s="4"/>
    </row>
    <row r="144" spans="1:245" x14ac:dyDescent="0.2">
      <c r="A144" s="4">
        <v>50</v>
      </c>
      <c r="B144" s="4">
        <v>0</v>
      </c>
      <c r="C144" s="4">
        <v>0</v>
      </c>
      <c r="D144" s="4">
        <v>1</v>
      </c>
      <c r="E144" s="4">
        <v>225</v>
      </c>
      <c r="F144" s="4">
        <f>ROUND(Source!AV139,O144)</f>
        <v>599.97</v>
      </c>
      <c r="G144" s="4" t="s">
        <v>77</v>
      </c>
      <c r="H144" s="4" t="s">
        <v>78</v>
      </c>
      <c r="I144" s="4"/>
      <c r="J144" s="4"/>
      <c r="K144" s="4">
        <v>225</v>
      </c>
      <c r="L144" s="4">
        <v>4</v>
      </c>
      <c r="M144" s="4">
        <v>3</v>
      </c>
      <c r="N144" s="4" t="s">
        <v>3</v>
      </c>
      <c r="O144" s="4">
        <v>2</v>
      </c>
      <c r="P144" s="4"/>
      <c r="Q144" s="4"/>
      <c r="R144" s="4"/>
      <c r="S144" s="4"/>
      <c r="T144" s="4"/>
      <c r="U144" s="4"/>
      <c r="V144" s="4"/>
      <c r="W144" s="4">
        <v>599.97</v>
      </c>
      <c r="X144" s="4">
        <v>1</v>
      </c>
      <c r="Y144" s="4">
        <v>599.97</v>
      </c>
      <c r="Z144" s="4"/>
      <c r="AA144" s="4"/>
      <c r="AB144" s="4"/>
    </row>
    <row r="145" spans="1:28" x14ac:dyDescent="0.2">
      <c r="A145" s="4">
        <v>50</v>
      </c>
      <c r="B145" s="4">
        <v>0</v>
      </c>
      <c r="C145" s="4">
        <v>0</v>
      </c>
      <c r="D145" s="4">
        <v>1</v>
      </c>
      <c r="E145" s="4">
        <v>226</v>
      </c>
      <c r="F145" s="4">
        <f>ROUND(Source!AW139,O145)</f>
        <v>599.97</v>
      </c>
      <c r="G145" s="4" t="s">
        <v>79</v>
      </c>
      <c r="H145" s="4" t="s">
        <v>80</v>
      </c>
      <c r="I145" s="4"/>
      <c r="J145" s="4"/>
      <c r="K145" s="4">
        <v>226</v>
      </c>
      <c r="L145" s="4">
        <v>5</v>
      </c>
      <c r="M145" s="4">
        <v>3</v>
      </c>
      <c r="N145" s="4" t="s">
        <v>3</v>
      </c>
      <c r="O145" s="4">
        <v>2</v>
      </c>
      <c r="P145" s="4"/>
      <c r="Q145" s="4"/>
      <c r="R145" s="4"/>
      <c r="S145" s="4"/>
      <c r="T145" s="4"/>
      <c r="U145" s="4"/>
      <c r="V145" s="4"/>
      <c r="W145" s="4">
        <v>599.97</v>
      </c>
      <c r="X145" s="4">
        <v>1</v>
      </c>
      <c r="Y145" s="4">
        <v>599.97</v>
      </c>
      <c r="Z145" s="4"/>
      <c r="AA145" s="4"/>
      <c r="AB145" s="4"/>
    </row>
    <row r="146" spans="1:28" x14ac:dyDescent="0.2">
      <c r="A146" s="4">
        <v>50</v>
      </c>
      <c r="B146" s="4">
        <v>0</v>
      </c>
      <c r="C146" s="4">
        <v>0</v>
      </c>
      <c r="D146" s="4">
        <v>1</v>
      </c>
      <c r="E146" s="4">
        <v>227</v>
      </c>
      <c r="F146" s="4">
        <f>ROUND(Source!AX139,O146)</f>
        <v>0</v>
      </c>
      <c r="G146" s="4" t="s">
        <v>81</v>
      </c>
      <c r="H146" s="4" t="s">
        <v>82</v>
      </c>
      <c r="I146" s="4"/>
      <c r="J146" s="4"/>
      <c r="K146" s="4">
        <v>227</v>
      </c>
      <c r="L146" s="4">
        <v>6</v>
      </c>
      <c r="M146" s="4">
        <v>3</v>
      </c>
      <c r="N146" s="4" t="s">
        <v>3</v>
      </c>
      <c r="O146" s="4">
        <v>2</v>
      </c>
      <c r="P146" s="4"/>
      <c r="Q146" s="4"/>
      <c r="R146" s="4"/>
      <c r="S146" s="4"/>
      <c r="T146" s="4"/>
      <c r="U146" s="4"/>
      <c r="V146" s="4"/>
      <c r="W146" s="4">
        <v>0</v>
      </c>
      <c r="X146" s="4">
        <v>1</v>
      </c>
      <c r="Y146" s="4">
        <v>0</v>
      </c>
      <c r="Z146" s="4"/>
      <c r="AA146" s="4"/>
      <c r="AB146" s="4"/>
    </row>
    <row r="147" spans="1:28" x14ac:dyDescent="0.2">
      <c r="A147" s="4">
        <v>50</v>
      </c>
      <c r="B147" s="4">
        <v>0</v>
      </c>
      <c r="C147" s="4">
        <v>0</v>
      </c>
      <c r="D147" s="4">
        <v>1</v>
      </c>
      <c r="E147" s="4">
        <v>228</v>
      </c>
      <c r="F147" s="4">
        <f>ROUND(Source!AY139,O147)</f>
        <v>599.97</v>
      </c>
      <c r="G147" s="4" t="s">
        <v>83</v>
      </c>
      <c r="H147" s="4" t="s">
        <v>84</v>
      </c>
      <c r="I147" s="4"/>
      <c r="J147" s="4"/>
      <c r="K147" s="4">
        <v>228</v>
      </c>
      <c r="L147" s="4">
        <v>7</v>
      </c>
      <c r="M147" s="4">
        <v>3</v>
      </c>
      <c r="N147" s="4" t="s">
        <v>3</v>
      </c>
      <c r="O147" s="4">
        <v>2</v>
      </c>
      <c r="P147" s="4"/>
      <c r="Q147" s="4"/>
      <c r="R147" s="4"/>
      <c r="S147" s="4"/>
      <c r="T147" s="4"/>
      <c r="U147" s="4"/>
      <c r="V147" s="4"/>
      <c r="W147" s="4">
        <v>599.97</v>
      </c>
      <c r="X147" s="4">
        <v>1</v>
      </c>
      <c r="Y147" s="4">
        <v>599.97</v>
      </c>
      <c r="Z147" s="4"/>
      <c r="AA147" s="4"/>
      <c r="AB147" s="4"/>
    </row>
    <row r="148" spans="1:28" x14ac:dyDescent="0.2">
      <c r="A148" s="4">
        <v>50</v>
      </c>
      <c r="B148" s="4">
        <v>0</v>
      </c>
      <c r="C148" s="4">
        <v>0</v>
      </c>
      <c r="D148" s="4">
        <v>1</v>
      </c>
      <c r="E148" s="4">
        <v>216</v>
      </c>
      <c r="F148" s="4">
        <f>ROUND(Source!AP139,O148)</f>
        <v>0</v>
      </c>
      <c r="G148" s="4" t="s">
        <v>85</v>
      </c>
      <c r="H148" s="4" t="s">
        <v>86</v>
      </c>
      <c r="I148" s="4"/>
      <c r="J148" s="4"/>
      <c r="K148" s="4">
        <v>216</v>
      </c>
      <c r="L148" s="4">
        <v>8</v>
      </c>
      <c r="M148" s="4">
        <v>3</v>
      </c>
      <c r="N148" s="4" t="s">
        <v>3</v>
      </c>
      <c r="O148" s="4">
        <v>2</v>
      </c>
      <c r="P148" s="4"/>
      <c r="Q148" s="4"/>
      <c r="R148" s="4"/>
      <c r="S148" s="4"/>
      <c r="T148" s="4"/>
      <c r="U148" s="4"/>
      <c r="V148" s="4"/>
      <c r="W148" s="4">
        <v>0</v>
      </c>
      <c r="X148" s="4">
        <v>1</v>
      </c>
      <c r="Y148" s="4">
        <v>0</v>
      </c>
      <c r="Z148" s="4"/>
      <c r="AA148" s="4"/>
      <c r="AB148" s="4"/>
    </row>
    <row r="149" spans="1:28" x14ac:dyDescent="0.2">
      <c r="A149" s="4">
        <v>50</v>
      </c>
      <c r="B149" s="4">
        <v>0</v>
      </c>
      <c r="C149" s="4">
        <v>0</v>
      </c>
      <c r="D149" s="4">
        <v>1</v>
      </c>
      <c r="E149" s="4">
        <v>223</v>
      </c>
      <c r="F149" s="4">
        <f>ROUND(Source!AQ139,O149)</f>
        <v>0</v>
      </c>
      <c r="G149" s="4" t="s">
        <v>87</v>
      </c>
      <c r="H149" s="4" t="s">
        <v>88</v>
      </c>
      <c r="I149" s="4"/>
      <c r="J149" s="4"/>
      <c r="K149" s="4">
        <v>223</v>
      </c>
      <c r="L149" s="4">
        <v>9</v>
      </c>
      <c r="M149" s="4">
        <v>3</v>
      </c>
      <c r="N149" s="4" t="s">
        <v>3</v>
      </c>
      <c r="O149" s="4">
        <v>2</v>
      </c>
      <c r="P149" s="4"/>
      <c r="Q149" s="4"/>
      <c r="R149" s="4"/>
      <c r="S149" s="4"/>
      <c r="T149" s="4"/>
      <c r="U149" s="4"/>
      <c r="V149" s="4"/>
      <c r="W149" s="4">
        <v>0</v>
      </c>
      <c r="X149" s="4">
        <v>1</v>
      </c>
      <c r="Y149" s="4">
        <v>0</v>
      </c>
      <c r="Z149" s="4"/>
      <c r="AA149" s="4"/>
      <c r="AB149" s="4"/>
    </row>
    <row r="150" spans="1:28" x14ac:dyDescent="0.2">
      <c r="A150" s="4">
        <v>50</v>
      </c>
      <c r="B150" s="4">
        <v>0</v>
      </c>
      <c r="C150" s="4">
        <v>0</v>
      </c>
      <c r="D150" s="4">
        <v>1</v>
      </c>
      <c r="E150" s="4">
        <v>229</v>
      </c>
      <c r="F150" s="4">
        <f>ROUND(Source!AZ139,O150)</f>
        <v>0</v>
      </c>
      <c r="G150" s="4" t="s">
        <v>89</v>
      </c>
      <c r="H150" s="4" t="s">
        <v>90</v>
      </c>
      <c r="I150" s="4"/>
      <c r="J150" s="4"/>
      <c r="K150" s="4">
        <v>229</v>
      </c>
      <c r="L150" s="4">
        <v>10</v>
      </c>
      <c r="M150" s="4">
        <v>3</v>
      </c>
      <c r="N150" s="4" t="s">
        <v>3</v>
      </c>
      <c r="O150" s="4">
        <v>2</v>
      </c>
      <c r="P150" s="4"/>
      <c r="Q150" s="4"/>
      <c r="R150" s="4"/>
      <c r="S150" s="4"/>
      <c r="T150" s="4"/>
      <c r="U150" s="4"/>
      <c r="V150" s="4"/>
      <c r="W150" s="4">
        <v>0</v>
      </c>
      <c r="X150" s="4">
        <v>1</v>
      </c>
      <c r="Y150" s="4">
        <v>0</v>
      </c>
      <c r="Z150" s="4"/>
      <c r="AA150" s="4"/>
      <c r="AB150" s="4"/>
    </row>
    <row r="151" spans="1:28" x14ac:dyDescent="0.2">
      <c r="A151" s="4">
        <v>50</v>
      </c>
      <c r="B151" s="4">
        <v>0</v>
      </c>
      <c r="C151" s="4">
        <v>0</v>
      </c>
      <c r="D151" s="4">
        <v>1</v>
      </c>
      <c r="E151" s="4">
        <v>203</v>
      </c>
      <c r="F151" s="4">
        <f>ROUND(Source!Q139,O151)</f>
        <v>0</v>
      </c>
      <c r="G151" s="4" t="s">
        <v>91</v>
      </c>
      <c r="H151" s="4" t="s">
        <v>92</v>
      </c>
      <c r="I151" s="4"/>
      <c r="J151" s="4"/>
      <c r="K151" s="4">
        <v>203</v>
      </c>
      <c r="L151" s="4">
        <v>11</v>
      </c>
      <c r="M151" s="4">
        <v>3</v>
      </c>
      <c r="N151" s="4" t="s">
        <v>3</v>
      </c>
      <c r="O151" s="4">
        <v>2</v>
      </c>
      <c r="P151" s="4"/>
      <c r="Q151" s="4"/>
      <c r="R151" s="4"/>
      <c r="S151" s="4"/>
      <c r="T151" s="4"/>
      <c r="U151" s="4"/>
      <c r="V151" s="4"/>
      <c r="W151" s="4">
        <v>0</v>
      </c>
      <c r="X151" s="4">
        <v>1</v>
      </c>
      <c r="Y151" s="4">
        <v>0</v>
      </c>
      <c r="Z151" s="4"/>
      <c r="AA151" s="4"/>
      <c r="AB151" s="4"/>
    </row>
    <row r="152" spans="1:28" x14ac:dyDescent="0.2">
      <c r="A152" s="4">
        <v>50</v>
      </c>
      <c r="B152" s="4">
        <v>0</v>
      </c>
      <c r="C152" s="4">
        <v>0</v>
      </c>
      <c r="D152" s="4">
        <v>1</v>
      </c>
      <c r="E152" s="4">
        <v>231</v>
      </c>
      <c r="F152" s="4">
        <f>ROUND(Source!BB139,O152)</f>
        <v>0</v>
      </c>
      <c r="G152" s="4" t="s">
        <v>93</v>
      </c>
      <c r="H152" s="4" t="s">
        <v>94</v>
      </c>
      <c r="I152" s="4"/>
      <c r="J152" s="4"/>
      <c r="K152" s="4">
        <v>231</v>
      </c>
      <c r="L152" s="4">
        <v>12</v>
      </c>
      <c r="M152" s="4">
        <v>3</v>
      </c>
      <c r="N152" s="4" t="s">
        <v>3</v>
      </c>
      <c r="O152" s="4">
        <v>2</v>
      </c>
      <c r="P152" s="4"/>
      <c r="Q152" s="4"/>
      <c r="R152" s="4"/>
      <c r="S152" s="4"/>
      <c r="T152" s="4"/>
      <c r="U152" s="4"/>
      <c r="V152" s="4"/>
      <c r="W152" s="4">
        <v>0</v>
      </c>
      <c r="X152" s="4">
        <v>1</v>
      </c>
      <c r="Y152" s="4">
        <v>0</v>
      </c>
      <c r="Z152" s="4"/>
      <c r="AA152" s="4"/>
      <c r="AB152" s="4"/>
    </row>
    <row r="153" spans="1:28" x14ac:dyDescent="0.2">
      <c r="A153" s="4">
        <v>50</v>
      </c>
      <c r="B153" s="4">
        <v>0</v>
      </c>
      <c r="C153" s="4">
        <v>0</v>
      </c>
      <c r="D153" s="4">
        <v>1</v>
      </c>
      <c r="E153" s="4">
        <v>204</v>
      </c>
      <c r="F153" s="4">
        <f>ROUND(Source!R139,O153)</f>
        <v>0</v>
      </c>
      <c r="G153" s="4" t="s">
        <v>95</v>
      </c>
      <c r="H153" s="4" t="s">
        <v>96</v>
      </c>
      <c r="I153" s="4"/>
      <c r="J153" s="4"/>
      <c r="K153" s="4">
        <v>204</v>
      </c>
      <c r="L153" s="4">
        <v>13</v>
      </c>
      <c r="M153" s="4">
        <v>3</v>
      </c>
      <c r="N153" s="4" t="s">
        <v>3</v>
      </c>
      <c r="O153" s="4">
        <v>2</v>
      </c>
      <c r="P153" s="4"/>
      <c r="Q153" s="4"/>
      <c r="R153" s="4"/>
      <c r="S153" s="4"/>
      <c r="T153" s="4"/>
      <c r="U153" s="4"/>
      <c r="V153" s="4"/>
      <c r="W153" s="4">
        <v>0</v>
      </c>
      <c r="X153" s="4">
        <v>1</v>
      </c>
      <c r="Y153" s="4">
        <v>0</v>
      </c>
      <c r="Z153" s="4"/>
      <c r="AA153" s="4"/>
      <c r="AB153" s="4"/>
    </row>
    <row r="154" spans="1:28" x14ac:dyDescent="0.2">
      <c r="A154" s="4">
        <v>50</v>
      </c>
      <c r="B154" s="4">
        <v>0</v>
      </c>
      <c r="C154" s="4">
        <v>0</v>
      </c>
      <c r="D154" s="4">
        <v>1</v>
      </c>
      <c r="E154" s="4">
        <v>205</v>
      </c>
      <c r="F154" s="4">
        <f>ROUND(Source!S139,O154)</f>
        <v>0</v>
      </c>
      <c r="G154" s="4" t="s">
        <v>97</v>
      </c>
      <c r="H154" s="4" t="s">
        <v>98</v>
      </c>
      <c r="I154" s="4"/>
      <c r="J154" s="4"/>
      <c r="K154" s="4">
        <v>205</v>
      </c>
      <c r="L154" s="4">
        <v>14</v>
      </c>
      <c r="M154" s="4">
        <v>3</v>
      </c>
      <c r="N154" s="4" t="s">
        <v>3</v>
      </c>
      <c r="O154" s="4">
        <v>2</v>
      </c>
      <c r="P154" s="4"/>
      <c r="Q154" s="4"/>
      <c r="R154" s="4"/>
      <c r="S154" s="4"/>
      <c r="T154" s="4"/>
      <c r="U154" s="4"/>
      <c r="V154" s="4"/>
      <c r="W154" s="4">
        <v>0</v>
      </c>
      <c r="X154" s="4">
        <v>1</v>
      </c>
      <c r="Y154" s="4">
        <v>0</v>
      </c>
      <c r="Z154" s="4"/>
      <c r="AA154" s="4"/>
      <c r="AB154" s="4"/>
    </row>
    <row r="155" spans="1:28" x14ac:dyDescent="0.2">
      <c r="A155" s="4">
        <v>50</v>
      </c>
      <c r="B155" s="4">
        <v>0</v>
      </c>
      <c r="C155" s="4">
        <v>0</v>
      </c>
      <c r="D155" s="4">
        <v>1</v>
      </c>
      <c r="E155" s="4">
        <v>232</v>
      </c>
      <c r="F155" s="4">
        <f>ROUND(Source!BC139,O155)</f>
        <v>0</v>
      </c>
      <c r="G155" s="4" t="s">
        <v>99</v>
      </c>
      <c r="H155" s="4" t="s">
        <v>100</v>
      </c>
      <c r="I155" s="4"/>
      <c r="J155" s="4"/>
      <c r="K155" s="4">
        <v>232</v>
      </c>
      <c r="L155" s="4">
        <v>15</v>
      </c>
      <c r="M155" s="4">
        <v>3</v>
      </c>
      <c r="N155" s="4" t="s">
        <v>3</v>
      </c>
      <c r="O155" s="4">
        <v>2</v>
      </c>
      <c r="P155" s="4"/>
      <c r="Q155" s="4"/>
      <c r="R155" s="4"/>
      <c r="S155" s="4"/>
      <c r="T155" s="4"/>
      <c r="U155" s="4"/>
      <c r="V155" s="4"/>
      <c r="W155" s="4">
        <v>0</v>
      </c>
      <c r="X155" s="4">
        <v>1</v>
      </c>
      <c r="Y155" s="4">
        <v>0</v>
      </c>
      <c r="Z155" s="4"/>
      <c r="AA155" s="4"/>
      <c r="AB155" s="4"/>
    </row>
    <row r="156" spans="1:28" x14ac:dyDescent="0.2">
      <c r="A156" s="4">
        <v>50</v>
      </c>
      <c r="B156" s="4">
        <v>0</v>
      </c>
      <c r="C156" s="4">
        <v>0</v>
      </c>
      <c r="D156" s="4">
        <v>1</v>
      </c>
      <c r="E156" s="4">
        <v>214</v>
      </c>
      <c r="F156" s="4">
        <f>ROUND(Source!AS139,O156)</f>
        <v>731.02</v>
      </c>
      <c r="G156" s="4" t="s">
        <v>101</v>
      </c>
      <c r="H156" s="4" t="s">
        <v>102</v>
      </c>
      <c r="I156" s="4"/>
      <c r="J156" s="4"/>
      <c r="K156" s="4">
        <v>214</v>
      </c>
      <c r="L156" s="4">
        <v>16</v>
      </c>
      <c r="M156" s="4">
        <v>3</v>
      </c>
      <c r="N156" s="4" t="s">
        <v>3</v>
      </c>
      <c r="O156" s="4">
        <v>2</v>
      </c>
      <c r="P156" s="4"/>
      <c r="Q156" s="4"/>
      <c r="R156" s="4"/>
      <c r="S156" s="4"/>
      <c r="T156" s="4"/>
      <c r="U156" s="4"/>
      <c r="V156" s="4"/>
      <c r="W156" s="4">
        <v>731.02</v>
      </c>
      <c r="X156" s="4">
        <v>1</v>
      </c>
      <c r="Y156" s="4">
        <v>731.02</v>
      </c>
      <c r="Z156" s="4"/>
      <c r="AA156" s="4"/>
      <c r="AB156" s="4"/>
    </row>
    <row r="157" spans="1:28" x14ac:dyDescent="0.2">
      <c r="A157" s="4">
        <v>50</v>
      </c>
      <c r="B157" s="4">
        <v>0</v>
      </c>
      <c r="C157" s="4">
        <v>0</v>
      </c>
      <c r="D157" s="4">
        <v>1</v>
      </c>
      <c r="E157" s="4">
        <v>215</v>
      </c>
      <c r="F157" s="4">
        <f>ROUND(Source!AT139,O157)</f>
        <v>0</v>
      </c>
      <c r="G157" s="4" t="s">
        <v>103</v>
      </c>
      <c r="H157" s="4" t="s">
        <v>104</v>
      </c>
      <c r="I157" s="4"/>
      <c r="J157" s="4"/>
      <c r="K157" s="4">
        <v>215</v>
      </c>
      <c r="L157" s="4">
        <v>17</v>
      </c>
      <c r="M157" s="4">
        <v>3</v>
      </c>
      <c r="N157" s="4" t="s">
        <v>3</v>
      </c>
      <c r="O157" s="4">
        <v>2</v>
      </c>
      <c r="P157" s="4"/>
      <c r="Q157" s="4"/>
      <c r="R157" s="4"/>
      <c r="S157" s="4"/>
      <c r="T157" s="4"/>
      <c r="U157" s="4"/>
      <c r="V157" s="4"/>
      <c r="W157" s="4">
        <v>0</v>
      </c>
      <c r="X157" s="4">
        <v>1</v>
      </c>
      <c r="Y157" s="4">
        <v>0</v>
      </c>
      <c r="Z157" s="4"/>
      <c r="AA157" s="4"/>
      <c r="AB157" s="4"/>
    </row>
    <row r="158" spans="1:28" x14ac:dyDescent="0.2">
      <c r="A158" s="4">
        <v>50</v>
      </c>
      <c r="B158" s="4">
        <v>0</v>
      </c>
      <c r="C158" s="4">
        <v>0</v>
      </c>
      <c r="D158" s="4">
        <v>1</v>
      </c>
      <c r="E158" s="4">
        <v>217</v>
      </c>
      <c r="F158" s="4">
        <f>ROUND(Source!AU139,O158)</f>
        <v>0</v>
      </c>
      <c r="G158" s="4" t="s">
        <v>105</v>
      </c>
      <c r="H158" s="4" t="s">
        <v>106</v>
      </c>
      <c r="I158" s="4"/>
      <c r="J158" s="4"/>
      <c r="K158" s="4">
        <v>217</v>
      </c>
      <c r="L158" s="4">
        <v>18</v>
      </c>
      <c r="M158" s="4">
        <v>3</v>
      </c>
      <c r="N158" s="4" t="s">
        <v>3</v>
      </c>
      <c r="O158" s="4">
        <v>2</v>
      </c>
      <c r="P158" s="4"/>
      <c r="Q158" s="4"/>
      <c r="R158" s="4"/>
      <c r="S158" s="4"/>
      <c r="T158" s="4"/>
      <c r="U158" s="4"/>
      <c r="V158" s="4"/>
      <c r="W158" s="4">
        <v>0</v>
      </c>
      <c r="X158" s="4">
        <v>1</v>
      </c>
      <c r="Y158" s="4">
        <v>0</v>
      </c>
      <c r="Z158" s="4"/>
      <c r="AA158" s="4"/>
      <c r="AB158" s="4"/>
    </row>
    <row r="159" spans="1:28" x14ac:dyDescent="0.2">
      <c r="A159" s="4">
        <v>50</v>
      </c>
      <c r="B159" s="4">
        <v>0</v>
      </c>
      <c r="C159" s="4">
        <v>0</v>
      </c>
      <c r="D159" s="4">
        <v>1</v>
      </c>
      <c r="E159" s="4">
        <v>230</v>
      </c>
      <c r="F159" s="4">
        <f>ROUND(Source!BA139,O159)</f>
        <v>0</v>
      </c>
      <c r="G159" s="4" t="s">
        <v>107</v>
      </c>
      <c r="H159" s="4" t="s">
        <v>108</v>
      </c>
      <c r="I159" s="4"/>
      <c r="J159" s="4"/>
      <c r="K159" s="4">
        <v>230</v>
      </c>
      <c r="L159" s="4">
        <v>19</v>
      </c>
      <c r="M159" s="4">
        <v>3</v>
      </c>
      <c r="N159" s="4" t="s">
        <v>3</v>
      </c>
      <c r="O159" s="4">
        <v>2</v>
      </c>
      <c r="P159" s="4"/>
      <c r="Q159" s="4"/>
      <c r="R159" s="4"/>
      <c r="S159" s="4"/>
      <c r="T159" s="4"/>
      <c r="U159" s="4"/>
      <c r="V159" s="4"/>
      <c r="W159" s="4">
        <v>0</v>
      </c>
      <c r="X159" s="4">
        <v>1</v>
      </c>
      <c r="Y159" s="4">
        <v>0</v>
      </c>
      <c r="Z159" s="4"/>
      <c r="AA159" s="4"/>
      <c r="AB159" s="4"/>
    </row>
    <row r="160" spans="1:28" x14ac:dyDescent="0.2">
      <c r="A160" s="4">
        <v>50</v>
      </c>
      <c r="B160" s="4">
        <v>0</v>
      </c>
      <c r="C160" s="4">
        <v>0</v>
      </c>
      <c r="D160" s="4">
        <v>1</v>
      </c>
      <c r="E160" s="4">
        <v>206</v>
      </c>
      <c r="F160" s="4">
        <f>ROUND(Source!T139,O160)</f>
        <v>0</v>
      </c>
      <c r="G160" s="4" t="s">
        <v>109</v>
      </c>
      <c r="H160" s="4" t="s">
        <v>110</v>
      </c>
      <c r="I160" s="4"/>
      <c r="J160" s="4"/>
      <c r="K160" s="4">
        <v>206</v>
      </c>
      <c r="L160" s="4">
        <v>20</v>
      </c>
      <c r="M160" s="4">
        <v>3</v>
      </c>
      <c r="N160" s="4" t="s">
        <v>3</v>
      </c>
      <c r="O160" s="4">
        <v>2</v>
      </c>
      <c r="P160" s="4"/>
      <c r="Q160" s="4"/>
      <c r="R160" s="4"/>
      <c r="S160" s="4"/>
      <c r="T160" s="4"/>
      <c r="U160" s="4"/>
      <c r="V160" s="4"/>
      <c r="W160" s="4">
        <v>0</v>
      </c>
      <c r="X160" s="4">
        <v>1</v>
      </c>
      <c r="Y160" s="4">
        <v>0</v>
      </c>
      <c r="Z160" s="4"/>
      <c r="AA160" s="4"/>
      <c r="AB160" s="4"/>
    </row>
    <row r="161" spans="1:206" x14ac:dyDescent="0.2">
      <c r="A161" s="4">
        <v>50</v>
      </c>
      <c r="B161" s="4">
        <v>0</v>
      </c>
      <c r="C161" s="4">
        <v>0</v>
      </c>
      <c r="D161" s="4">
        <v>1</v>
      </c>
      <c r="E161" s="4">
        <v>207</v>
      </c>
      <c r="F161" s="4">
        <f>Source!U139</f>
        <v>0</v>
      </c>
      <c r="G161" s="4" t="s">
        <v>111</v>
      </c>
      <c r="H161" s="4" t="s">
        <v>112</v>
      </c>
      <c r="I161" s="4"/>
      <c r="J161" s="4"/>
      <c r="K161" s="4">
        <v>207</v>
      </c>
      <c r="L161" s="4">
        <v>21</v>
      </c>
      <c r="M161" s="4">
        <v>3</v>
      </c>
      <c r="N161" s="4" t="s">
        <v>3</v>
      </c>
      <c r="O161" s="4">
        <v>-1</v>
      </c>
      <c r="P161" s="4"/>
      <c r="Q161" s="4"/>
      <c r="R161" s="4"/>
      <c r="S161" s="4"/>
      <c r="T161" s="4"/>
      <c r="U161" s="4"/>
      <c r="V161" s="4"/>
      <c r="W161" s="4">
        <v>0</v>
      </c>
      <c r="X161" s="4">
        <v>1</v>
      </c>
      <c r="Y161" s="4">
        <v>0</v>
      </c>
      <c r="Z161" s="4"/>
      <c r="AA161" s="4"/>
      <c r="AB161" s="4"/>
    </row>
    <row r="162" spans="1:206" x14ac:dyDescent="0.2">
      <c r="A162" s="4">
        <v>50</v>
      </c>
      <c r="B162" s="4">
        <v>0</v>
      </c>
      <c r="C162" s="4">
        <v>0</v>
      </c>
      <c r="D162" s="4">
        <v>1</v>
      </c>
      <c r="E162" s="4">
        <v>208</v>
      </c>
      <c r="F162" s="4">
        <f>Source!V139</f>
        <v>0</v>
      </c>
      <c r="G162" s="4" t="s">
        <v>113</v>
      </c>
      <c r="H162" s="4" t="s">
        <v>114</v>
      </c>
      <c r="I162" s="4"/>
      <c r="J162" s="4"/>
      <c r="K162" s="4">
        <v>208</v>
      </c>
      <c r="L162" s="4">
        <v>22</v>
      </c>
      <c r="M162" s="4">
        <v>3</v>
      </c>
      <c r="N162" s="4" t="s">
        <v>3</v>
      </c>
      <c r="O162" s="4">
        <v>-1</v>
      </c>
      <c r="P162" s="4"/>
      <c r="Q162" s="4"/>
      <c r="R162" s="4"/>
      <c r="S162" s="4"/>
      <c r="T162" s="4"/>
      <c r="U162" s="4"/>
      <c r="V162" s="4"/>
      <c r="W162" s="4">
        <v>0</v>
      </c>
      <c r="X162" s="4">
        <v>1</v>
      </c>
      <c r="Y162" s="4">
        <v>0</v>
      </c>
      <c r="Z162" s="4"/>
      <c r="AA162" s="4"/>
      <c r="AB162" s="4"/>
    </row>
    <row r="163" spans="1:206" x14ac:dyDescent="0.2">
      <c r="A163" s="4">
        <v>50</v>
      </c>
      <c r="B163" s="4">
        <v>0</v>
      </c>
      <c r="C163" s="4">
        <v>0</v>
      </c>
      <c r="D163" s="4">
        <v>1</v>
      </c>
      <c r="E163" s="4">
        <v>209</v>
      </c>
      <c r="F163" s="4">
        <f>ROUND(Source!W139,O163)</f>
        <v>0</v>
      </c>
      <c r="G163" s="4" t="s">
        <v>115</v>
      </c>
      <c r="H163" s="4" t="s">
        <v>116</v>
      </c>
      <c r="I163" s="4"/>
      <c r="J163" s="4"/>
      <c r="K163" s="4">
        <v>209</v>
      </c>
      <c r="L163" s="4">
        <v>23</v>
      </c>
      <c r="M163" s="4">
        <v>3</v>
      </c>
      <c r="N163" s="4" t="s">
        <v>3</v>
      </c>
      <c r="O163" s="4">
        <v>2</v>
      </c>
      <c r="P163" s="4"/>
      <c r="Q163" s="4"/>
      <c r="R163" s="4"/>
      <c r="S163" s="4"/>
      <c r="T163" s="4"/>
      <c r="U163" s="4"/>
      <c r="V163" s="4"/>
      <c r="W163" s="4">
        <v>0</v>
      </c>
      <c r="X163" s="4">
        <v>1</v>
      </c>
      <c r="Y163" s="4">
        <v>0</v>
      </c>
      <c r="Z163" s="4"/>
      <c r="AA163" s="4"/>
      <c r="AB163" s="4"/>
    </row>
    <row r="164" spans="1:206" x14ac:dyDescent="0.2">
      <c r="A164" s="4">
        <v>50</v>
      </c>
      <c r="B164" s="4">
        <v>0</v>
      </c>
      <c r="C164" s="4">
        <v>0</v>
      </c>
      <c r="D164" s="4">
        <v>1</v>
      </c>
      <c r="E164" s="4">
        <v>233</v>
      </c>
      <c r="F164" s="4">
        <f>ROUND(Source!BD139,O164)</f>
        <v>131.05000000000001</v>
      </c>
      <c r="G164" s="4" t="s">
        <v>117</v>
      </c>
      <c r="H164" s="4" t="s">
        <v>118</v>
      </c>
      <c r="I164" s="4"/>
      <c r="J164" s="4"/>
      <c r="K164" s="4">
        <v>233</v>
      </c>
      <c r="L164" s="4">
        <v>24</v>
      </c>
      <c r="M164" s="4">
        <v>3</v>
      </c>
      <c r="N164" s="4" t="s">
        <v>3</v>
      </c>
      <c r="O164" s="4">
        <v>2</v>
      </c>
      <c r="P164" s="4"/>
      <c r="Q164" s="4"/>
      <c r="R164" s="4"/>
      <c r="S164" s="4"/>
      <c r="T164" s="4"/>
      <c r="U164" s="4"/>
      <c r="V164" s="4"/>
      <c r="W164" s="4">
        <v>131.05000000000001</v>
      </c>
      <c r="X164" s="4">
        <v>1</v>
      </c>
      <c r="Y164" s="4">
        <v>131.05000000000001</v>
      </c>
      <c r="Z164" s="4"/>
      <c r="AA164" s="4"/>
      <c r="AB164" s="4"/>
    </row>
    <row r="165" spans="1:206" x14ac:dyDescent="0.2">
      <c r="A165" s="4">
        <v>50</v>
      </c>
      <c r="B165" s="4">
        <v>0</v>
      </c>
      <c r="C165" s="4">
        <v>0</v>
      </c>
      <c r="D165" s="4">
        <v>1</v>
      </c>
      <c r="E165" s="4">
        <v>210</v>
      </c>
      <c r="F165" s="4">
        <f>ROUND(Source!X139,O165)</f>
        <v>0</v>
      </c>
      <c r="G165" s="4" t="s">
        <v>119</v>
      </c>
      <c r="H165" s="4" t="s">
        <v>120</v>
      </c>
      <c r="I165" s="4"/>
      <c r="J165" s="4"/>
      <c r="K165" s="4">
        <v>210</v>
      </c>
      <c r="L165" s="4">
        <v>25</v>
      </c>
      <c r="M165" s="4">
        <v>3</v>
      </c>
      <c r="N165" s="4" t="s">
        <v>3</v>
      </c>
      <c r="O165" s="4">
        <v>2</v>
      </c>
      <c r="P165" s="4"/>
      <c r="Q165" s="4"/>
      <c r="R165" s="4"/>
      <c r="S165" s="4"/>
      <c r="T165" s="4"/>
      <c r="U165" s="4"/>
      <c r="V165" s="4"/>
      <c r="W165" s="4">
        <v>0</v>
      </c>
      <c r="X165" s="4">
        <v>1</v>
      </c>
      <c r="Y165" s="4">
        <v>0</v>
      </c>
      <c r="Z165" s="4"/>
      <c r="AA165" s="4"/>
      <c r="AB165" s="4"/>
    </row>
    <row r="166" spans="1:206" x14ac:dyDescent="0.2">
      <c r="A166" s="4">
        <v>50</v>
      </c>
      <c r="B166" s="4">
        <v>0</v>
      </c>
      <c r="C166" s="4">
        <v>0</v>
      </c>
      <c r="D166" s="4">
        <v>1</v>
      </c>
      <c r="E166" s="4">
        <v>211</v>
      </c>
      <c r="F166" s="4">
        <f>ROUND(Source!Y139,O166)</f>
        <v>0</v>
      </c>
      <c r="G166" s="4" t="s">
        <v>121</v>
      </c>
      <c r="H166" s="4" t="s">
        <v>122</v>
      </c>
      <c r="I166" s="4"/>
      <c r="J166" s="4"/>
      <c r="K166" s="4">
        <v>211</v>
      </c>
      <c r="L166" s="4">
        <v>26</v>
      </c>
      <c r="M166" s="4">
        <v>3</v>
      </c>
      <c r="N166" s="4" t="s">
        <v>3</v>
      </c>
      <c r="O166" s="4">
        <v>2</v>
      </c>
      <c r="P166" s="4"/>
      <c r="Q166" s="4"/>
      <c r="R166" s="4"/>
      <c r="S166" s="4"/>
      <c r="T166" s="4"/>
      <c r="U166" s="4"/>
      <c r="V166" s="4"/>
      <c r="W166" s="4">
        <v>0</v>
      </c>
      <c r="X166" s="4">
        <v>1</v>
      </c>
      <c r="Y166" s="4">
        <v>0</v>
      </c>
      <c r="Z166" s="4"/>
      <c r="AA166" s="4"/>
      <c r="AB166" s="4"/>
    </row>
    <row r="167" spans="1:206" x14ac:dyDescent="0.2">
      <c r="A167" s="4">
        <v>50</v>
      </c>
      <c r="B167" s="4">
        <v>0</v>
      </c>
      <c r="C167" s="4">
        <v>0</v>
      </c>
      <c r="D167" s="4">
        <v>1</v>
      </c>
      <c r="E167" s="4">
        <v>224</v>
      </c>
      <c r="F167" s="4">
        <f>ROUND(Source!AR139,O167)</f>
        <v>731.02</v>
      </c>
      <c r="G167" s="4" t="s">
        <v>123</v>
      </c>
      <c r="H167" s="4" t="s">
        <v>124</v>
      </c>
      <c r="I167" s="4"/>
      <c r="J167" s="4"/>
      <c r="K167" s="4">
        <v>224</v>
      </c>
      <c r="L167" s="4">
        <v>27</v>
      </c>
      <c r="M167" s="4">
        <v>3</v>
      </c>
      <c r="N167" s="4" t="s">
        <v>3</v>
      </c>
      <c r="O167" s="4">
        <v>2</v>
      </c>
      <c r="P167" s="4"/>
      <c r="Q167" s="4"/>
      <c r="R167" s="4"/>
      <c r="S167" s="4"/>
      <c r="T167" s="4"/>
      <c r="U167" s="4"/>
      <c r="V167" s="4"/>
      <c r="W167" s="4">
        <v>731.02</v>
      </c>
      <c r="X167" s="4">
        <v>1</v>
      </c>
      <c r="Y167" s="4">
        <v>731.02</v>
      </c>
      <c r="Z167" s="4"/>
      <c r="AA167" s="4"/>
      <c r="AB167" s="4"/>
    </row>
    <row r="169" spans="1:206" x14ac:dyDescent="0.2">
      <c r="A169" s="2">
        <v>51</v>
      </c>
      <c r="B169" s="2">
        <f>B20</f>
        <v>1</v>
      </c>
      <c r="C169" s="2">
        <f>A20</f>
        <v>3</v>
      </c>
      <c r="D169" s="2">
        <f>ROW(A20)</f>
        <v>20</v>
      </c>
      <c r="E169" s="2"/>
      <c r="F169" s="2" t="str">
        <f>IF(F20&lt;&gt;"",F20,"")</f>
        <v>Новая локальная смета</v>
      </c>
      <c r="G169" s="2" t="str">
        <f>IF(G20&lt;&gt;"",G20,"")</f>
        <v>Новая локальная смета</v>
      </c>
      <c r="H169" s="2">
        <v>0</v>
      </c>
      <c r="I169" s="2"/>
      <c r="J169" s="2"/>
      <c r="K169" s="2"/>
      <c r="L169" s="2"/>
      <c r="M169" s="2"/>
      <c r="N169" s="2"/>
      <c r="O169" s="2">
        <f t="shared" ref="O169:T169" si="87">ROUND(O34+O101+O139+AB169,2)</f>
        <v>329617.53000000003</v>
      </c>
      <c r="P169" s="2">
        <f t="shared" si="87"/>
        <v>170359.77</v>
      </c>
      <c r="Q169" s="2">
        <f t="shared" si="87"/>
        <v>21598.080000000002</v>
      </c>
      <c r="R169" s="2">
        <f t="shared" si="87"/>
        <v>6931.05</v>
      </c>
      <c r="S169" s="2">
        <f t="shared" si="87"/>
        <v>137659.68</v>
      </c>
      <c r="T169" s="2">
        <f t="shared" si="87"/>
        <v>0</v>
      </c>
      <c r="U169" s="2">
        <f>U34+U101+U139+AH169</f>
        <v>538.75147502000004</v>
      </c>
      <c r="V169" s="2">
        <f>V34+V101+V139+AI169</f>
        <v>18.944853799999997</v>
      </c>
      <c r="W169" s="2">
        <f>ROUND(W34+W101+W139+AJ169,2)</f>
        <v>0</v>
      </c>
      <c r="X169" s="2">
        <f>ROUND(X34+X101+X139+AK169,2)</f>
        <v>146116.26</v>
      </c>
      <c r="Y169" s="2">
        <f>ROUND(Y34+Y101+Y139+AL169,2)</f>
        <v>71995.66</v>
      </c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>
        <f t="shared" ref="AO169:BD169" si="88">ROUND(AO34+AO101+AO139+BX169,2)</f>
        <v>0</v>
      </c>
      <c r="AP169" s="2">
        <f t="shared" si="88"/>
        <v>0</v>
      </c>
      <c r="AQ169" s="2">
        <f t="shared" si="88"/>
        <v>0</v>
      </c>
      <c r="AR169" s="2">
        <f t="shared" si="88"/>
        <v>547860.5</v>
      </c>
      <c r="AS169" s="2">
        <f t="shared" si="88"/>
        <v>547860.5</v>
      </c>
      <c r="AT169" s="2">
        <f t="shared" si="88"/>
        <v>0</v>
      </c>
      <c r="AU169" s="2">
        <f t="shared" si="88"/>
        <v>0</v>
      </c>
      <c r="AV169" s="2">
        <f t="shared" si="88"/>
        <v>170359.77</v>
      </c>
      <c r="AW169" s="2">
        <f t="shared" si="88"/>
        <v>170359.77</v>
      </c>
      <c r="AX169" s="2">
        <f t="shared" si="88"/>
        <v>0</v>
      </c>
      <c r="AY169" s="2">
        <f t="shared" si="88"/>
        <v>170359.77</v>
      </c>
      <c r="AZ169" s="2">
        <f t="shared" si="88"/>
        <v>0</v>
      </c>
      <c r="BA169" s="2">
        <f t="shared" si="88"/>
        <v>0</v>
      </c>
      <c r="BB169" s="2">
        <f t="shared" si="88"/>
        <v>0</v>
      </c>
      <c r="BC169" s="2">
        <f t="shared" si="88"/>
        <v>0</v>
      </c>
      <c r="BD169" s="2">
        <f t="shared" si="88"/>
        <v>131.05000000000001</v>
      </c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>
        <v>0</v>
      </c>
    </row>
    <row r="171" spans="1:206" x14ac:dyDescent="0.2">
      <c r="A171" s="4">
        <v>50</v>
      </c>
      <c r="B171" s="4">
        <v>0</v>
      </c>
      <c r="C171" s="4">
        <v>0</v>
      </c>
      <c r="D171" s="4">
        <v>1</v>
      </c>
      <c r="E171" s="4">
        <v>201</v>
      </c>
      <c r="F171" s="4">
        <f>ROUND(Source!O169,O171)</f>
        <v>329617.53000000003</v>
      </c>
      <c r="G171" s="4" t="s">
        <v>71</v>
      </c>
      <c r="H171" s="4" t="s">
        <v>72</v>
      </c>
      <c r="I171" s="4"/>
      <c r="J171" s="4"/>
      <c r="K171" s="4">
        <v>201</v>
      </c>
      <c r="L171" s="4">
        <v>1</v>
      </c>
      <c r="M171" s="4">
        <v>3</v>
      </c>
      <c r="N171" s="4" t="s">
        <v>3</v>
      </c>
      <c r="O171" s="4">
        <v>2</v>
      </c>
      <c r="P171" s="4"/>
      <c r="Q171" s="4"/>
      <c r="R171" s="4"/>
      <c r="S171" s="4"/>
      <c r="T171" s="4"/>
      <c r="U171" s="4"/>
      <c r="V171" s="4"/>
      <c r="W171" s="4">
        <v>329617.53000000003</v>
      </c>
      <c r="X171" s="4">
        <v>1</v>
      </c>
      <c r="Y171" s="4">
        <v>329617.53000000003</v>
      </c>
      <c r="Z171" s="4"/>
      <c r="AA171" s="4"/>
      <c r="AB171" s="4"/>
    </row>
    <row r="172" spans="1:206" x14ac:dyDescent="0.2">
      <c r="A172" s="4">
        <v>50</v>
      </c>
      <c r="B172" s="4">
        <v>0</v>
      </c>
      <c r="C172" s="4">
        <v>0</v>
      </c>
      <c r="D172" s="4">
        <v>1</v>
      </c>
      <c r="E172" s="4">
        <v>202</v>
      </c>
      <c r="F172" s="4">
        <f>ROUND(Source!P169,O172)</f>
        <v>170359.77</v>
      </c>
      <c r="G172" s="4" t="s">
        <v>73</v>
      </c>
      <c r="H172" s="4" t="s">
        <v>74</v>
      </c>
      <c r="I172" s="4"/>
      <c r="J172" s="4"/>
      <c r="K172" s="4">
        <v>202</v>
      </c>
      <c r="L172" s="4">
        <v>2</v>
      </c>
      <c r="M172" s="4">
        <v>3</v>
      </c>
      <c r="N172" s="4" t="s">
        <v>3</v>
      </c>
      <c r="O172" s="4">
        <v>2</v>
      </c>
      <c r="P172" s="4"/>
      <c r="Q172" s="4"/>
      <c r="R172" s="4"/>
      <c r="S172" s="4"/>
      <c r="T172" s="4"/>
      <c r="U172" s="4"/>
      <c r="V172" s="4"/>
      <c r="W172" s="4">
        <v>170359.77</v>
      </c>
      <c r="X172" s="4">
        <v>1</v>
      </c>
      <c r="Y172" s="4">
        <v>170359.77</v>
      </c>
      <c r="Z172" s="4"/>
      <c r="AA172" s="4"/>
      <c r="AB172" s="4"/>
    </row>
    <row r="173" spans="1:206" x14ac:dyDescent="0.2">
      <c r="A173" s="4">
        <v>50</v>
      </c>
      <c r="B173" s="4">
        <v>0</v>
      </c>
      <c r="C173" s="4">
        <v>0</v>
      </c>
      <c r="D173" s="4">
        <v>1</v>
      </c>
      <c r="E173" s="4">
        <v>222</v>
      </c>
      <c r="F173" s="4">
        <f>ROUND(Source!AO169,O173)</f>
        <v>0</v>
      </c>
      <c r="G173" s="4" t="s">
        <v>75</v>
      </c>
      <c r="H173" s="4" t="s">
        <v>76</v>
      </c>
      <c r="I173" s="4"/>
      <c r="J173" s="4"/>
      <c r="K173" s="4">
        <v>222</v>
      </c>
      <c r="L173" s="4">
        <v>3</v>
      </c>
      <c r="M173" s="4">
        <v>3</v>
      </c>
      <c r="N173" s="4" t="s">
        <v>3</v>
      </c>
      <c r="O173" s="4">
        <v>2</v>
      </c>
      <c r="P173" s="4"/>
      <c r="Q173" s="4"/>
      <c r="R173" s="4"/>
      <c r="S173" s="4"/>
      <c r="T173" s="4"/>
      <c r="U173" s="4"/>
      <c r="V173" s="4"/>
      <c r="W173" s="4">
        <v>0</v>
      </c>
      <c r="X173" s="4">
        <v>1</v>
      </c>
      <c r="Y173" s="4">
        <v>0</v>
      </c>
      <c r="Z173" s="4"/>
      <c r="AA173" s="4"/>
      <c r="AB173" s="4"/>
    </row>
    <row r="174" spans="1:206" x14ac:dyDescent="0.2">
      <c r="A174" s="4">
        <v>50</v>
      </c>
      <c r="B174" s="4">
        <v>0</v>
      </c>
      <c r="C174" s="4">
        <v>0</v>
      </c>
      <c r="D174" s="4">
        <v>1</v>
      </c>
      <c r="E174" s="4">
        <v>225</v>
      </c>
      <c r="F174" s="4">
        <f>ROUND(Source!AV169,O174)</f>
        <v>170359.77</v>
      </c>
      <c r="G174" s="4" t="s">
        <v>77</v>
      </c>
      <c r="H174" s="4" t="s">
        <v>78</v>
      </c>
      <c r="I174" s="4"/>
      <c r="J174" s="4"/>
      <c r="K174" s="4">
        <v>225</v>
      </c>
      <c r="L174" s="4">
        <v>4</v>
      </c>
      <c r="M174" s="4">
        <v>3</v>
      </c>
      <c r="N174" s="4" t="s">
        <v>3</v>
      </c>
      <c r="O174" s="4">
        <v>2</v>
      </c>
      <c r="P174" s="4"/>
      <c r="Q174" s="4"/>
      <c r="R174" s="4"/>
      <c r="S174" s="4"/>
      <c r="T174" s="4"/>
      <c r="U174" s="4"/>
      <c r="V174" s="4"/>
      <c r="W174" s="4">
        <v>170359.77</v>
      </c>
      <c r="X174" s="4">
        <v>1</v>
      </c>
      <c r="Y174" s="4">
        <v>170359.77</v>
      </c>
      <c r="Z174" s="4"/>
      <c r="AA174" s="4"/>
      <c r="AB174" s="4"/>
    </row>
    <row r="175" spans="1:206" x14ac:dyDescent="0.2">
      <c r="A175" s="4">
        <v>50</v>
      </c>
      <c r="B175" s="4">
        <v>0</v>
      </c>
      <c r="C175" s="4">
        <v>0</v>
      </c>
      <c r="D175" s="4">
        <v>1</v>
      </c>
      <c r="E175" s="4">
        <v>226</v>
      </c>
      <c r="F175" s="4">
        <f>ROUND(Source!AW169,O175)</f>
        <v>170359.77</v>
      </c>
      <c r="G175" s="4" t="s">
        <v>79</v>
      </c>
      <c r="H175" s="4" t="s">
        <v>80</v>
      </c>
      <c r="I175" s="4"/>
      <c r="J175" s="4"/>
      <c r="K175" s="4">
        <v>226</v>
      </c>
      <c r="L175" s="4">
        <v>5</v>
      </c>
      <c r="M175" s="4">
        <v>3</v>
      </c>
      <c r="N175" s="4" t="s">
        <v>3</v>
      </c>
      <c r="O175" s="4">
        <v>2</v>
      </c>
      <c r="P175" s="4"/>
      <c r="Q175" s="4"/>
      <c r="R175" s="4"/>
      <c r="S175" s="4"/>
      <c r="T175" s="4"/>
      <c r="U175" s="4"/>
      <c r="V175" s="4"/>
      <c r="W175" s="4">
        <v>170359.77</v>
      </c>
      <c r="X175" s="4">
        <v>1</v>
      </c>
      <c r="Y175" s="4">
        <v>170359.77</v>
      </c>
      <c r="Z175" s="4"/>
      <c r="AA175" s="4"/>
      <c r="AB175" s="4"/>
    </row>
    <row r="176" spans="1:206" x14ac:dyDescent="0.2">
      <c r="A176" s="4">
        <v>50</v>
      </c>
      <c r="B176" s="4">
        <v>0</v>
      </c>
      <c r="C176" s="4">
        <v>0</v>
      </c>
      <c r="D176" s="4">
        <v>1</v>
      </c>
      <c r="E176" s="4">
        <v>227</v>
      </c>
      <c r="F176" s="4">
        <f>ROUND(Source!AX169,O176)</f>
        <v>0</v>
      </c>
      <c r="G176" s="4" t="s">
        <v>81</v>
      </c>
      <c r="H176" s="4" t="s">
        <v>82</v>
      </c>
      <c r="I176" s="4"/>
      <c r="J176" s="4"/>
      <c r="K176" s="4">
        <v>227</v>
      </c>
      <c r="L176" s="4">
        <v>6</v>
      </c>
      <c r="M176" s="4">
        <v>3</v>
      </c>
      <c r="N176" s="4" t="s">
        <v>3</v>
      </c>
      <c r="O176" s="4">
        <v>2</v>
      </c>
      <c r="P176" s="4"/>
      <c r="Q176" s="4"/>
      <c r="R176" s="4"/>
      <c r="S176" s="4"/>
      <c r="T176" s="4"/>
      <c r="U176" s="4"/>
      <c r="V176" s="4"/>
      <c r="W176" s="4">
        <v>0</v>
      </c>
      <c r="X176" s="4">
        <v>1</v>
      </c>
      <c r="Y176" s="4">
        <v>0</v>
      </c>
      <c r="Z176" s="4"/>
      <c r="AA176" s="4"/>
      <c r="AB176" s="4"/>
    </row>
    <row r="177" spans="1:28" x14ac:dyDescent="0.2">
      <c r="A177" s="4">
        <v>50</v>
      </c>
      <c r="B177" s="4">
        <v>0</v>
      </c>
      <c r="C177" s="4">
        <v>0</v>
      </c>
      <c r="D177" s="4">
        <v>1</v>
      </c>
      <c r="E177" s="4">
        <v>228</v>
      </c>
      <c r="F177" s="4">
        <f>ROUND(Source!AY169,O177)</f>
        <v>170359.77</v>
      </c>
      <c r="G177" s="4" t="s">
        <v>83</v>
      </c>
      <c r="H177" s="4" t="s">
        <v>84</v>
      </c>
      <c r="I177" s="4"/>
      <c r="J177" s="4"/>
      <c r="K177" s="4">
        <v>228</v>
      </c>
      <c r="L177" s="4">
        <v>7</v>
      </c>
      <c r="M177" s="4">
        <v>3</v>
      </c>
      <c r="N177" s="4" t="s">
        <v>3</v>
      </c>
      <c r="O177" s="4">
        <v>2</v>
      </c>
      <c r="P177" s="4"/>
      <c r="Q177" s="4"/>
      <c r="R177" s="4"/>
      <c r="S177" s="4"/>
      <c r="T177" s="4"/>
      <c r="U177" s="4"/>
      <c r="V177" s="4"/>
      <c r="W177" s="4">
        <v>170359.77</v>
      </c>
      <c r="X177" s="4">
        <v>1</v>
      </c>
      <c r="Y177" s="4">
        <v>170359.77</v>
      </c>
      <c r="Z177" s="4"/>
      <c r="AA177" s="4"/>
      <c r="AB177" s="4"/>
    </row>
    <row r="178" spans="1:28" x14ac:dyDescent="0.2">
      <c r="A178" s="4">
        <v>50</v>
      </c>
      <c r="B178" s="4">
        <v>0</v>
      </c>
      <c r="C178" s="4">
        <v>0</v>
      </c>
      <c r="D178" s="4">
        <v>1</v>
      </c>
      <c r="E178" s="4">
        <v>216</v>
      </c>
      <c r="F178" s="4">
        <f>ROUND(Source!AP169,O178)</f>
        <v>0</v>
      </c>
      <c r="G178" s="4" t="s">
        <v>85</v>
      </c>
      <c r="H178" s="4" t="s">
        <v>86</v>
      </c>
      <c r="I178" s="4"/>
      <c r="J178" s="4"/>
      <c r="K178" s="4">
        <v>216</v>
      </c>
      <c r="L178" s="4">
        <v>8</v>
      </c>
      <c r="M178" s="4">
        <v>3</v>
      </c>
      <c r="N178" s="4" t="s">
        <v>3</v>
      </c>
      <c r="O178" s="4">
        <v>2</v>
      </c>
      <c r="P178" s="4"/>
      <c r="Q178" s="4"/>
      <c r="R178" s="4"/>
      <c r="S178" s="4"/>
      <c r="T178" s="4"/>
      <c r="U178" s="4"/>
      <c r="V178" s="4"/>
      <c r="W178" s="4">
        <v>0</v>
      </c>
      <c r="X178" s="4">
        <v>1</v>
      </c>
      <c r="Y178" s="4">
        <v>0</v>
      </c>
      <c r="Z178" s="4"/>
      <c r="AA178" s="4"/>
      <c r="AB178" s="4"/>
    </row>
    <row r="179" spans="1:28" x14ac:dyDescent="0.2">
      <c r="A179" s="4">
        <v>50</v>
      </c>
      <c r="B179" s="4">
        <v>0</v>
      </c>
      <c r="C179" s="4">
        <v>0</v>
      </c>
      <c r="D179" s="4">
        <v>1</v>
      </c>
      <c r="E179" s="4">
        <v>223</v>
      </c>
      <c r="F179" s="4">
        <f>ROUND(Source!AQ169,O179)</f>
        <v>0</v>
      </c>
      <c r="G179" s="4" t="s">
        <v>87</v>
      </c>
      <c r="H179" s="4" t="s">
        <v>88</v>
      </c>
      <c r="I179" s="4"/>
      <c r="J179" s="4"/>
      <c r="K179" s="4">
        <v>223</v>
      </c>
      <c r="L179" s="4">
        <v>9</v>
      </c>
      <c r="M179" s="4">
        <v>3</v>
      </c>
      <c r="N179" s="4" t="s">
        <v>3</v>
      </c>
      <c r="O179" s="4">
        <v>2</v>
      </c>
      <c r="P179" s="4"/>
      <c r="Q179" s="4"/>
      <c r="R179" s="4"/>
      <c r="S179" s="4"/>
      <c r="T179" s="4"/>
      <c r="U179" s="4"/>
      <c r="V179" s="4"/>
      <c r="W179" s="4">
        <v>0</v>
      </c>
      <c r="X179" s="4">
        <v>1</v>
      </c>
      <c r="Y179" s="4">
        <v>0</v>
      </c>
      <c r="Z179" s="4"/>
      <c r="AA179" s="4"/>
      <c r="AB179" s="4"/>
    </row>
    <row r="180" spans="1:28" x14ac:dyDescent="0.2">
      <c r="A180" s="4">
        <v>50</v>
      </c>
      <c r="B180" s="4">
        <v>0</v>
      </c>
      <c r="C180" s="4">
        <v>0</v>
      </c>
      <c r="D180" s="4">
        <v>1</v>
      </c>
      <c r="E180" s="4">
        <v>229</v>
      </c>
      <c r="F180" s="4">
        <f>ROUND(Source!AZ169,O180)</f>
        <v>0</v>
      </c>
      <c r="G180" s="4" t="s">
        <v>89</v>
      </c>
      <c r="H180" s="4" t="s">
        <v>90</v>
      </c>
      <c r="I180" s="4"/>
      <c r="J180" s="4"/>
      <c r="K180" s="4">
        <v>229</v>
      </c>
      <c r="L180" s="4">
        <v>10</v>
      </c>
      <c r="M180" s="4">
        <v>3</v>
      </c>
      <c r="N180" s="4" t="s">
        <v>3</v>
      </c>
      <c r="O180" s="4">
        <v>2</v>
      </c>
      <c r="P180" s="4"/>
      <c r="Q180" s="4"/>
      <c r="R180" s="4"/>
      <c r="S180" s="4"/>
      <c r="T180" s="4"/>
      <c r="U180" s="4"/>
      <c r="V180" s="4"/>
      <c r="W180" s="4">
        <v>0</v>
      </c>
      <c r="X180" s="4">
        <v>1</v>
      </c>
      <c r="Y180" s="4">
        <v>0</v>
      </c>
      <c r="Z180" s="4"/>
      <c r="AA180" s="4"/>
      <c r="AB180" s="4"/>
    </row>
    <row r="181" spans="1:28" x14ac:dyDescent="0.2">
      <c r="A181" s="4">
        <v>50</v>
      </c>
      <c r="B181" s="4">
        <v>0</v>
      </c>
      <c r="C181" s="4">
        <v>0</v>
      </c>
      <c r="D181" s="4">
        <v>1</v>
      </c>
      <c r="E181" s="4">
        <v>203</v>
      </c>
      <c r="F181" s="4">
        <f>ROUND(Source!Q169,O181)</f>
        <v>21598.080000000002</v>
      </c>
      <c r="G181" s="4" t="s">
        <v>91</v>
      </c>
      <c r="H181" s="4" t="s">
        <v>92</v>
      </c>
      <c r="I181" s="4"/>
      <c r="J181" s="4"/>
      <c r="K181" s="4">
        <v>203</v>
      </c>
      <c r="L181" s="4">
        <v>11</v>
      </c>
      <c r="M181" s="4">
        <v>3</v>
      </c>
      <c r="N181" s="4" t="s">
        <v>3</v>
      </c>
      <c r="O181" s="4">
        <v>2</v>
      </c>
      <c r="P181" s="4"/>
      <c r="Q181" s="4"/>
      <c r="R181" s="4"/>
      <c r="S181" s="4"/>
      <c r="T181" s="4"/>
      <c r="U181" s="4"/>
      <c r="V181" s="4"/>
      <c r="W181" s="4">
        <v>21598.080000000002</v>
      </c>
      <c r="X181" s="4">
        <v>1</v>
      </c>
      <c r="Y181" s="4">
        <v>21598.080000000002</v>
      </c>
      <c r="Z181" s="4"/>
      <c r="AA181" s="4"/>
      <c r="AB181" s="4"/>
    </row>
    <row r="182" spans="1:28" x14ac:dyDescent="0.2">
      <c r="A182" s="4">
        <v>50</v>
      </c>
      <c r="B182" s="4">
        <v>0</v>
      </c>
      <c r="C182" s="4">
        <v>0</v>
      </c>
      <c r="D182" s="4">
        <v>1</v>
      </c>
      <c r="E182" s="4">
        <v>231</v>
      </c>
      <c r="F182" s="4">
        <f>ROUND(Source!BB169,O182)</f>
        <v>0</v>
      </c>
      <c r="G182" s="4" t="s">
        <v>93</v>
      </c>
      <c r="H182" s="4" t="s">
        <v>94</v>
      </c>
      <c r="I182" s="4"/>
      <c r="J182" s="4"/>
      <c r="K182" s="4">
        <v>231</v>
      </c>
      <c r="L182" s="4">
        <v>12</v>
      </c>
      <c r="M182" s="4">
        <v>3</v>
      </c>
      <c r="N182" s="4" t="s">
        <v>3</v>
      </c>
      <c r="O182" s="4">
        <v>2</v>
      </c>
      <c r="P182" s="4"/>
      <c r="Q182" s="4"/>
      <c r="R182" s="4"/>
      <c r="S182" s="4"/>
      <c r="T182" s="4"/>
      <c r="U182" s="4"/>
      <c r="V182" s="4"/>
      <c r="W182" s="4">
        <v>0</v>
      </c>
      <c r="X182" s="4">
        <v>1</v>
      </c>
      <c r="Y182" s="4">
        <v>0</v>
      </c>
      <c r="Z182" s="4"/>
      <c r="AA182" s="4"/>
      <c r="AB182" s="4"/>
    </row>
    <row r="183" spans="1:28" x14ac:dyDescent="0.2">
      <c r="A183" s="4">
        <v>50</v>
      </c>
      <c r="B183" s="4">
        <v>0</v>
      </c>
      <c r="C183" s="4">
        <v>0</v>
      </c>
      <c r="D183" s="4">
        <v>1</v>
      </c>
      <c r="E183" s="4">
        <v>204</v>
      </c>
      <c r="F183" s="4">
        <f>ROUND(Source!R169,O183)</f>
        <v>6931.05</v>
      </c>
      <c r="G183" s="4" t="s">
        <v>95</v>
      </c>
      <c r="H183" s="4" t="s">
        <v>96</v>
      </c>
      <c r="I183" s="4"/>
      <c r="J183" s="4"/>
      <c r="K183" s="4">
        <v>204</v>
      </c>
      <c r="L183" s="4">
        <v>13</v>
      </c>
      <c r="M183" s="4">
        <v>3</v>
      </c>
      <c r="N183" s="4" t="s">
        <v>3</v>
      </c>
      <c r="O183" s="4">
        <v>2</v>
      </c>
      <c r="P183" s="4"/>
      <c r="Q183" s="4"/>
      <c r="R183" s="4"/>
      <c r="S183" s="4"/>
      <c r="T183" s="4"/>
      <c r="U183" s="4"/>
      <c r="V183" s="4"/>
      <c r="W183" s="4">
        <v>6931.05</v>
      </c>
      <c r="X183" s="4">
        <v>1</v>
      </c>
      <c r="Y183" s="4">
        <v>6931.05</v>
      </c>
      <c r="Z183" s="4"/>
      <c r="AA183" s="4"/>
      <c r="AB183" s="4"/>
    </row>
    <row r="184" spans="1:28" x14ac:dyDescent="0.2">
      <c r="A184" s="4">
        <v>50</v>
      </c>
      <c r="B184" s="4">
        <v>0</v>
      </c>
      <c r="C184" s="4">
        <v>0</v>
      </c>
      <c r="D184" s="4">
        <v>1</v>
      </c>
      <c r="E184" s="4">
        <v>205</v>
      </c>
      <c r="F184" s="4">
        <f>ROUND(Source!S169,O184)</f>
        <v>137659.68</v>
      </c>
      <c r="G184" s="4" t="s">
        <v>97</v>
      </c>
      <c r="H184" s="4" t="s">
        <v>98</v>
      </c>
      <c r="I184" s="4"/>
      <c r="J184" s="4"/>
      <c r="K184" s="4">
        <v>205</v>
      </c>
      <c r="L184" s="4">
        <v>14</v>
      </c>
      <c r="M184" s="4">
        <v>3</v>
      </c>
      <c r="N184" s="4" t="s">
        <v>3</v>
      </c>
      <c r="O184" s="4">
        <v>2</v>
      </c>
      <c r="P184" s="4"/>
      <c r="Q184" s="4"/>
      <c r="R184" s="4"/>
      <c r="S184" s="4"/>
      <c r="T184" s="4"/>
      <c r="U184" s="4"/>
      <c r="V184" s="4"/>
      <c r="W184" s="4">
        <v>137659.68</v>
      </c>
      <c r="X184" s="4">
        <v>1</v>
      </c>
      <c r="Y184" s="4">
        <v>137659.68</v>
      </c>
      <c r="Z184" s="4"/>
      <c r="AA184" s="4"/>
      <c r="AB184" s="4"/>
    </row>
    <row r="185" spans="1:28" x14ac:dyDescent="0.2">
      <c r="A185" s="4">
        <v>50</v>
      </c>
      <c r="B185" s="4">
        <v>0</v>
      </c>
      <c r="C185" s="4">
        <v>0</v>
      </c>
      <c r="D185" s="4">
        <v>1</v>
      </c>
      <c r="E185" s="4">
        <v>232</v>
      </c>
      <c r="F185" s="4">
        <f>ROUND(Source!BC169,O185)</f>
        <v>0</v>
      </c>
      <c r="G185" s="4" t="s">
        <v>99</v>
      </c>
      <c r="H185" s="4" t="s">
        <v>100</v>
      </c>
      <c r="I185" s="4"/>
      <c r="J185" s="4"/>
      <c r="K185" s="4">
        <v>232</v>
      </c>
      <c r="L185" s="4">
        <v>15</v>
      </c>
      <c r="M185" s="4">
        <v>3</v>
      </c>
      <c r="N185" s="4" t="s">
        <v>3</v>
      </c>
      <c r="O185" s="4">
        <v>2</v>
      </c>
      <c r="P185" s="4"/>
      <c r="Q185" s="4"/>
      <c r="R185" s="4"/>
      <c r="S185" s="4"/>
      <c r="T185" s="4"/>
      <c r="U185" s="4"/>
      <c r="V185" s="4"/>
      <c r="W185" s="4">
        <v>0</v>
      </c>
      <c r="X185" s="4">
        <v>1</v>
      </c>
      <c r="Y185" s="4">
        <v>0</v>
      </c>
      <c r="Z185" s="4"/>
      <c r="AA185" s="4"/>
      <c r="AB185" s="4"/>
    </row>
    <row r="186" spans="1:28" x14ac:dyDescent="0.2">
      <c r="A186" s="4">
        <v>50</v>
      </c>
      <c r="B186" s="4">
        <v>0</v>
      </c>
      <c r="C186" s="4">
        <v>0</v>
      </c>
      <c r="D186" s="4">
        <v>1</v>
      </c>
      <c r="E186" s="4">
        <v>214</v>
      </c>
      <c r="F186" s="4">
        <f>ROUND(Source!AS169,O186)</f>
        <v>547860.5</v>
      </c>
      <c r="G186" s="4" t="s">
        <v>101</v>
      </c>
      <c r="H186" s="4" t="s">
        <v>102</v>
      </c>
      <c r="I186" s="4"/>
      <c r="J186" s="4"/>
      <c r="K186" s="4">
        <v>214</v>
      </c>
      <c r="L186" s="4">
        <v>16</v>
      </c>
      <c r="M186" s="4">
        <v>3</v>
      </c>
      <c r="N186" s="4" t="s">
        <v>3</v>
      </c>
      <c r="O186" s="4">
        <v>2</v>
      </c>
      <c r="P186" s="4"/>
      <c r="Q186" s="4"/>
      <c r="R186" s="4"/>
      <c r="S186" s="4"/>
      <c r="T186" s="4"/>
      <c r="U186" s="4"/>
      <c r="V186" s="4"/>
      <c r="W186" s="4">
        <v>547860.5</v>
      </c>
      <c r="X186" s="4">
        <v>1</v>
      </c>
      <c r="Y186" s="4">
        <v>547860.5</v>
      </c>
      <c r="Z186" s="4"/>
      <c r="AA186" s="4"/>
      <c r="AB186" s="4"/>
    </row>
    <row r="187" spans="1:28" x14ac:dyDescent="0.2">
      <c r="A187" s="4">
        <v>50</v>
      </c>
      <c r="B187" s="4">
        <v>0</v>
      </c>
      <c r="C187" s="4">
        <v>0</v>
      </c>
      <c r="D187" s="4">
        <v>1</v>
      </c>
      <c r="E187" s="4">
        <v>215</v>
      </c>
      <c r="F187" s="4">
        <f>ROUND(Source!AT169,O187)</f>
        <v>0</v>
      </c>
      <c r="G187" s="4" t="s">
        <v>103</v>
      </c>
      <c r="H187" s="4" t="s">
        <v>104</v>
      </c>
      <c r="I187" s="4"/>
      <c r="J187" s="4"/>
      <c r="K187" s="4">
        <v>215</v>
      </c>
      <c r="L187" s="4">
        <v>17</v>
      </c>
      <c r="M187" s="4">
        <v>3</v>
      </c>
      <c r="N187" s="4" t="s">
        <v>3</v>
      </c>
      <c r="O187" s="4">
        <v>2</v>
      </c>
      <c r="P187" s="4"/>
      <c r="Q187" s="4"/>
      <c r="R187" s="4"/>
      <c r="S187" s="4"/>
      <c r="T187" s="4"/>
      <c r="U187" s="4"/>
      <c r="V187" s="4"/>
      <c r="W187" s="4">
        <v>0</v>
      </c>
      <c r="X187" s="4">
        <v>1</v>
      </c>
      <c r="Y187" s="4">
        <v>0</v>
      </c>
      <c r="Z187" s="4"/>
      <c r="AA187" s="4"/>
      <c r="AB187" s="4"/>
    </row>
    <row r="188" spans="1:28" x14ac:dyDescent="0.2">
      <c r="A188" s="4">
        <v>50</v>
      </c>
      <c r="B188" s="4">
        <v>0</v>
      </c>
      <c r="C188" s="4">
        <v>0</v>
      </c>
      <c r="D188" s="4">
        <v>1</v>
      </c>
      <c r="E188" s="4">
        <v>217</v>
      </c>
      <c r="F188" s="4">
        <f>ROUND(Source!AU169,O188)</f>
        <v>0</v>
      </c>
      <c r="G188" s="4" t="s">
        <v>105</v>
      </c>
      <c r="H188" s="4" t="s">
        <v>106</v>
      </c>
      <c r="I188" s="4"/>
      <c r="J188" s="4"/>
      <c r="K188" s="4">
        <v>217</v>
      </c>
      <c r="L188" s="4">
        <v>18</v>
      </c>
      <c r="M188" s="4">
        <v>3</v>
      </c>
      <c r="N188" s="4" t="s">
        <v>3</v>
      </c>
      <c r="O188" s="4">
        <v>2</v>
      </c>
      <c r="P188" s="4"/>
      <c r="Q188" s="4"/>
      <c r="R188" s="4"/>
      <c r="S188" s="4"/>
      <c r="T188" s="4"/>
      <c r="U188" s="4"/>
      <c r="V188" s="4"/>
      <c r="W188" s="4">
        <v>0</v>
      </c>
      <c r="X188" s="4">
        <v>1</v>
      </c>
      <c r="Y188" s="4">
        <v>0</v>
      </c>
      <c r="Z188" s="4"/>
      <c r="AA188" s="4"/>
      <c r="AB188" s="4"/>
    </row>
    <row r="189" spans="1:28" x14ac:dyDescent="0.2">
      <c r="A189" s="4">
        <v>50</v>
      </c>
      <c r="B189" s="4">
        <v>0</v>
      </c>
      <c r="C189" s="4">
        <v>0</v>
      </c>
      <c r="D189" s="4">
        <v>1</v>
      </c>
      <c r="E189" s="4">
        <v>230</v>
      </c>
      <c r="F189" s="4">
        <f>ROUND(Source!BA169,O189)</f>
        <v>0</v>
      </c>
      <c r="G189" s="4" t="s">
        <v>107</v>
      </c>
      <c r="H189" s="4" t="s">
        <v>108</v>
      </c>
      <c r="I189" s="4"/>
      <c r="J189" s="4"/>
      <c r="K189" s="4">
        <v>230</v>
      </c>
      <c r="L189" s="4">
        <v>19</v>
      </c>
      <c r="M189" s="4">
        <v>3</v>
      </c>
      <c r="N189" s="4" t="s">
        <v>3</v>
      </c>
      <c r="O189" s="4">
        <v>2</v>
      </c>
      <c r="P189" s="4"/>
      <c r="Q189" s="4"/>
      <c r="R189" s="4"/>
      <c r="S189" s="4"/>
      <c r="T189" s="4"/>
      <c r="U189" s="4"/>
      <c r="V189" s="4"/>
      <c r="W189" s="4">
        <v>0</v>
      </c>
      <c r="X189" s="4">
        <v>1</v>
      </c>
      <c r="Y189" s="4">
        <v>0</v>
      </c>
      <c r="Z189" s="4"/>
      <c r="AA189" s="4"/>
      <c r="AB189" s="4"/>
    </row>
    <row r="190" spans="1:28" x14ac:dyDescent="0.2">
      <c r="A190" s="4">
        <v>50</v>
      </c>
      <c r="B190" s="4">
        <v>0</v>
      </c>
      <c r="C190" s="4">
        <v>0</v>
      </c>
      <c r="D190" s="4">
        <v>1</v>
      </c>
      <c r="E190" s="4">
        <v>206</v>
      </c>
      <c r="F190" s="4">
        <f>ROUND(Source!T169,O190)</f>
        <v>0</v>
      </c>
      <c r="G190" s="4" t="s">
        <v>109</v>
      </c>
      <c r="H190" s="4" t="s">
        <v>110</v>
      </c>
      <c r="I190" s="4"/>
      <c r="J190" s="4"/>
      <c r="K190" s="4">
        <v>206</v>
      </c>
      <c r="L190" s="4">
        <v>20</v>
      </c>
      <c r="M190" s="4">
        <v>3</v>
      </c>
      <c r="N190" s="4" t="s">
        <v>3</v>
      </c>
      <c r="O190" s="4">
        <v>2</v>
      </c>
      <c r="P190" s="4"/>
      <c r="Q190" s="4"/>
      <c r="R190" s="4"/>
      <c r="S190" s="4"/>
      <c r="T190" s="4"/>
      <c r="U190" s="4"/>
      <c r="V190" s="4"/>
      <c r="W190" s="4">
        <v>0</v>
      </c>
      <c r="X190" s="4">
        <v>1</v>
      </c>
      <c r="Y190" s="4">
        <v>0</v>
      </c>
      <c r="Z190" s="4"/>
      <c r="AA190" s="4"/>
      <c r="AB190" s="4"/>
    </row>
    <row r="191" spans="1:28" x14ac:dyDescent="0.2">
      <c r="A191" s="4">
        <v>50</v>
      </c>
      <c r="B191" s="4">
        <v>0</v>
      </c>
      <c r="C191" s="4">
        <v>0</v>
      </c>
      <c r="D191" s="4">
        <v>1</v>
      </c>
      <c r="E191" s="4">
        <v>207</v>
      </c>
      <c r="F191" s="4">
        <f>Source!U169</f>
        <v>538.75147502000004</v>
      </c>
      <c r="G191" s="4" t="s">
        <v>111</v>
      </c>
      <c r="H191" s="4" t="s">
        <v>112</v>
      </c>
      <c r="I191" s="4"/>
      <c r="J191" s="4"/>
      <c r="K191" s="4">
        <v>207</v>
      </c>
      <c r="L191" s="4">
        <v>21</v>
      </c>
      <c r="M191" s="4">
        <v>3</v>
      </c>
      <c r="N191" s="4" t="s">
        <v>3</v>
      </c>
      <c r="O191" s="4">
        <v>-1</v>
      </c>
      <c r="P191" s="4"/>
      <c r="Q191" s="4"/>
      <c r="R191" s="4"/>
      <c r="S191" s="4"/>
      <c r="T191" s="4"/>
      <c r="U191" s="4"/>
      <c r="V191" s="4"/>
      <c r="W191" s="4">
        <v>538.75147502000004</v>
      </c>
      <c r="X191" s="4">
        <v>1</v>
      </c>
      <c r="Y191" s="4">
        <v>538.75147502000004</v>
      </c>
      <c r="Z191" s="4"/>
      <c r="AA191" s="4"/>
      <c r="AB191" s="4"/>
    </row>
    <row r="192" spans="1:28" x14ac:dyDescent="0.2">
      <c r="A192" s="4">
        <v>50</v>
      </c>
      <c r="B192" s="4">
        <v>0</v>
      </c>
      <c r="C192" s="4">
        <v>0</v>
      </c>
      <c r="D192" s="4">
        <v>1</v>
      </c>
      <c r="E192" s="4">
        <v>208</v>
      </c>
      <c r="F192" s="4">
        <f>Source!V169</f>
        <v>18.944853799999997</v>
      </c>
      <c r="G192" s="4" t="s">
        <v>113</v>
      </c>
      <c r="H192" s="4" t="s">
        <v>114</v>
      </c>
      <c r="I192" s="4"/>
      <c r="J192" s="4"/>
      <c r="K192" s="4">
        <v>208</v>
      </c>
      <c r="L192" s="4">
        <v>22</v>
      </c>
      <c r="M192" s="4">
        <v>3</v>
      </c>
      <c r="N192" s="4" t="s">
        <v>3</v>
      </c>
      <c r="O192" s="4">
        <v>-1</v>
      </c>
      <c r="P192" s="4"/>
      <c r="Q192" s="4"/>
      <c r="R192" s="4"/>
      <c r="S192" s="4"/>
      <c r="T192" s="4"/>
      <c r="U192" s="4"/>
      <c r="V192" s="4"/>
      <c r="W192" s="4">
        <v>18.944853799999997</v>
      </c>
      <c r="X192" s="4">
        <v>1</v>
      </c>
      <c r="Y192" s="4">
        <v>18.944853799999997</v>
      </c>
      <c r="Z192" s="4"/>
      <c r="AA192" s="4"/>
      <c r="AB192" s="4"/>
    </row>
    <row r="193" spans="1:206" x14ac:dyDescent="0.2">
      <c r="A193" s="4">
        <v>50</v>
      </c>
      <c r="B193" s="4">
        <v>0</v>
      </c>
      <c r="C193" s="4">
        <v>0</v>
      </c>
      <c r="D193" s="4">
        <v>1</v>
      </c>
      <c r="E193" s="4">
        <v>209</v>
      </c>
      <c r="F193" s="4">
        <f>ROUND(Source!W169,O193)</f>
        <v>0</v>
      </c>
      <c r="G193" s="4" t="s">
        <v>115</v>
      </c>
      <c r="H193" s="4" t="s">
        <v>116</v>
      </c>
      <c r="I193" s="4"/>
      <c r="J193" s="4"/>
      <c r="K193" s="4">
        <v>209</v>
      </c>
      <c r="L193" s="4">
        <v>23</v>
      </c>
      <c r="M193" s="4">
        <v>3</v>
      </c>
      <c r="N193" s="4" t="s">
        <v>3</v>
      </c>
      <c r="O193" s="4">
        <v>2</v>
      </c>
      <c r="P193" s="4"/>
      <c r="Q193" s="4"/>
      <c r="R193" s="4"/>
      <c r="S193" s="4"/>
      <c r="T193" s="4"/>
      <c r="U193" s="4"/>
      <c r="V193" s="4"/>
      <c r="W193" s="4">
        <v>0</v>
      </c>
      <c r="X193" s="4">
        <v>1</v>
      </c>
      <c r="Y193" s="4">
        <v>0</v>
      </c>
      <c r="Z193" s="4"/>
      <c r="AA193" s="4"/>
      <c r="AB193" s="4"/>
    </row>
    <row r="194" spans="1:206" x14ac:dyDescent="0.2">
      <c r="A194" s="4">
        <v>50</v>
      </c>
      <c r="B194" s="4">
        <v>0</v>
      </c>
      <c r="C194" s="4">
        <v>0</v>
      </c>
      <c r="D194" s="4">
        <v>1</v>
      </c>
      <c r="E194" s="4">
        <v>233</v>
      </c>
      <c r="F194" s="4">
        <f>ROUND(Source!BD169,O194)</f>
        <v>131.05000000000001</v>
      </c>
      <c r="G194" s="4" t="s">
        <v>117</v>
      </c>
      <c r="H194" s="4" t="s">
        <v>118</v>
      </c>
      <c r="I194" s="4"/>
      <c r="J194" s="4"/>
      <c r="K194" s="4">
        <v>233</v>
      </c>
      <c r="L194" s="4">
        <v>24</v>
      </c>
      <c r="M194" s="4">
        <v>3</v>
      </c>
      <c r="N194" s="4" t="s">
        <v>3</v>
      </c>
      <c r="O194" s="4">
        <v>2</v>
      </c>
      <c r="P194" s="4"/>
      <c r="Q194" s="4"/>
      <c r="R194" s="4"/>
      <c r="S194" s="4"/>
      <c r="T194" s="4"/>
      <c r="U194" s="4"/>
      <c r="V194" s="4"/>
      <c r="W194" s="4">
        <v>131.05000000000001</v>
      </c>
      <c r="X194" s="4">
        <v>1</v>
      </c>
      <c r="Y194" s="4">
        <v>131.05000000000001</v>
      </c>
      <c r="Z194" s="4"/>
      <c r="AA194" s="4"/>
      <c r="AB194" s="4"/>
    </row>
    <row r="195" spans="1:206" x14ac:dyDescent="0.2">
      <c r="A195" s="4">
        <v>50</v>
      </c>
      <c r="B195" s="4">
        <v>0</v>
      </c>
      <c r="C195" s="4">
        <v>0</v>
      </c>
      <c r="D195" s="4">
        <v>1</v>
      </c>
      <c r="E195" s="4">
        <v>210</v>
      </c>
      <c r="F195" s="4">
        <f>ROUND(Source!X169,O195)</f>
        <v>146116.26</v>
      </c>
      <c r="G195" s="4" t="s">
        <v>119</v>
      </c>
      <c r="H195" s="4" t="s">
        <v>120</v>
      </c>
      <c r="I195" s="4"/>
      <c r="J195" s="4"/>
      <c r="K195" s="4">
        <v>210</v>
      </c>
      <c r="L195" s="4">
        <v>25</v>
      </c>
      <c r="M195" s="4">
        <v>3</v>
      </c>
      <c r="N195" s="4" t="s">
        <v>3</v>
      </c>
      <c r="O195" s="4">
        <v>2</v>
      </c>
      <c r="P195" s="4"/>
      <c r="Q195" s="4"/>
      <c r="R195" s="4"/>
      <c r="S195" s="4"/>
      <c r="T195" s="4"/>
      <c r="U195" s="4"/>
      <c r="V195" s="4"/>
      <c r="W195" s="4">
        <v>146116.26</v>
      </c>
      <c r="X195" s="4">
        <v>1</v>
      </c>
      <c r="Y195" s="4">
        <v>146116.26</v>
      </c>
      <c r="Z195" s="4"/>
      <c r="AA195" s="4"/>
      <c r="AB195" s="4"/>
    </row>
    <row r="196" spans="1:206" x14ac:dyDescent="0.2">
      <c r="A196" s="4">
        <v>50</v>
      </c>
      <c r="B196" s="4">
        <v>0</v>
      </c>
      <c r="C196" s="4">
        <v>0</v>
      </c>
      <c r="D196" s="4">
        <v>1</v>
      </c>
      <c r="E196" s="4">
        <v>211</v>
      </c>
      <c r="F196" s="4">
        <f>ROUND(Source!Y169,O196)</f>
        <v>71995.66</v>
      </c>
      <c r="G196" s="4" t="s">
        <v>121</v>
      </c>
      <c r="H196" s="4" t="s">
        <v>122</v>
      </c>
      <c r="I196" s="4"/>
      <c r="J196" s="4"/>
      <c r="K196" s="4">
        <v>211</v>
      </c>
      <c r="L196" s="4">
        <v>26</v>
      </c>
      <c r="M196" s="4">
        <v>3</v>
      </c>
      <c r="N196" s="4" t="s">
        <v>3</v>
      </c>
      <c r="O196" s="4">
        <v>2</v>
      </c>
      <c r="P196" s="4"/>
      <c r="Q196" s="4"/>
      <c r="R196" s="4"/>
      <c r="S196" s="4"/>
      <c r="T196" s="4"/>
      <c r="U196" s="4"/>
      <c r="V196" s="4"/>
      <c r="W196" s="4">
        <v>71995.66</v>
      </c>
      <c r="X196" s="4">
        <v>1</v>
      </c>
      <c r="Y196" s="4">
        <v>71995.66</v>
      </c>
      <c r="Z196" s="4"/>
      <c r="AA196" s="4"/>
      <c r="AB196" s="4"/>
    </row>
    <row r="197" spans="1:206" x14ac:dyDescent="0.2">
      <c r="A197" s="4">
        <v>50</v>
      </c>
      <c r="B197" s="4">
        <v>0</v>
      </c>
      <c r="C197" s="4">
        <v>0</v>
      </c>
      <c r="D197" s="4">
        <v>1</v>
      </c>
      <c r="E197" s="4">
        <v>224</v>
      </c>
      <c r="F197" s="4">
        <f>ROUND(Source!AR169,O197)</f>
        <v>547860.5</v>
      </c>
      <c r="G197" s="4" t="s">
        <v>123</v>
      </c>
      <c r="H197" s="4" t="s">
        <v>124</v>
      </c>
      <c r="I197" s="4"/>
      <c r="J197" s="4"/>
      <c r="K197" s="4">
        <v>224</v>
      </c>
      <c r="L197" s="4">
        <v>27</v>
      </c>
      <c r="M197" s="4">
        <v>3</v>
      </c>
      <c r="N197" s="4" t="s">
        <v>3</v>
      </c>
      <c r="O197" s="4">
        <v>2</v>
      </c>
      <c r="P197" s="4"/>
      <c r="Q197" s="4"/>
      <c r="R197" s="4"/>
      <c r="S197" s="4"/>
      <c r="T197" s="4"/>
      <c r="U197" s="4"/>
      <c r="V197" s="4"/>
      <c r="W197" s="4">
        <v>547860.5</v>
      </c>
      <c r="X197" s="4">
        <v>1</v>
      </c>
      <c r="Y197" s="4">
        <v>547860.5</v>
      </c>
      <c r="Z197" s="4"/>
      <c r="AA197" s="4"/>
      <c r="AB197" s="4"/>
    </row>
    <row r="199" spans="1:206" x14ac:dyDescent="0.2">
      <c r="A199" s="2">
        <v>51</v>
      </c>
      <c r="B199" s="2">
        <f>B12</f>
        <v>261</v>
      </c>
      <c r="C199" s="2">
        <f>A12</f>
        <v>1</v>
      </c>
      <c r="D199" s="2">
        <f>ROW(A12)</f>
        <v>12</v>
      </c>
      <c r="E199" s="2"/>
      <c r="F199" s="2" t="str">
        <f>IF(F12&lt;&gt;"",F12,"")</f>
        <v>1</v>
      </c>
      <c r="G199" s="2" t="str">
        <f>IF(G12&lt;&gt;"",G12,"")</f>
        <v>Центральный вход заводоуправления. Инв. №ОС-19003</v>
      </c>
      <c r="H199" s="2">
        <v>0</v>
      </c>
      <c r="I199" s="2"/>
      <c r="J199" s="2"/>
      <c r="K199" s="2"/>
      <c r="L199" s="2"/>
      <c r="M199" s="2"/>
      <c r="N199" s="2"/>
      <c r="O199" s="2">
        <f t="shared" ref="O199:T199" si="89">ROUND(O169,2)</f>
        <v>329617.53000000003</v>
      </c>
      <c r="P199" s="2">
        <f t="shared" si="89"/>
        <v>170359.77</v>
      </c>
      <c r="Q199" s="2">
        <f t="shared" si="89"/>
        <v>21598.080000000002</v>
      </c>
      <c r="R199" s="2">
        <f t="shared" si="89"/>
        <v>6931.05</v>
      </c>
      <c r="S199" s="2">
        <f t="shared" si="89"/>
        <v>137659.68</v>
      </c>
      <c r="T199" s="2">
        <f t="shared" si="89"/>
        <v>0</v>
      </c>
      <c r="U199" s="2">
        <f>U169</f>
        <v>538.75147502000004</v>
      </c>
      <c r="V199" s="2">
        <f>V169</f>
        <v>18.944853799999997</v>
      </c>
      <c r="W199" s="2">
        <f>ROUND(W169,2)</f>
        <v>0</v>
      </c>
      <c r="X199" s="2">
        <f>ROUND(X169,2)</f>
        <v>146116.26</v>
      </c>
      <c r="Y199" s="2">
        <f>ROUND(Y169,2)</f>
        <v>71995.66</v>
      </c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>
        <f t="shared" ref="AO199:BD199" si="90">ROUND(AO169,2)</f>
        <v>0</v>
      </c>
      <c r="AP199" s="2">
        <f t="shared" si="90"/>
        <v>0</v>
      </c>
      <c r="AQ199" s="2">
        <f t="shared" si="90"/>
        <v>0</v>
      </c>
      <c r="AR199" s="2">
        <f t="shared" si="90"/>
        <v>547860.5</v>
      </c>
      <c r="AS199" s="2">
        <f t="shared" si="90"/>
        <v>547860.5</v>
      </c>
      <c r="AT199" s="2">
        <f t="shared" si="90"/>
        <v>0</v>
      </c>
      <c r="AU199" s="2">
        <f t="shared" si="90"/>
        <v>0</v>
      </c>
      <c r="AV199" s="2">
        <f t="shared" si="90"/>
        <v>170359.77</v>
      </c>
      <c r="AW199" s="2">
        <f t="shared" si="90"/>
        <v>170359.77</v>
      </c>
      <c r="AX199" s="2">
        <f t="shared" si="90"/>
        <v>0</v>
      </c>
      <c r="AY199" s="2">
        <f t="shared" si="90"/>
        <v>170359.77</v>
      </c>
      <c r="AZ199" s="2">
        <f t="shared" si="90"/>
        <v>0</v>
      </c>
      <c r="BA199" s="2">
        <f t="shared" si="90"/>
        <v>0</v>
      </c>
      <c r="BB199" s="2">
        <f t="shared" si="90"/>
        <v>0</v>
      </c>
      <c r="BC199" s="2">
        <f t="shared" si="90"/>
        <v>0</v>
      </c>
      <c r="BD199" s="2">
        <f t="shared" si="90"/>
        <v>131.05000000000001</v>
      </c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>
        <v>0</v>
      </c>
    </row>
    <row r="201" spans="1:206" x14ac:dyDescent="0.2">
      <c r="A201" s="4">
        <v>50</v>
      </c>
      <c r="B201" s="4">
        <v>1</v>
      </c>
      <c r="C201" s="4">
        <v>0</v>
      </c>
      <c r="D201" s="4">
        <v>1</v>
      </c>
      <c r="E201" s="4">
        <v>201</v>
      </c>
      <c r="F201" s="4">
        <f>ROUND(Source!O199,O201)</f>
        <v>329617.53000000003</v>
      </c>
      <c r="G201" s="4" t="s">
        <v>71</v>
      </c>
      <c r="H201" s="4" t="s">
        <v>72</v>
      </c>
      <c r="I201" s="4"/>
      <c r="J201" s="4"/>
      <c r="K201" s="4">
        <v>201</v>
      </c>
      <c r="L201" s="4">
        <v>1</v>
      </c>
      <c r="M201" s="4">
        <v>1</v>
      </c>
      <c r="N201" s="4" t="s">
        <v>3</v>
      </c>
      <c r="O201" s="4">
        <v>2</v>
      </c>
      <c r="P201" s="4"/>
      <c r="Q201" s="4"/>
      <c r="R201" s="4"/>
      <c r="S201" s="4"/>
      <c r="T201" s="4"/>
      <c r="U201" s="4"/>
      <c r="V201" s="4"/>
      <c r="W201" s="4">
        <v>329617.53000000003</v>
      </c>
      <c r="X201" s="4">
        <v>1</v>
      </c>
      <c r="Y201" s="4">
        <v>329617.53000000003</v>
      </c>
      <c r="Z201" s="4"/>
      <c r="AA201" s="4"/>
      <c r="AB201" s="4"/>
    </row>
    <row r="202" spans="1:206" x14ac:dyDescent="0.2">
      <c r="A202" s="4">
        <v>50</v>
      </c>
      <c r="B202" s="4">
        <v>1</v>
      </c>
      <c r="C202" s="4">
        <v>0</v>
      </c>
      <c r="D202" s="4">
        <v>1</v>
      </c>
      <c r="E202" s="4">
        <v>202</v>
      </c>
      <c r="F202" s="4">
        <f>ROUND(Source!P199,O202)</f>
        <v>170359.77</v>
      </c>
      <c r="G202" s="4" t="s">
        <v>73</v>
      </c>
      <c r="H202" s="4" t="s">
        <v>74</v>
      </c>
      <c r="I202" s="4"/>
      <c r="J202" s="4"/>
      <c r="K202" s="4">
        <v>202</v>
      </c>
      <c r="L202" s="4">
        <v>2</v>
      </c>
      <c r="M202" s="4">
        <v>1</v>
      </c>
      <c r="N202" s="4" t="s">
        <v>3</v>
      </c>
      <c r="O202" s="4">
        <v>2</v>
      </c>
      <c r="P202" s="4"/>
      <c r="Q202" s="4"/>
      <c r="R202" s="4"/>
      <c r="S202" s="4"/>
      <c r="T202" s="4"/>
      <c r="U202" s="4"/>
      <c r="V202" s="4"/>
      <c r="W202" s="4">
        <v>170359.77</v>
      </c>
      <c r="X202" s="4">
        <v>1</v>
      </c>
      <c r="Y202" s="4">
        <v>170359.77</v>
      </c>
      <c r="Z202" s="4"/>
      <c r="AA202" s="4"/>
      <c r="AB202" s="4"/>
    </row>
    <row r="203" spans="1:206" x14ac:dyDescent="0.2">
      <c r="A203" s="4">
        <v>50</v>
      </c>
      <c r="B203" s="4">
        <v>0</v>
      </c>
      <c r="C203" s="4">
        <v>0</v>
      </c>
      <c r="D203" s="4">
        <v>1</v>
      </c>
      <c r="E203" s="4">
        <v>222</v>
      </c>
      <c r="F203" s="4">
        <f>ROUND(Source!AO199,O203)</f>
        <v>0</v>
      </c>
      <c r="G203" s="4" t="s">
        <v>75</v>
      </c>
      <c r="H203" s="4" t="s">
        <v>76</v>
      </c>
      <c r="I203" s="4"/>
      <c r="J203" s="4"/>
      <c r="K203" s="4">
        <v>222</v>
      </c>
      <c r="L203" s="4">
        <v>3</v>
      </c>
      <c r="M203" s="4">
        <v>1</v>
      </c>
      <c r="N203" s="4" t="s">
        <v>3</v>
      </c>
      <c r="O203" s="4">
        <v>2</v>
      </c>
      <c r="P203" s="4"/>
      <c r="Q203" s="4"/>
      <c r="R203" s="4"/>
      <c r="S203" s="4"/>
      <c r="T203" s="4"/>
      <c r="U203" s="4"/>
      <c r="V203" s="4"/>
      <c r="W203" s="4">
        <v>0</v>
      </c>
      <c r="X203" s="4">
        <v>1</v>
      </c>
      <c r="Y203" s="4">
        <v>0</v>
      </c>
      <c r="Z203" s="4"/>
      <c r="AA203" s="4"/>
      <c r="AB203" s="4"/>
    </row>
    <row r="204" spans="1:206" x14ac:dyDescent="0.2">
      <c r="A204" s="4">
        <v>50</v>
      </c>
      <c r="B204" s="4">
        <v>1</v>
      </c>
      <c r="C204" s="4">
        <v>0</v>
      </c>
      <c r="D204" s="4">
        <v>1</v>
      </c>
      <c r="E204" s="4">
        <v>225</v>
      </c>
      <c r="F204" s="4">
        <f>ROUND(Source!AV199,O204)</f>
        <v>170359.77</v>
      </c>
      <c r="G204" s="4" t="s">
        <v>77</v>
      </c>
      <c r="H204" s="4" t="s">
        <v>78</v>
      </c>
      <c r="I204" s="4"/>
      <c r="J204" s="4"/>
      <c r="K204" s="4">
        <v>225</v>
      </c>
      <c r="L204" s="4">
        <v>4</v>
      </c>
      <c r="M204" s="4">
        <v>1</v>
      </c>
      <c r="N204" s="4" t="s">
        <v>3</v>
      </c>
      <c r="O204" s="4">
        <v>2</v>
      </c>
      <c r="P204" s="4"/>
      <c r="Q204" s="4"/>
      <c r="R204" s="4"/>
      <c r="S204" s="4"/>
      <c r="T204" s="4"/>
      <c r="U204" s="4"/>
      <c r="V204" s="4"/>
      <c r="W204" s="4">
        <v>170359.77</v>
      </c>
      <c r="X204" s="4">
        <v>1</v>
      </c>
      <c r="Y204" s="4">
        <v>170359.77</v>
      </c>
      <c r="Z204" s="4"/>
      <c r="AA204" s="4"/>
      <c r="AB204" s="4"/>
    </row>
    <row r="205" spans="1:206" x14ac:dyDescent="0.2">
      <c r="A205" s="4">
        <v>50</v>
      </c>
      <c r="B205" s="4">
        <v>1</v>
      </c>
      <c r="C205" s="4">
        <v>0</v>
      </c>
      <c r="D205" s="4">
        <v>1</v>
      </c>
      <c r="E205" s="4">
        <v>226</v>
      </c>
      <c r="F205" s="4">
        <f>ROUND(Source!AW199,O205)</f>
        <v>170359.77</v>
      </c>
      <c r="G205" s="4" t="s">
        <v>79</v>
      </c>
      <c r="H205" s="4" t="s">
        <v>80</v>
      </c>
      <c r="I205" s="4"/>
      <c r="J205" s="4"/>
      <c r="K205" s="4">
        <v>226</v>
      </c>
      <c r="L205" s="4">
        <v>5</v>
      </c>
      <c r="M205" s="4">
        <v>1</v>
      </c>
      <c r="N205" s="4" t="s">
        <v>3</v>
      </c>
      <c r="O205" s="4">
        <v>2</v>
      </c>
      <c r="P205" s="4"/>
      <c r="Q205" s="4"/>
      <c r="R205" s="4"/>
      <c r="S205" s="4"/>
      <c r="T205" s="4"/>
      <c r="U205" s="4"/>
      <c r="V205" s="4"/>
      <c r="W205" s="4">
        <v>170359.77</v>
      </c>
      <c r="X205" s="4">
        <v>1</v>
      </c>
      <c r="Y205" s="4">
        <v>170359.77</v>
      </c>
      <c r="Z205" s="4"/>
      <c r="AA205" s="4"/>
      <c r="AB205" s="4"/>
    </row>
    <row r="206" spans="1:206" x14ac:dyDescent="0.2">
      <c r="A206" s="4">
        <v>50</v>
      </c>
      <c r="B206" s="4">
        <v>0</v>
      </c>
      <c r="C206" s="4">
        <v>0</v>
      </c>
      <c r="D206" s="4">
        <v>1</v>
      </c>
      <c r="E206" s="4">
        <v>227</v>
      </c>
      <c r="F206" s="4">
        <f>ROUND(Source!AX199,O206)</f>
        <v>0</v>
      </c>
      <c r="G206" s="4" t="s">
        <v>81</v>
      </c>
      <c r="H206" s="4" t="s">
        <v>82</v>
      </c>
      <c r="I206" s="4"/>
      <c r="J206" s="4"/>
      <c r="K206" s="4">
        <v>227</v>
      </c>
      <c r="L206" s="4">
        <v>6</v>
      </c>
      <c r="M206" s="4">
        <v>1</v>
      </c>
      <c r="N206" s="4" t="s">
        <v>3</v>
      </c>
      <c r="O206" s="4">
        <v>2</v>
      </c>
      <c r="P206" s="4"/>
      <c r="Q206" s="4"/>
      <c r="R206" s="4"/>
      <c r="S206" s="4"/>
      <c r="T206" s="4"/>
      <c r="U206" s="4"/>
      <c r="V206" s="4"/>
      <c r="W206" s="4">
        <v>0</v>
      </c>
      <c r="X206" s="4">
        <v>1</v>
      </c>
      <c r="Y206" s="4">
        <v>0</v>
      </c>
      <c r="Z206" s="4"/>
      <c r="AA206" s="4"/>
      <c r="AB206" s="4"/>
    </row>
    <row r="207" spans="1:206" x14ac:dyDescent="0.2">
      <c r="A207" s="4">
        <v>50</v>
      </c>
      <c r="B207" s="4">
        <v>1</v>
      </c>
      <c r="C207" s="4">
        <v>0</v>
      </c>
      <c r="D207" s="4">
        <v>1</v>
      </c>
      <c r="E207" s="4">
        <v>228</v>
      </c>
      <c r="F207" s="4">
        <f>ROUND(Source!AY199,O207)</f>
        <v>170359.77</v>
      </c>
      <c r="G207" s="4" t="s">
        <v>83</v>
      </c>
      <c r="H207" s="4" t="s">
        <v>84</v>
      </c>
      <c r="I207" s="4"/>
      <c r="J207" s="4"/>
      <c r="K207" s="4">
        <v>228</v>
      </c>
      <c r="L207" s="4">
        <v>7</v>
      </c>
      <c r="M207" s="4">
        <v>1</v>
      </c>
      <c r="N207" s="4" t="s">
        <v>3</v>
      </c>
      <c r="O207" s="4">
        <v>2</v>
      </c>
      <c r="P207" s="4"/>
      <c r="Q207" s="4"/>
      <c r="R207" s="4"/>
      <c r="S207" s="4"/>
      <c r="T207" s="4"/>
      <c r="U207" s="4"/>
      <c r="V207" s="4"/>
      <c r="W207" s="4">
        <v>170359.77</v>
      </c>
      <c r="X207" s="4">
        <v>1</v>
      </c>
      <c r="Y207" s="4">
        <v>170359.77</v>
      </c>
      <c r="Z207" s="4"/>
      <c r="AA207" s="4"/>
      <c r="AB207" s="4"/>
    </row>
    <row r="208" spans="1:206" x14ac:dyDescent="0.2">
      <c r="A208" s="4">
        <v>50</v>
      </c>
      <c r="B208" s="4">
        <v>0</v>
      </c>
      <c r="C208" s="4">
        <v>0</v>
      </c>
      <c r="D208" s="4">
        <v>1</v>
      </c>
      <c r="E208" s="4">
        <v>216</v>
      </c>
      <c r="F208" s="4">
        <f>ROUND(Source!AP199,O208)</f>
        <v>0</v>
      </c>
      <c r="G208" s="4" t="s">
        <v>85</v>
      </c>
      <c r="H208" s="4" t="s">
        <v>86</v>
      </c>
      <c r="I208" s="4"/>
      <c r="J208" s="4"/>
      <c r="K208" s="4">
        <v>216</v>
      </c>
      <c r="L208" s="4">
        <v>8</v>
      </c>
      <c r="M208" s="4">
        <v>1</v>
      </c>
      <c r="N208" s="4" t="s">
        <v>3</v>
      </c>
      <c r="O208" s="4">
        <v>2</v>
      </c>
      <c r="P208" s="4"/>
      <c r="Q208" s="4"/>
      <c r="R208" s="4"/>
      <c r="S208" s="4"/>
      <c r="T208" s="4"/>
      <c r="U208" s="4"/>
      <c r="V208" s="4"/>
      <c r="W208" s="4">
        <v>0</v>
      </c>
      <c r="X208" s="4">
        <v>1</v>
      </c>
      <c r="Y208" s="4">
        <v>0</v>
      </c>
      <c r="Z208" s="4"/>
      <c r="AA208" s="4"/>
      <c r="AB208" s="4"/>
    </row>
    <row r="209" spans="1:28" x14ac:dyDescent="0.2">
      <c r="A209" s="4">
        <v>50</v>
      </c>
      <c r="B209" s="4">
        <v>0</v>
      </c>
      <c r="C209" s="4">
        <v>0</v>
      </c>
      <c r="D209" s="4">
        <v>1</v>
      </c>
      <c r="E209" s="4">
        <v>223</v>
      </c>
      <c r="F209" s="4">
        <f>ROUND(Source!AQ199,O209)</f>
        <v>0</v>
      </c>
      <c r="G209" s="4" t="s">
        <v>87</v>
      </c>
      <c r="H209" s="4" t="s">
        <v>88</v>
      </c>
      <c r="I209" s="4"/>
      <c r="J209" s="4"/>
      <c r="K209" s="4">
        <v>223</v>
      </c>
      <c r="L209" s="4">
        <v>9</v>
      </c>
      <c r="M209" s="4">
        <v>1</v>
      </c>
      <c r="N209" s="4" t="s">
        <v>3</v>
      </c>
      <c r="O209" s="4">
        <v>2</v>
      </c>
      <c r="P209" s="4"/>
      <c r="Q209" s="4"/>
      <c r="R209" s="4"/>
      <c r="S209" s="4"/>
      <c r="T209" s="4"/>
      <c r="U209" s="4"/>
      <c r="V209" s="4"/>
      <c r="W209" s="4">
        <v>0</v>
      </c>
      <c r="X209" s="4">
        <v>1</v>
      </c>
      <c r="Y209" s="4">
        <v>0</v>
      </c>
      <c r="Z209" s="4"/>
      <c r="AA209" s="4"/>
      <c r="AB209" s="4"/>
    </row>
    <row r="210" spans="1:28" x14ac:dyDescent="0.2">
      <c r="A210" s="4">
        <v>50</v>
      </c>
      <c r="B210" s="4">
        <v>0</v>
      </c>
      <c r="C210" s="4">
        <v>0</v>
      </c>
      <c r="D210" s="4">
        <v>1</v>
      </c>
      <c r="E210" s="4">
        <v>229</v>
      </c>
      <c r="F210" s="4">
        <f>ROUND(Source!AZ199,O210)</f>
        <v>0</v>
      </c>
      <c r="G210" s="4" t="s">
        <v>89</v>
      </c>
      <c r="H210" s="4" t="s">
        <v>90</v>
      </c>
      <c r="I210" s="4"/>
      <c r="J210" s="4"/>
      <c r="K210" s="4">
        <v>229</v>
      </c>
      <c r="L210" s="4">
        <v>10</v>
      </c>
      <c r="M210" s="4">
        <v>1</v>
      </c>
      <c r="N210" s="4" t="s">
        <v>3</v>
      </c>
      <c r="O210" s="4">
        <v>2</v>
      </c>
      <c r="P210" s="4"/>
      <c r="Q210" s="4"/>
      <c r="R210" s="4"/>
      <c r="S210" s="4"/>
      <c r="T210" s="4"/>
      <c r="U210" s="4"/>
      <c r="V210" s="4"/>
      <c r="W210" s="4">
        <v>0</v>
      </c>
      <c r="X210" s="4">
        <v>1</v>
      </c>
      <c r="Y210" s="4">
        <v>0</v>
      </c>
      <c r="Z210" s="4"/>
      <c r="AA210" s="4"/>
      <c r="AB210" s="4"/>
    </row>
    <row r="211" spans="1:28" x14ac:dyDescent="0.2">
      <c r="A211" s="4">
        <v>50</v>
      </c>
      <c r="B211" s="4">
        <v>1</v>
      </c>
      <c r="C211" s="4">
        <v>0</v>
      </c>
      <c r="D211" s="4">
        <v>1</v>
      </c>
      <c r="E211" s="4">
        <v>203</v>
      </c>
      <c r="F211" s="4">
        <f>ROUND(Source!Q199,O211)</f>
        <v>21598.080000000002</v>
      </c>
      <c r="G211" s="4" t="s">
        <v>91</v>
      </c>
      <c r="H211" s="4" t="s">
        <v>92</v>
      </c>
      <c r="I211" s="4"/>
      <c r="J211" s="4"/>
      <c r="K211" s="4">
        <v>203</v>
      </c>
      <c r="L211" s="4">
        <v>11</v>
      </c>
      <c r="M211" s="4">
        <v>1</v>
      </c>
      <c r="N211" s="4" t="s">
        <v>3</v>
      </c>
      <c r="O211" s="4">
        <v>2</v>
      </c>
      <c r="P211" s="4"/>
      <c r="Q211" s="4"/>
      <c r="R211" s="4"/>
      <c r="S211" s="4"/>
      <c r="T211" s="4"/>
      <c r="U211" s="4"/>
      <c r="V211" s="4"/>
      <c r="W211" s="4">
        <v>21598.080000000002</v>
      </c>
      <c r="X211" s="4">
        <v>1</v>
      </c>
      <c r="Y211" s="4">
        <v>21598.080000000002</v>
      </c>
      <c r="Z211" s="4"/>
      <c r="AA211" s="4"/>
      <c r="AB211" s="4"/>
    </row>
    <row r="212" spans="1:28" x14ac:dyDescent="0.2">
      <c r="A212" s="4">
        <v>50</v>
      </c>
      <c r="B212" s="4">
        <v>0</v>
      </c>
      <c r="C212" s="4">
        <v>0</v>
      </c>
      <c r="D212" s="4">
        <v>1</v>
      </c>
      <c r="E212" s="4">
        <v>231</v>
      </c>
      <c r="F212" s="4">
        <f>ROUND(Source!BB199,O212)</f>
        <v>0</v>
      </c>
      <c r="G212" s="4" t="s">
        <v>93</v>
      </c>
      <c r="H212" s="4" t="s">
        <v>94</v>
      </c>
      <c r="I212" s="4"/>
      <c r="J212" s="4"/>
      <c r="K212" s="4">
        <v>231</v>
      </c>
      <c r="L212" s="4">
        <v>12</v>
      </c>
      <c r="M212" s="4">
        <v>3</v>
      </c>
      <c r="N212" s="4" t="s">
        <v>3</v>
      </c>
      <c r="O212" s="4">
        <v>2</v>
      </c>
      <c r="P212" s="4"/>
      <c r="Q212" s="4"/>
      <c r="R212" s="4"/>
      <c r="S212" s="4"/>
      <c r="T212" s="4"/>
      <c r="U212" s="4"/>
      <c r="V212" s="4"/>
      <c r="W212" s="4">
        <v>0</v>
      </c>
      <c r="X212" s="4">
        <v>1</v>
      </c>
      <c r="Y212" s="4">
        <v>0</v>
      </c>
      <c r="Z212" s="4"/>
      <c r="AA212" s="4"/>
      <c r="AB212" s="4"/>
    </row>
    <row r="213" spans="1:28" x14ac:dyDescent="0.2">
      <c r="A213" s="4">
        <v>50</v>
      </c>
      <c r="B213" s="4">
        <v>1</v>
      </c>
      <c r="C213" s="4">
        <v>0</v>
      </c>
      <c r="D213" s="4">
        <v>1</v>
      </c>
      <c r="E213" s="4">
        <v>204</v>
      </c>
      <c r="F213" s="4">
        <f>ROUND(Source!R199,O213)</f>
        <v>6931.05</v>
      </c>
      <c r="G213" s="4" t="s">
        <v>95</v>
      </c>
      <c r="H213" s="4" t="s">
        <v>96</v>
      </c>
      <c r="I213" s="4"/>
      <c r="J213" s="4"/>
      <c r="K213" s="4">
        <v>204</v>
      </c>
      <c r="L213" s="4">
        <v>13</v>
      </c>
      <c r="M213" s="4">
        <v>1</v>
      </c>
      <c r="N213" s="4" t="s">
        <v>3</v>
      </c>
      <c r="O213" s="4">
        <v>2</v>
      </c>
      <c r="P213" s="4"/>
      <c r="Q213" s="4"/>
      <c r="R213" s="4"/>
      <c r="S213" s="4"/>
      <c r="T213" s="4"/>
      <c r="U213" s="4"/>
      <c r="V213" s="4"/>
      <c r="W213" s="4">
        <v>6931.05</v>
      </c>
      <c r="X213" s="4">
        <v>1</v>
      </c>
      <c r="Y213" s="4">
        <v>6931.05</v>
      </c>
      <c r="Z213" s="4"/>
      <c r="AA213" s="4"/>
      <c r="AB213" s="4"/>
    </row>
    <row r="214" spans="1:28" x14ac:dyDescent="0.2">
      <c r="A214" s="4">
        <v>50</v>
      </c>
      <c r="B214" s="4">
        <v>1</v>
      </c>
      <c r="C214" s="4">
        <v>0</v>
      </c>
      <c r="D214" s="4">
        <v>1</v>
      </c>
      <c r="E214" s="4">
        <v>205</v>
      </c>
      <c r="F214" s="4">
        <f>ROUND(Source!S199,O214)</f>
        <v>137659.68</v>
      </c>
      <c r="G214" s="4" t="s">
        <v>97</v>
      </c>
      <c r="H214" s="4" t="s">
        <v>98</v>
      </c>
      <c r="I214" s="4"/>
      <c r="J214" s="4"/>
      <c r="K214" s="4">
        <v>205</v>
      </c>
      <c r="L214" s="4">
        <v>14</v>
      </c>
      <c r="M214" s="4">
        <v>1</v>
      </c>
      <c r="N214" s="4" t="s">
        <v>3</v>
      </c>
      <c r="O214" s="4">
        <v>2</v>
      </c>
      <c r="P214" s="4"/>
      <c r="Q214" s="4"/>
      <c r="R214" s="4"/>
      <c r="S214" s="4"/>
      <c r="T214" s="4"/>
      <c r="U214" s="4"/>
      <c r="V214" s="4"/>
      <c r="W214" s="4">
        <v>137659.68</v>
      </c>
      <c r="X214" s="4">
        <v>1</v>
      </c>
      <c r="Y214" s="4">
        <v>137659.68</v>
      </c>
      <c r="Z214" s="4"/>
      <c r="AA214" s="4"/>
      <c r="AB214" s="4"/>
    </row>
    <row r="215" spans="1:28" x14ac:dyDescent="0.2">
      <c r="A215" s="4">
        <v>50</v>
      </c>
      <c r="B215" s="4">
        <v>0</v>
      </c>
      <c r="C215" s="4">
        <v>0</v>
      </c>
      <c r="D215" s="4">
        <v>1</v>
      </c>
      <c r="E215" s="4">
        <v>232</v>
      </c>
      <c r="F215" s="4">
        <f>ROUND(Source!BC199,O215)</f>
        <v>0</v>
      </c>
      <c r="G215" s="4" t="s">
        <v>99</v>
      </c>
      <c r="H215" s="4" t="s">
        <v>100</v>
      </c>
      <c r="I215" s="4"/>
      <c r="J215" s="4"/>
      <c r="K215" s="4">
        <v>232</v>
      </c>
      <c r="L215" s="4">
        <v>15</v>
      </c>
      <c r="M215" s="4">
        <v>3</v>
      </c>
      <c r="N215" s="4" t="s">
        <v>3</v>
      </c>
      <c r="O215" s="4">
        <v>2</v>
      </c>
      <c r="P215" s="4"/>
      <c r="Q215" s="4"/>
      <c r="R215" s="4"/>
      <c r="S215" s="4"/>
      <c r="T215" s="4"/>
      <c r="U215" s="4"/>
      <c r="V215" s="4"/>
      <c r="W215" s="4">
        <v>0</v>
      </c>
      <c r="X215" s="4">
        <v>1</v>
      </c>
      <c r="Y215" s="4">
        <v>0</v>
      </c>
      <c r="Z215" s="4"/>
      <c r="AA215" s="4"/>
      <c r="AB215" s="4"/>
    </row>
    <row r="216" spans="1:28" x14ac:dyDescent="0.2">
      <c r="A216" s="4">
        <v>50</v>
      </c>
      <c r="B216" s="4">
        <v>1</v>
      </c>
      <c r="C216" s="4">
        <v>0</v>
      </c>
      <c r="D216" s="4">
        <v>1</v>
      </c>
      <c r="E216" s="4">
        <v>214</v>
      </c>
      <c r="F216" s="4">
        <f>ROUND(Source!AS199,O216)</f>
        <v>547860.5</v>
      </c>
      <c r="G216" s="4" t="s">
        <v>101</v>
      </c>
      <c r="H216" s="4" t="s">
        <v>102</v>
      </c>
      <c r="I216" s="4"/>
      <c r="J216" s="4"/>
      <c r="K216" s="4">
        <v>214</v>
      </c>
      <c r="L216" s="4">
        <v>16</v>
      </c>
      <c r="M216" s="4">
        <v>1</v>
      </c>
      <c r="N216" s="4" t="s">
        <v>3</v>
      </c>
      <c r="O216" s="4">
        <v>2</v>
      </c>
      <c r="P216" s="4"/>
      <c r="Q216" s="4"/>
      <c r="R216" s="4"/>
      <c r="S216" s="4"/>
      <c r="T216" s="4"/>
      <c r="U216" s="4"/>
      <c r="V216" s="4"/>
      <c r="W216" s="4">
        <v>547860.5</v>
      </c>
      <c r="X216" s="4">
        <v>1</v>
      </c>
      <c r="Y216" s="4">
        <v>547860.5</v>
      </c>
      <c r="Z216" s="4"/>
      <c r="AA216" s="4"/>
      <c r="AB216" s="4"/>
    </row>
    <row r="217" spans="1:28" x14ac:dyDescent="0.2">
      <c r="A217" s="4">
        <v>50</v>
      </c>
      <c r="B217" s="4">
        <v>0</v>
      </c>
      <c r="C217" s="4">
        <v>0</v>
      </c>
      <c r="D217" s="4">
        <v>1</v>
      </c>
      <c r="E217" s="4">
        <v>215</v>
      </c>
      <c r="F217" s="4">
        <f>ROUND(Source!AT199,O217)</f>
        <v>0</v>
      </c>
      <c r="G217" s="4" t="s">
        <v>103</v>
      </c>
      <c r="H217" s="4" t="s">
        <v>104</v>
      </c>
      <c r="I217" s="4"/>
      <c r="J217" s="4"/>
      <c r="K217" s="4">
        <v>215</v>
      </c>
      <c r="L217" s="4">
        <v>17</v>
      </c>
      <c r="M217" s="4">
        <v>1</v>
      </c>
      <c r="N217" s="4" t="s">
        <v>3</v>
      </c>
      <c r="O217" s="4">
        <v>2</v>
      </c>
      <c r="P217" s="4"/>
      <c r="Q217" s="4"/>
      <c r="R217" s="4"/>
      <c r="S217" s="4"/>
      <c r="T217" s="4"/>
      <c r="U217" s="4"/>
      <c r="V217" s="4"/>
      <c r="W217" s="4">
        <v>0</v>
      </c>
      <c r="X217" s="4">
        <v>1</v>
      </c>
      <c r="Y217" s="4">
        <v>0</v>
      </c>
      <c r="Z217" s="4"/>
      <c r="AA217" s="4"/>
      <c r="AB217" s="4"/>
    </row>
    <row r="218" spans="1:28" x14ac:dyDescent="0.2">
      <c r="A218" s="4">
        <v>50</v>
      </c>
      <c r="B218" s="4">
        <v>0</v>
      </c>
      <c r="C218" s="4">
        <v>0</v>
      </c>
      <c r="D218" s="4">
        <v>1</v>
      </c>
      <c r="E218" s="4">
        <v>217</v>
      </c>
      <c r="F218" s="4">
        <f>ROUND(Source!AU199,O218)</f>
        <v>0</v>
      </c>
      <c r="G218" s="4" t="s">
        <v>105</v>
      </c>
      <c r="H218" s="4" t="s">
        <v>106</v>
      </c>
      <c r="I218" s="4"/>
      <c r="J218" s="4"/>
      <c r="K218" s="4">
        <v>217</v>
      </c>
      <c r="L218" s="4">
        <v>18</v>
      </c>
      <c r="M218" s="4">
        <v>1</v>
      </c>
      <c r="N218" s="4" t="s">
        <v>3</v>
      </c>
      <c r="O218" s="4">
        <v>2</v>
      </c>
      <c r="P218" s="4"/>
      <c r="Q218" s="4"/>
      <c r="R218" s="4"/>
      <c r="S218" s="4"/>
      <c r="T218" s="4"/>
      <c r="U218" s="4"/>
      <c r="V218" s="4"/>
      <c r="W218" s="4">
        <v>0</v>
      </c>
      <c r="X218" s="4">
        <v>1</v>
      </c>
      <c r="Y218" s="4">
        <v>0</v>
      </c>
      <c r="Z218" s="4"/>
      <c r="AA218" s="4"/>
      <c r="AB218" s="4"/>
    </row>
    <row r="219" spans="1:28" x14ac:dyDescent="0.2">
      <c r="A219" s="4">
        <v>50</v>
      </c>
      <c r="B219" s="4">
        <v>0</v>
      </c>
      <c r="C219" s="4">
        <v>0</v>
      </c>
      <c r="D219" s="4">
        <v>1</v>
      </c>
      <c r="E219" s="4">
        <v>230</v>
      </c>
      <c r="F219" s="4">
        <f>ROUND(Source!BA199,O219)</f>
        <v>0</v>
      </c>
      <c r="G219" s="4" t="s">
        <v>107</v>
      </c>
      <c r="H219" s="4" t="s">
        <v>108</v>
      </c>
      <c r="I219" s="4"/>
      <c r="J219" s="4"/>
      <c r="K219" s="4">
        <v>230</v>
      </c>
      <c r="L219" s="4">
        <v>19</v>
      </c>
      <c r="M219" s="4">
        <v>3</v>
      </c>
      <c r="N219" s="4" t="s">
        <v>3</v>
      </c>
      <c r="O219" s="4">
        <v>2</v>
      </c>
      <c r="P219" s="4"/>
      <c r="Q219" s="4"/>
      <c r="R219" s="4"/>
      <c r="S219" s="4"/>
      <c r="T219" s="4"/>
      <c r="U219" s="4"/>
      <c r="V219" s="4"/>
      <c r="W219" s="4">
        <v>0</v>
      </c>
      <c r="X219" s="4">
        <v>1</v>
      </c>
      <c r="Y219" s="4">
        <v>0</v>
      </c>
      <c r="Z219" s="4"/>
      <c r="AA219" s="4"/>
      <c r="AB219" s="4"/>
    </row>
    <row r="220" spans="1:28" x14ac:dyDescent="0.2">
      <c r="A220" s="4">
        <v>50</v>
      </c>
      <c r="B220" s="4">
        <v>0</v>
      </c>
      <c r="C220" s="4">
        <v>0</v>
      </c>
      <c r="D220" s="4">
        <v>1</v>
      </c>
      <c r="E220" s="4">
        <v>206</v>
      </c>
      <c r="F220" s="4">
        <f>ROUND(Source!T199,O220)</f>
        <v>0</v>
      </c>
      <c r="G220" s="4" t="s">
        <v>109</v>
      </c>
      <c r="H220" s="4" t="s">
        <v>110</v>
      </c>
      <c r="I220" s="4"/>
      <c r="J220" s="4"/>
      <c r="K220" s="4">
        <v>206</v>
      </c>
      <c r="L220" s="4">
        <v>20</v>
      </c>
      <c r="M220" s="4">
        <v>1</v>
      </c>
      <c r="N220" s="4" t="s">
        <v>3</v>
      </c>
      <c r="O220" s="4">
        <v>2</v>
      </c>
      <c r="P220" s="4"/>
      <c r="Q220" s="4"/>
      <c r="R220" s="4"/>
      <c r="S220" s="4"/>
      <c r="T220" s="4"/>
      <c r="U220" s="4"/>
      <c r="V220" s="4"/>
      <c r="W220" s="4">
        <v>0</v>
      </c>
      <c r="X220" s="4">
        <v>1</v>
      </c>
      <c r="Y220" s="4">
        <v>0</v>
      </c>
      <c r="Z220" s="4"/>
      <c r="AA220" s="4"/>
      <c r="AB220" s="4"/>
    </row>
    <row r="221" spans="1:28" x14ac:dyDescent="0.2">
      <c r="A221" s="4">
        <v>50</v>
      </c>
      <c r="B221" s="4">
        <v>1</v>
      </c>
      <c r="C221" s="4">
        <v>0</v>
      </c>
      <c r="D221" s="4">
        <v>1</v>
      </c>
      <c r="E221" s="4">
        <v>207</v>
      </c>
      <c r="F221" s="4">
        <f>Source!U199</f>
        <v>538.75147502000004</v>
      </c>
      <c r="G221" s="4" t="s">
        <v>111</v>
      </c>
      <c r="H221" s="4" t="s">
        <v>112</v>
      </c>
      <c r="I221" s="4"/>
      <c r="J221" s="4"/>
      <c r="K221" s="4">
        <v>207</v>
      </c>
      <c r="L221" s="4">
        <v>21</v>
      </c>
      <c r="M221" s="4">
        <v>1</v>
      </c>
      <c r="N221" s="4" t="s">
        <v>3</v>
      </c>
      <c r="O221" s="4">
        <v>-1</v>
      </c>
      <c r="P221" s="4"/>
      <c r="Q221" s="4"/>
      <c r="R221" s="4"/>
      <c r="S221" s="4"/>
      <c r="T221" s="4"/>
      <c r="U221" s="4"/>
      <c r="V221" s="4"/>
      <c r="W221" s="4">
        <v>538.75147502000004</v>
      </c>
      <c r="X221" s="4">
        <v>1</v>
      </c>
      <c r="Y221" s="4">
        <v>538.75147502000004</v>
      </c>
      <c r="Z221" s="4"/>
      <c r="AA221" s="4"/>
      <c r="AB221" s="4"/>
    </row>
    <row r="222" spans="1:28" x14ac:dyDescent="0.2">
      <c r="A222" s="4">
        <v>50</v>
      </c>
      <c r="B222" s="4">
        <v>1</v>
      </c>
      <c r="C222" s="4">
        <v>0</v>
      </c>
      <c r="D222" s="4">
        <v>1</v>
      </c>
      <c r="E222" s="4">
        <v>208</v>
      </c>
      <c r="F222" s="4">
        <f>Source!V199</f>
        <v>18.944853799999997</v>
      </c>
      <c r="G222" s="4" t="s">
        <v>113</v>
      </c>
      <c r="H222" s="4" t="s">
        <v>114</v>
      </c>
      <c r="I222" s="4"/>
      <c r="J222" s="4"/>
      <c r="K222" s="4">
        <v>208</v>
      </c>
      <c r="L222" s="4">
        <v>22</v>
      </c>
      <c r="M222" s="4">
        <v>1</v>
      </c>
      <c r="N222" s="4" t="s">
        <v>3</v>
      </c>
      <c r="O222" s="4">
        <v>-1</v>
      </c>
      <c r="P222" s="4"/>
      <c r="Q222" s="4"/>
      <c r="R222" s="4"/>
      <c r="S222" s="4"/>
      <c r="T222" s="4"/>
      <c r="U222" s="4"/>
      <c r="V222" s="4"/>
      <c r="W222" s="4">
        <v>18.944853799999997</v>
      </c>
      <c r="X222" s="4">
        <v>1</v>
      </c>
      <c r="Y222" s="4">
        <v>18.944853799999997</v>
      </c>
      <c r="Z222" s="4"/>
      <c r="AA222" s="4"/>
      <c r="AB222" s="4"/>
    </row>
    <row r="223" spans="1:28" x14ac:dyDescent="0.2">
      <c r="A223" s="4">
        <v>50</v>
      </c>
      <c r="B223" s="4">
        <v>0</v>
      </c>
      <c r="C223" s="4">
        <v>0</v>
      </c>
      <c r="D223" s="4">
        <v>1</v>
      </c>
      <c r="E223" s="4">
        <v>209</v>
      </c>
      <c r="F223" s="4">
        <f>ROUND(Source!W199,O223)</f>
        <v>0</v>
      </c>
      <c r="G223" s="4" t="s">
        <v>115</v>
      </c>
      <c r="H223" s="4" t="s">
        <v>116</v>
      </c>
      <c r="I223" s="4"/>
      <c r="J223" s="4"/>
      <c r="K223" s="4">
        <v>209</v>
      </c>
      <c r="L223" s="4">
        <v>23</v>
      </c>
      <c r="M223" s="4">
        <v>1</v>
      </c>
      <c r="N223" s="4" t="s">
        <v>3</v>
      </c>
      <c r="O223" s="4">
        <v>2</v>
      </c>
      <c r="P223" s="4"/>
      <c r="Q223" s="4"/>
      <c r="R223" s="4"/>
      <c r="S223" s="4"/>
      <c r="T223" s="4"/>
      <c r="U223" s="4"/>
      <c r="V223" s="4"/>
      <c r="W223" s="4">
        <v>0</v>
      </c>
      <c r="X223" s="4">
        <v>1</v>
      </c>
      <c r="Y223" s="4">
        <v>0</v>
      </c>
      <c r="Z223" s="4"/>
      <c r="AA223" s="4"/>
      <c r="AB223" s="4"/>
    </row>
    <row r="224" spans="1:28" x14ac:dyDescent="0.2">
      <c r="A224" s="4">
        <v>50</v>
      </c>
      <c r="B224" s="4">
        <v>1</v>
      </c>
      <c r="C224" s="4">
        <v>0</v>
      </c>
      <c r="D224" s="4">
        <v>1</v>
      </c>
      <c r="E224" s="4">
        <v>233</v>
      </c>
      <c r="F224" s="4">
        <f>ROUND(Source!BD199,O224)</f>
        <v>131.05000000000001</v>
      </c>
      <c r="G224" s="4" t="s">
        <v>117</v>
      </c>
      <c r="H224" s="4" t="s">
        <v>118</v>
      </c>
      <c r="I224" s="4"/>
      <c r="J224" s="4"/>
      <c r="K224" s="4">
        <v>233</v>
      </c>
      <c r="L224" s="4">
        <v>24</v>
      </c>
      <c r="M224" s="4">
        <v>1</v>
      </c>
      <c r="N224" s="4" t="s">
        <v>3</v>
      </c>
      <c r="O224" s="4">
        <v>2</v>
      </c>
      <c r="P224" s="4"/>
      <c r="Q224" s="4"/>
      <c r="R224" s="4"/>
      <c r="S224" s="4"/>
      <c r="T224" s="4"/>
      <c r="U224" s="4"/>
      <c r="V224" s="4"/>
      <c r="W224" s="4">
        <v>131.05000000000001</v>
      </c>
      <c r="X224" s="4">
        <v>1</v>
      </c>
      <c r="Y224" s="4">
        <v>131.05000000000001</v>
      </c>
      <c r="Z224" s="4"/>
      <c r="AA224" s="4"/>
      <c r="AB224" s="4"/>
    </row>
    <row r="225" spans="1:28" x14ac:dyDescent="0.2">
      <c r="A225" s="4">
        <v>50</v>
      </c>
      <c r="B225" s="4">
        <v>1</v>
      </c>
      <c r="C225" s="4">
        <v>0</v>
      </c>
      <c r="D225" s="4">
        <v>1</v>
      </c>
      <c r="E225" s="4">
        <v>210</v>
      </c>
      <c r="F225" s="4">
        <f>ROUND(Source!X199,O225)</f>
        <v>146116.26</v>
      </c>
      <c r="G225" s="4" t="s">
        <v>119</v>
      </c>
      <c r="H225" s="4" t="s">
        <v>120</v>
      </c>
      <c r="I225" s="4"/>
      <c r="J225" s="4"/>
      <c r="K225" s="4">
        <v>210</v>
      </c>
      <c r="L225" s="4">
        <v>25</v>
      </c>
      <c r="M225" s="4">
        <v>1</v>
      </c>
      <c r="N225" s="4" t="s">
        <v>3</v>
      </c>
      <c r="O225" s="4">
        <v>2</v>
      </c>
      <c r="P225" s="4"/>
      <c r="Q225" s="4"/>
      <c r="R225" s="4"/>
      <c r="S225" s="4"/>
      <c r="T225" s="4"/>
      <c r="U225" s="4"/>
      <c r="V225" s="4"/>
      <c r="W225" s="4">
        <v>146116.26</v>
      </c>
      <c r="X225" s="4">
        <v>1</v>
      </c>
      <c r="Y225" s="4">
        <v>146116.26</v>
      </c>
      <c r="Z225" s="4"/>
      <c r="AA225" s="4"/>
      <c r="AB225" s="4"/>
    </row>
    <row r="226" spans="1:28" x14ac:dyDescent="0.2">
      <c r="A226" s="4">
        <v>50</v>
      </c>
      <c r="B226" s="4">
        <v>1</v>
      </c>
      <c r="C226" s="4">
        <v>0</v>
      </c>
      <c r="D226" s="4">
        <v>1</v>
      </c>
      <c r="E226" s="4">
        <v>211</v>
      </c>
      <c r="F226" s="4">
        <f>ROUND(Source!Y199,O226)</f>
        <v>71995.66</v>
      </c>
      <c r="G226" s="4" t="s">
        <v>121</v>
      </c>
      <c r="H226" s="4" t="s">
        <v>122</v>
      </c>
      <c r="I226" s="4"/>
      <c r="J226" s="4"/>
      <c r="K226" s="4">
        <v>211</v>
      </c>
      <c r="L226" s="4">
        <v>26</v>
      </c>
      <c r="M226" s="4">
        <v>1</v>
      </c>
      <c r="N226" s="4" t="s">
        <v>3</v>
      </c>
      <c r="O226" s="4">
        <v>2</v>
      </c>
      <c r="P226" s="4"/>
      <c r="Q226" s="4"/>
      <c r="R226" s="4"/>
      <c r="S226" s="4"/>
      <c r="T226" s="4"/>
      <c r="U226" s="4"/>
      <c r="V226" s="4"/>
      <c r="W226" s="4">
        <v>71995.66</v>
      </c>
      <c r="X226" s="4">
        <v>1</v>
      </c>
      <c r="Y226" s="4">
        <v>71995.66</v>
      </c>
      <c r="Z226" s="4"/>
      <c r="AA226" s="4"/>
      <c r="AB226" s="4"/>
    </row>
    <row r="227" spans="1:28" x14ac:dyDescent="0.2">
      <c r="A227" s="4">
        <v>50</v>
      </c>
      <c r="B227" s="4">
        <v>1</v>
      </c>
      <c r="C227" s="4">
        <v>0</v>
      </c>
      <c r="D227" s="4">
        <v>1</v>
      </c>
      <c r="E227" s="4">
        <v>224</v>
      </c>
      <c r="F227" s="4">
        <f>ROUND(Source!AR199,O227)</f>
        <v>547860.5</v>
      </c>
      <c r="G227" s="4" t="s">
        <v>123</v>
      </c>
      <c r="H227" s="4" t="s">
        <v>124</v>
      </c>
      <c r="I227" s="4"/>
      <c r="J227" s="4"/>
      <c r="K227" s="4">
        <v>224</v>
      </c>
      <c r="L227" s="4">
        <v>27</v>
      </c>
      <c r="M227" s="4">
        <v>1</v>
      </c>
      <c r="N227" s="4" t="s">
        <v>3</v>
      </c>
      <c r="O227" s="4">
        <v>2</v>
      </c>
      <c r="P227" s="4"/>
      <c r="Q227" s="4"/>
      <c r="R227" s="4"/>
      <c r="S227" s="4"/>
      <c r="T227" s="4"/>
      <c r="U227" s="4"/>
      <c r="V227" s="4"/>
      <c r="W227" s="4">
        <v>547860.5</v>
      </c>
      <c r="X227" s="4">
        <v>1</v>
      </c>
      <c r="Y227" s="4">
        <v>547860.5</v>
      </c>
      <c r="Z227" s="4"/>
      <c r="AA227" s="4"/>
      <c r="AB227" s="4"/>
    </row>
    <row r="228" spans="1:28" x14ac:dyDescent="0.2">
      <c r="A228" s="4">
        <v>50</v>
      </c>
      <c r="B228" s="4">
        <v>1</v>
      </c>
      <c r="C228" s="4">
        <v>0</v>
      </c>
      <c r="D228" s="4">
        <v>2</v>
      </c>
      <c r="E228" s="4">
        <v>0</v>
      </c>
      <c r="F228" s="4">
        <f>ROUND(F227*0.2,O228)</f>
        <v>109572.1</v>
      </c>
      <c r="G228" s="4" t="s">
        <v>299</v>
      </c>
      <c r="H228" s="4" t="s">
        <v>300</v>
      </c>
      <c r="I228" s="4"/>
      <c r="J228" s="4"/>
      <c r="K228" s="4">
        <v>212</v>
      </c>
      <c r="L228" s="4">
        <v>28</v>
      </c>
      <c r="M228" s="4">
        <v>1</v>
      </c>
      <c r="N228" s="4" t="s">
        <v>3</v>
      </c>
      <c r="O228" s="4">
        <v>2</v>
      </c>
      <c r="P228" s="4"/>
      <c r="Q228" s="4"/>
      <c r="R228" s="4"/>
      <c r="S228" s="4"/>
      <c r="T228" s="4"/>
      <c r="U228" s="4"/>
      <c r="V228" s="4"/>
      <c r="W228" s="4">
        <v>109572.1</v>
      </c>
      <c r="X228" s="4">
        <v>1</v>
      </c>
      <c r="Y228" s="4">
        <v>109572.1</v>
      </c>
      <c r="Z228" s="4"/>
      <c r="AA228" s="4"/>
      <c r="AB228" s="4"/>
    </row>
    <row r="229" spans="1:28" x14ac:dyDescent="0.2">
      <c r="A229" s="4">
        <v>50</v>
      </c>
      <c r="B229" s="4">
        <v>1</v>
      </c>
      <c r="C229" s="4">
        <v>0</v>
      </c>
      <c r="D229" s="4">
        <v>2</v>
      </c>
      <c r="E229" s="4">
        <v>0</v>
      </c>
      <c r="F229" s="4">
        <f>ROUND(F227+F228,O229)</f>
        <v>657432.6</v>
      </c>
      <c r="G229" s="4" t="s">
        <v>301</v>
      </c>
      <c r="H229" s="4" t="s">
        <v>302</v>
      </c>
      <c r="I229" s="4"/>
      <c r="J229" s="4"/>
      <c r="K229" s="4">
        <v>212</v>
      </c>
      <c r="L229" s="4">
        <v>29</v>
      </c>
      <c r="M229" s="4">
        <v>1</v>
      </c>
      <c r="N229" s="4" t="s">
        <v>3</v>
      </c>
      <c r="O229" s="4">
        <v>2</v>
      </c>
      <c r="P229" s="4"/>
      <c r="Q229" s="4"/>
      <c r="R229" s="4"/>
      <c r="S229" s="4"/>
      <c r="T229" s="4"/>
      <c r="U229" s="4"/>
      <c r="V229" s="4"/>
      <c r="W229" s="4">
        <v>657432.6</v>
      </c>
      <c r="X229" s="4">
        <v>1</v>
      </c>
      <c r="Y229" s="4">
        <v>657432.6</v>
      </c>
      <c r="Z229" s="4"/>
      <c r="AA229" s="4"/>
      <c r="AB229" s="4"/>
    </row>
    <row r="231" spans="1:28" x14ac:dyDescent="0.2">
      <c r="A231" s="5">
        <v>61</v>
      </c>
      <c r="B231" s="5"/>
      <c r="C231" s="5"/>
      <c r="D231" s="5"/>
      <c r="E231" s="5"/>
      <c r="F231" s="5">
        <v>1.2</v>
      </c>
      <c r="G231" s="5" t="s">
        <v>299</v>
      </c>
      <c r="H231" s="5" t="s">
        <v>303</v>
      </c>
    </row>
    <row r="232" spans="1:28" x14ac:dyDescent="0.2">
      <c r="A232" s="5">
        <v>61</v>
      </c>
      <c r="B232" s="5"/>
      <c r="C232" s="5"/>
      <c r="D232" s="5"/>
      <c r="E232" s="5"/>
      <c r="F232" s="5">
        <v>12</v>
      </c>
      <c r="G232" s="5" t="s">
        <v>304</v>
      </c>
      <c r="H232" s="5" t="s">
        <v>303</v>
      </c>
    </row>
    <row r="233" spans="1:28" x14ac:dyDescent="0.2">
      <c r="A233" s="5">
        <v>61</v>
      </c>
      <c r="B233" s="5"/>
      <c r="C233" s="5"/>
      <c r="D233" s="5"/>
      <c r="E233" s="5"/>
      <c r="F233" s="5">
        <v>0</v>
      </c>
      <c r="G233" s="5" t="s">
        <v>305</v>
      </c>
      <c r="H233" s="5" t="s">
        <v>303</v>
      </c>
    </row>
    <row r="236" spans="1:28" x14ac:dyDescent="0.2">
      <c r="A236">
        <v>70</v>
      </c>
      <c r="B236">
        <v>1</v>
      </c>
      <c r="D236">
        <v>1</v>
      </c>
      <c r="E236" t="s">
        <v>306</v>
      </c>
      <c r="F236" t="s">
        <v>307</v>
      </c>
      <c r="G236">
        <v>0</v>
      </c>
      <c r="H236">
        <v>0</v>
      </c>
      <c r="I236" t="s">
        <v>3</v>
      </c>
      <c r="J236">
        <v>1</v>
      </c>
      <c r="K236">
        <v>0</v>
      </c>
      <c r="L236" t="s">
        <v>3</v>
      </c>
      <c r="M236" t="s">
        <v>3</v>
      </c>
      <c r="N236">
        <v>0</v>
      </c>
      <c r="P236" t="s">
        <v>308</v>
      </c>
    </row>
    <row r="237" spans="1:28" x14ac:dyDescent="0.2">
      <c r="A237">
        <v>70</v>
      </c>
      <c r="B237">
        <v>1</v>
      </c>
      <c r="D237">
        <v>2</v>
      </c>
      <c r="E237" t="s">
        <v>309</v>
      </c>
      <c r="F237" t="s">
        <v>310</v>
      </c>
      <c r="G237">
        <v>0</v>
      </c>
      <c r="H237">
        <v>0</v>
      </c>
      <c r="I237" t="s">
        <v>3</v>
      </c>
      <c r="J237">
        <v>1</v>
      </c>
      <c r="K237">
        <v>0</v>
      </c>
      <c r="L237" t="s">
        <v>3</v>
      </c>
      <c r="M237" t="s">
        <v>3</v>
      </c>
      <c r="N237">
        <v>0</v>
      </c>
      <c r="P237" t="s">
        <v>311</v>
      </c>
    </row>
    <row r="238" spans="1:28" x14ac:dyDescent="0.2">
      <c r="A238">
        <v>70</v>
      </c>
      <c r="B238">
        <v>1</v>
      </c>
      <c r="D238">
        <v>3</v>
      </c>
      <c r="E238" t="s">
        <v>312</v>
      </c>
      <c r="F238" t="s">
        <v>313</v>
      </c>
      <c r="G238">
        <v>1</v>
      </c>
      <c r="H238">
        <v>0</v>
      </c>
      <c r="I238" t="s">
        <v>3</v>
      </c>
      <c r="J238">
        <v>1</v>
      </c>
      <c r="K238">
        <v>0</v>
      </c>
      <c r="L238" t="s">
        <v>3</v>
      </c>
      <c r="M238" t="s">
        <v>3</v>
      </c>
      <c r="N238">
        <v>0</v>
      </c>
      <c r="P238" t="s">
        <v>314</v>
      </c>
    </row>
    <row r="239" spans="1:28" x14ac:dyDescent="0.2">
      <c r="A239">
        <v>70</v>
      </c>
      <c r="B239">
        <v>1</v>
      </c>
      <c r="D239">
        <v>4</v>
      </c>
      <c r="E239" t="s">
        <v>315</v>
      </c>
      <c r="F239" t="s">
        <v>316</v>
      </c>
      <c r="G239">
        <v>1</v>
      </c>
      <c r="H239">
        <v>0</v>
      </c>
      <c r="I239" t="s">
        <v>3</v>
      </c>
      <c r="J239">
        <v>2</v>
      </c>
      <c r="K239">
        <v>0</v>
      </c>
      <c r="L239" t="s">
        <v>3</v>
      </c>
      <c r="M239" t="s">
        <v>3</v>
      </c>
      <c r="N239">
        <v>0</v>
      </c>
      <c r="P239" t="s">
        <v>3</v>
      </c>
    </row>
    <row r="240" spans="1:28" x14ac:dyDescent="0.2">
      <c r="A240">
        <v>70</v>
      </c>
      <c r="B240">
        <v>1</v>
      </c>
      <c r="D240">
        <v>5</v>
      </c>
      <c r="E240" t="s">
        <v>317</v>
      </c>
      <c r="F240" t="s">
        <v>318</v>
      </c>
      <c r="G240">
        <v>0</v>
      </c>
      <c r="H240">
        <v>0</v>
      </c>
      <c r="I240" t="s">
        <v>3</v>
      </c>
      <c r="J240">
        <v>2</v>
      </c>
      <c r="K240">
        <v>0</v>
      </c>
      <c r="L240" t="s">
        <v>3</v>
      </c>
      <c r="M240" t="s">
        <v>3</v>
      </c>
      <c r="N240">
        <v>0</v>
      </c>
      <c r="P240" t="s">
        <v>3</v>
      </c>
    </row>
    <row r="241" spans="1:16" x14ac:dyDescent="0.2">
      <c r="A241">
        <v>70</v>
      </c>
      <c r="B241">
        <v>1</v>
      </c>
      <c r="D241">
        <v>6</v>
      </c>
      <c r="E241" t="s">
        <v>319</v>
      </c>
      <c r="F241" t="s">
        <v>320</v>
      </c>
      <c r="G241">
        <v>0</v>
      </c>
      <c r="H241">
        <v>0</v>
      </c>
      <c r="I241" t="s">
        <v>3</v>
      </c>
      <c r="J241">
        <v>2</v>
      </c>
      <c r="K241">
        <v>0</v>
      </c>
      <c r="L241" t="s">
        <v>3</v>
      </c>
      <c r="M241" t="s">
        <v>3</v>
      </c>
      <c r="N241">
        <v>0</v>
      </c>
      <c r="P241" t="s">
        <v>3</v>
      </c>
    </row>
    <row r="242" spans="1:16" x14ac:dyDescent="0.2">
      <c r="A242">
        <v>70</v>
      </c>
      <c r="B242">
        <v>1</v>
      </c>
      <c r="D242">
        <v>7</v>
      </c>
      <c r="E242" t="s">
        <v>321</v>
      </c>
      <c r="F242" t="s">
        <v>322</v>
      </c>
      <c r="G242">
        <v>0</v>
      </c>
      <c r="H242">
        <v>0</v>
      </c>
      <c r="I242" t="s">
        <v>323</v>
      </c>
      <c r="J242">
        <v>0</v>
      </c>
      <c r="K242">
        <v>0</v>
      </c>
      <c r="L242" t="s">
        <v>3</v>
      </c>
      <c r="M242" t="s">
        <v>3</v>
      </c>
      <c r="N242">
        <v>0</v>
      </c>
      <c r="P242" t="s">
        <v>324</v>
      </c>
    </row>
    <row r="243" spans="1:16" x14ac:dyDescent="0.2">
      <c r="A243">
        <v>70</v>
      </c>
      <c r="B243">
        <v>1</v>
      </c>
      <c r="D243">
        <v>8</v>
      </c>
      <c r="E243" t="s">
        <v>325</v>
      </c>
      <c r="F243" t="s">
        <v>326</v>
      </c>
      <c r="G243">
        <v>1</v>
      </c>
      <c r="H243">
        <v>0</v>
      </c>
      <c r="I243" t="s">
        <v>3</v>
      </c>
      <c r="J243">
        <v>5</v>
      </c>
      <c r="K243">
        <v>0</v>
      </c>
      <c r="L243" t="s">
        <v>3</v>
      </c>
      <c r="M243" t="s">
        <v>3</v>
      </c>
      <c r="N243">
        <v>0</v>
      </c>
      <c r="P243" t="s">
        <v>3</v>
      </c>
    </row>
    <row r="244" spans="1:16" x14ac:dyDescent="0.2">
      <c r="A244">
        <v>70</v>
      </c>
      <c r="B244">
        <v>1</v>
      </c>
      <c r="D244">
        <v>9</v>
      </c>
      <c r="E244" t="s">
        <v>327</v>
      </c>
      <c r="F244" t="s">
        <v>328</v>
      </c>
      <c r="G244">
        <v>0</v>
      </c>
      <c r="H244">
        <v>0</v>
      </c>
      <c r="I244" t="s">
        <v>3</v>
      </c>
      <c r="J244">
        <v>5</v>
      </c>
      <c r="K244">
        <v>0</v>
      </c>
      <c r="L244" t="s">
        <v>3</v>
      </c>
      <c r="M244" t="s">
        <v>3</v>
      </c>
      <c r="N244">
        <v>0</v>
      </c>
      <c r="P244" t="s">
        <v>3</v>
      </c>
    </row>
    <row r="245" spans="1:16" x14ac:dyDescent="0.2">
      <c r="A245">
        <v>70</v>
      </c>
      <c r="B245">
        <v>1</v>
      </c>
      <c r="D245">
        <v>10</v>
      </c>
      <c r="E245" t="s">
        <v>329</v>
      </c>
      <c r="F245" t="s">
        <v>330</v>
      </c>
      <c r="G245">
        <v>0</v>
      </c>
      <c r="H245">
        <v>0</v>
      </c>
      <c r="I245" t="s">
        <v>331</v>
      </c>
      <c r="J245">
        <v>5</v>
      </c>
      <c r="K245">
        <v>0</v>
      </c>
      <c r="L245" t="s">
        <v>3</v>
      </c>
      <c r="M245" t="s">
        <v>3</v>
      </c>
      <c r="N245">
        <v>0</v>
      </c>
      <c r="P245" t="s">
        <v>332</v>
      </c>
    </row>
    <row r="246" spans="1:16" x14ac:dyDescent="0.2">
      <c r="A246">
        <v>70</v>
      </c>
      <c r="B246">
        <v>1</v>
      </c>
      <c r="D246">
        <v>11</v>
      </c>
      <c r="E246" t="s">
        <v>333</v>
      </c>
      <c r="F246" t="s">
        <v>334</v>
      </c>
      <c r="G246">
        <v>0</v>
      </c>
      <c r="H246">
        <v>0</v>
      </c>
      <c r="I246" t="s">
        <v>335</v>
      </c>
      <c r="J246">
        <v>0</v>
      </c>
      <c r="K246">
        <v>0</v>
      </c>
      <c r="L246" t="s">
        <v>3</v>
      </c>
      <c r="M246" t="s">
        <v>3</v>
      </c>
      <c r="N246">
        <v>0</v>
      </c>
      <c r="P246" t="s">
        <v>336</v>
      </c>
    </row>
    <row r="247" spans="1:16" x14ac:dyDescent="0.2">
      <c r="A247">
        <v>70</v>
      </c>
      <c r="B247">
        <v>1</v>
      </c>
      <c r="D247">
        <v>12</v>
      </c>
      <c r="E247" t="s">
        <v>337</v>
      </c>
      <c r="F247" t="s">
        <v>338</v>
      </c>
      <c r="G247">
        <v>0</v>
      </c>
      <c r="H247">
        <v>0</v>
      </c>
      <c r="I247" t="s">
        <v>339</v>
      </c>
      <c r="J247">
        <v>0</v>
      </c>
      <c r="K247">
        <v>0</v>
      </c>
      <c r="L247" t="s">
        <v>3</v>
      </c>
      <c r="M247" t="s">
        <v>3</v>
      </c>
      <c r="N247">
        <v>0</v>
      </c>
      <c r="P247" t="s">
        <v>340</v>
      </c>
    </row>
    <row r="248" spans="1:16" x14ac:dyDescent="0.2">
      <c r="A248">
        <v>70</v>
      </c>
      <c r="B248">
        <v>1</v>
      </c>
      <c r="D248">
        <v>13</v>
      </c>
      <c r="E248" t="s">
        <v>341</v>
      </c>
      <c r="F248" t="s">
        <v>342</v>
      </c>
      <c r="G248">
        <v>0</v>
      </c>
      <c r="H248">
        <v>0</v>
      </c>
      <c r="I248" t="s">
        <v>343</v>
      </c>
      <c r="J248">
        <v>0</v>
      </c>
      <c r="K248">
        <v>0</v>
      </c>
      <c r="L248" t="s">
        <v>3</v>
      </c>
      <c r="M248" t="s">
        <v>3</v>
      </c>
      <c r="N248">
        <v>0</v>
      </c>
      <c r="P248" t="s">
        <v>344</v>
      </c>
    </row>
    <row r="249" spans="1:16" x14ac:dyDescent="0.2">
      <c r="A249">
        <v>70</v>
      </c>
      <c r="B249">
        <v>1</v>
      </c>
      <c r="D249">
        <v>14</v>
      </c>
      <c r="E249" t="s">
        <v>345</v>
      </c>
      <c r="F249" t="s">
        <v>346</v>
      </c>
      <c r="G249">
        <v>0</v>
      </c>
      <c r="H249">
        <v>0</v>
      </c>
      <c r="I249" t="s">
        <v>3</v>
      </c>
      <c r="J249">
        <v>0</v>
      </c>
      <c r="K249">
        <v>0</v>
      </c>
      <c r="L249" t="s">
        <v>3</v>
      </c>
      <c r="M249" t="s">
        <v>3</v>
      </c>
      <c r="N249">
        <v>0</v>
      </c>
      <c r="P249" t="s">
        <v>347</v>
      </c>
    </row>
    <row r="250" spans="1:16" x14ac:dyDescent="0.2">
      <c r="A250">
        <v>70</v>
      </c>
      <c r="B250">
        <v>1</v>
      </c>
      <c r="D250">
        <v>15</v>
      </c>
      <c r="E250" t="s">
        <v>348</v>
      </c>
      <c r="F250" t="s">
        <v>349</v>
      </c>
      <c r="G250">
        <v>0</v>
      </c>
      <c r="H250">
        <v>0</v>
      </c>
      <c r="I250" t="s">
        <v>3</v>
      </c>
      <c r="J250">
        <v>3</v>
      </c>
      <c r="K250">
        <v>0</v>
      </c>
      <c r="L250" t="s">
        <v>3</v>
      </c>
      <c r="M250" t="s">
        <v>3</v>
      </c>
      <c r="N250">
        <v>0</v>
      </c>
      <c r="P250" t="s">
        <v>3</v>
      </c>
    </row>
    <row r="251" spans="1:16" x14ac:dyDescent="0.2">
      <c r="A251">
        <v>70</v>
      </c>
      <c r="B251">
        <v>1</v>
      </c>
      <c r="D251">
        <v>16</v>
      </c>
      <c r="E251" t="s">
        <v>350</v>
      </c>
      <c r="F251" t="s">
        <v>351</v>
      </c>
      <c r="G251">
        <v>1</v>
      </c>
      <c r="H251">
        <v>0</v>
      </c>
      <c r="I251" t="s">
        <v>3</v>
      </c>
      <c r="J251">
        <v>3</v>
      </c>
      <c r="K251">
        <v>0</v>
      </c>
      <c r="L251" t="s">
        <v>3</v>
      </c>
      <c r="M251" t="s">
        <v>3</v>
      </c>
      <c r="N251">
        <v>0</v>
      </c>
      <c r="P251" t="s">
        <v>3</v>
      </c>
    </row>
    <row r="252" spans="1:16" x14ac:dyDescent="0.2">
      <c r="A252">
        <v>70</v>
      </c>
      <c r="B252">
        <v>1</v>
      </c>
      <c r="D252">
        <v>1</v>
      </c>
      <c r="E252" t="s">
        <v>352</v>
      </c>
      <c r="F252" t="s">
        <v>353</v>
      </c>
      <c r="G252">
        <v>0.9</v>
      </c>
      <c r="H252">
        <v>1</v>
      </c>
      <c r="I252" t="s">
        <v>354</v>
      </c>
      <c r="J252">
        <v>0</v>
      </c>
      <c r="K252">
        <v>0</v>
      </c>
      <c r="L252" t="s">
        <v>3</v>
      </c>
      <c r="M252" t="s">
        <v>3</v>
      </c>
      <c r="N252">
        <v>0</v>
      </c>
      <c r="P252" t="s">
        <v>355</v>
      </c>
    </row>
    <row r="253" spans="1:16" x14ac:dyDescent="0.2">
      <c r="A253">
        <v>70</v>
      </c>
      <c r="B253">
        <v>1</v>
      </c>
      <c r="D253">
        <v>2</v>
      </c>
      <c r="E253" t="s">
        <v>356</v>
      </c>
      <c r="F253" t="s">
        <v>357</v>
      </c>
      <c r="G253">
        <v>0.85</v>
      </c>
      <c r="H253">
        <v>1</v>
      </c>
      <c r="I253" t="s">
        <v>358</v>
      </c>
      <c r="J253">
        <v>0</v>
      </c>
      <c r="K253">
        <v>0</v>
      </c>
      <c r="L253" t="s">
        <v>3</v>
      </c>
      <c r="M253" t="s">
        <v>3</v>
      </c>
      <c r="N253">
        <v>0</v>
      </c>
      <c r="P253" t="s">
        <v>359</v>
      </c>
    </row>
    <row r="254" spans="1:16" x14ac:dyDescent="0.2">
      <c r="A254">
        <v>70</v>
      </c>
      <c r="B254">
        <v>1</v>
      </c>
      <c r="D254">
        <v>3</v>
      </c>
      <c r="E254" t="s">
        <v>360</v>
      </c>
      <c r="F254" t="s">
        <v>361</v>
      </c>
      <c r="G254">
        <v>1.03</v>
      </c>
      <c r="H254">
        <v>0</v>
      </c>
      <c r="I254" t="s">
        <v>3</v>
      </c>
      <c r="J254">
        <v>0</v>
      </c>
      <c r="K254">
        <v>0</v>
      </c>
      <c r="L254" t="s">
        <v>3</v>
      </c>
      <c r="M254" t="s">
        <v>3</v>
      </c>
      <c r="N254">
        <v>0</v>
      </c>
      <c r="P254" t="s">
        <v>362</v>
      </c>
    </row>
    <row r="255" spans="1:16" x14ac:dyDescent="0.2">
      <c r="A255">
        <v>70</v>
      </c>
      <c r="B255">
        <v>1</v>
      </c>
      <c r="D255">
        <v>4</v>
      </c>
      <c r="E255" t="s">
        <v>363</v>
      </c>
      <c r="F255" t="s">
        <v>364</v>
      </c>
      <c r="G255">
        <v>1.1499999999999999</v>
      </c>
      <c r="H255">
        <v>0</v>
      </c>
      <c r="I255" t="s">
        <v>3</v>
      </c>
      <c r="J255">
        <v>0</v>
      </c>
      <c r="K255">
        <v>0</v>
      </c>
      <c r="L255" t="s">
        <v>3</v>
      </c>
      <c r="M255" t="s">
        <v>3</v>
      </c>
      <c r="N255">
        <v>0</v>
      </c>
      <c r="P255" t="s">
        <v>365</v>
      </c>
    </row>
    <row r="256" spans="1:16" x14ac:dyDescent="0.2">
      <c r="A256">
        <v>70</v>
      </c>
      <c r="B256">
        <v>1</v>
      </c>
      <c r="D256">
        <v>5</v>
      </c>
      <c r="E256" t="s">
        <v>366</v>
      </c>
      <c r="F256" t="s">
        <v>367</v>
      </c>
      <c r="G256">
        <v>7</v>
      </c>
      <c r="H256">
        <v>0</v>
      </c>
      <c r="I256" t="s">
        <v>3</v>
      </c>
      <c r="J256">
        <v>0</v>
      </c>
      <c r="K256">
        <v>0</v>
      </c>
      <c r="L256" t="s">
        <v>3</v>
      </c>
      <c r="M256" t="s">
        <v>3</v>
      </c>
      <c r="N256">
        <v>0</v>
      </c>
      <c r="P256" t="s">
        <v>3</v>
      </c>
    </row>
    <row r="257" spans="1:40" x14ac:dyDescent="0.2">
      <c r="A257">
        <v>70</v>
      </c>
      <c r="B257">
        <v>1</v>
      </c>
      <c r="D257">
        <v>6</v>
      </c>
      <c r="E257" t="s">
        <v>368</v>
      </c>
      <c r="F257" t="s">
        <v>3</v>
      </c>
      <c r="G257">
        <v>2</v>
      </c>
      <c r="H257">
        <v>0</v>
      </c>
      <c r="I257" t="s">
        <v>3</v>
      </c>
      <c r="J257">
        <v>0</v>
      </c>
      <c r="K257">
        <v>0</v>
      </c>
      <c r="L257" t="s">
        <v>3</v>
      </c>
      <c r="M257" t="s">
        <v>3</v>
      </c>
      <c r="N257">
        <v>0</v>
      </c>
      <c r="P257" t="s">
        <v>3</v>
      </c>
    </row>
    <row r="259" spans="1:40" x14ac:dyDescent="0.2">
      <c r="A259">
        <v>-1</v>
      </c>
    </row>
    <row r="261" spans="1:40" x14ac:dyDescent="0.2">
      <c r="A261" s="3">
        <v>75</v>
      </c>
      <c r="B261" s="3" t="s">
        <v>369</v>
      </c>
      <c r="C261" s="3">
        <v>2023</v>
      </c>
      <c r="D261" s="3">
        <v>2</v>
      </c>
      <c r="E261" s="3">
        <v>0</v>
      </c>
      <c r="F261" s="3">
        <v>0</v>
      </c>
      <c r="G261" s="3">
        <v>0</v>
      </c>
      <c r="H261" s="3">
        <v>1</v>
      </c>
      <c r="I261" s="3">
        <v>0</v>
      </c>
      <c r="J261" s="3">
        <v>3</v>
      </c>
      <c r="K261" s="3">
        <v>0</v>
      </c>
      <c r="L261" s="3">
        <v>0</v>
      </c>
      <c r="M261" s="3">
        <v>0</v>
      </c>
      <c r="N261" s="3">
        <v>143120906</v>
      </c>
      <c r="O261" s="3">
        <v>1</v>
      </c>
    </row>
    <row r="262" spans="1:40" x14ac:dyDescent="0.2">
      <c r="A262" s="6">
        <v>3</v>
      </c>
      <c r="B262" s="6" t="s">
        <v>370</v>
      </c>
      <c r="C262" s="6">
        <v>11.05</v>
      </c>
      <c r="D262" s="6">
        <v>7.99</v>
      </c>
      <c r="E262" s="6">
        <v>11.05</v>
      </c>
      <c r="F262" s="6">
        <v>27.94</v>
      </c>
      <c r="G262" s="6">
        <v>27.94</v>
      </c>
      <c r="H262" s="6">
        <v>1</v>
      </c>
      <c r="I262" s="6">
        <v>11.05</v>
      </c>
      <c r="J262" s="6">
        <v>2</v>
      </c>
      <c r="K262" s="6">
        <v>1</v>
      </c>
      <c r="L262" s="6">
        <v>11.05</v>
      </c>
      <c r="M262" s="6">
        <v>11.05</v>
      </c>
      <c r="N262" s="6">
        <v>7.99</v>
      </c>
      <c r="O262" s="6">
        <v>1</v>
      </c>
      <c r="P262" s="6">
        <v>11.05</v>
      </c>
      <c r="Q262" s="6">
        <v>1</v>
      </c>
      <c r="R262" s="6">
        <v>11.05</v>
      </c>
      <c r="S262" s="6" t="s">
        <v>3</v>
      </c>
      <c r="T262" s="6" t="s">
        <v>3</v>
      </c>
      <c r="U262" s="6" t="s">
        <v>3</v>
      </c>
      <c r="V262" s="6" t="s">
        <v>3</v>
      </c>
      <c r="W262" s="6" t="s">
        <v>3</v>
      </c>
      <c r="X262" s="6" t="s">
        <v>3</v>
      </c>
      <c r="Y262" s="6" t="s">
        <v>3</v>
      </c>
      <c r="Z262" s="6" t="s">
        <v>3</v>
      </c>
      <c r="AA262" s="6" t="s">
        <v>3</v>
      </c>
      <c r="AB262" s="6" t="s">
        <v>3</v>
      </c>
      <c r="AC262" s="6" t="s">
        <v>3</v>
      </c>
      <c r="AD262" s="6" t="s">
        <v>3</v>
      </c>
      <c r="AE262" s="6" t="s">
        <v>3</v>
      </c>
      <c r="AF262" s="6" t="s">
        <v>3</v>
      </c>
      <c r="AG262" s="6" t="s">
        <v>3</v>
      </c>
      <c r="AH262" s="6" t="s">
        <v>3</v>
      </c>
      <c r="AI262" s="6"/>
      <c r="AJ262" s="6"/>
      <c r="AK262" s="6"/>
      <c r="AL262" s="6"/>
      <c r="AM262" s="6"/>
      <c r="AN262" s="6">
        <v>143120907</v>
      </c>
    </row>
    <row r="266" spans="1:40" x14ac:dyDescent="0.2">
      <c r="A266">
        <v>65</v>
      </c>
      <c r="C266">
        <v>1</v>
      </c>
      <c r="D266">
        <v>0</v>
      </c>
      <c r="E266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C5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371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0</v>
      </c>
      <c r="L1">
        <v>31883</v>
      </c>
      <c r="M1">
        <v>139239296</v>
      </c>
      <c r="N1">
        <v>11</v>
      </c>
      <c r="O1">
        <v>6</v>
      </c>
      <c r="P1">
        <v>5</v>
      </c>
      <c r="Q1">
        <v>0</v>
      </c>
    </row>
    <row r="4" spans="1:133" x14ac:dyDescent="0.2">
      <c r="A4" s="1">
        <v>1</v>
      </c>
      <c r="B4" s="1">
        <v>1</v>
      </c>
      <c r="C4" s="1">
        <v>-1</v>
      </c>
      <c r="D4" s="1"/>
      <c r="E4" s="1"/>
      <c r="F4" s="1"/>
      <c r="G4" s="1" t="s">
        <v>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>
        <v>0</v>
      </c>
    </row>
    <row r="12" spans="1:133" x14ac:dyDescent="0.2">
      <c r="A12" s="1">
        <v>1</v>
      </c>
      <c r="B12" s="1">
        <v>53</v>
      </c>
      <c r="C12" s="1">
        <v>0</v>
      </c>
      <c r="D12" s="1"/>
      <c r="E12" s="1">
        <v>0</v>
      </c>
      <c r="F12" s="1" t="s">
        <v>5</v>
      </c>
      <c r="G12" s="1" t="s">
        <v>6</v>
      </c>
      <c r="H12" s="1" t="s">
        <v>3</v>
      </c>
      <c r="I12" s="1">
        <v>0</v>
      </c>
      <c r="J12" s="1" t="s">
        <v>7</v>
      </c>
      <c r="K12" s="1">
        <v>0</v>
      </c>
      <c r="L12" s="1">
        <v>0</v>
      </c>
      <c r="M12" s="1">
        <v>2</v>
      </c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>
        <v>1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>
        <v>0</v>
      </c>
      <c r="BC12" s="1"/>
      <c r="BD12" s="1"/>
      <c r="BE12" s="1"/>
      <c r="BF12" s="1"/>
      <c r="BG12" s="1"/>
      <c r="BH12" s="1" t="s">
        <v>8</v>
      </c>
      <c r="BI12" s="1" t="s">
        <v>9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1</v>
      </c>
      <c r="BV12" s="1">
        <v>1</v>
      </c>
      <c r="BW12" s="1">
        <v>1</v>
      </c>
      <c r="BX12" s="1">
        <v>0</v>
      </c>
      <c r="BY12" s="1" t="s">
        <v>10</v>
      </c>
      <c r="BZ12" s="1" t="s">
        <v>11</v>
      </c>
      <c r="CA12" s="1" t="s">
        <v>12</v>
      </c>
      <c r="CB12" s="1" t="s">
        <v>12</v>
      </c>
      <c r="CC12" s="1" t="s">
        <v>12</v>
      </c>
      <c r="CD12" s="1" t="s">
        <v>12</v>
      </c>
      <c r="CE12" s="1" t="s">
        <v>13</v>
      </c>
      <c r="CF12" s="1">
        <v>0</v>
      </c>
      <c r="CG12" s="1">
        <v>0</v>
      </c>
      <c r="CH12" s="1">
        <v>524298</v>
      </c>
      <c r="CI12" s="1" t="s">
        <v>3</v>
      </c>
      <c r="CJ12" s="1" t="s">
        <v>3</v>
      </c>
      <c r="CK12" s="1">
        <v>9</v>
      </c>
      <c r="CL12" s="1"/>
      <c r="CM12" s="1"/>
      <c r="CN12" s="1"/>
      <c r="CO12" s="1"/>
      <c r="CP12" s="1"/>
      <c r="CQ12" s="1" t="s">
        <v>555</v>
      </c>
      <c r="CR12" s="1" t="s">
        <v>14</v>
      </c>
      <c r="CS12" s="1">
        <v>44551</v>
      </c>
      <c r="CT12" s="1">
        <v>395</v>
      </c>
      <c r="CU12" s="1"/>
      <c r="CV12" s="1"/>
      <c r="CW12" s="1"/>
      <c r="CX12" s="1"/>
      <c r="CY12" s="1">
        <v>0</v>
      </c>
      <c r="CZ12" s="1" t="s">
        <v>3</v>
      </c>
      <c r="DA12" s="1" t="s">
        <v>3</v>
      </c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1</v>
      </c>
      <c r="C14" s="1">
        <v>0</v>
      </c>
      <c r="D14" s="1">
        <v>143120906</v>
      </c>
      <c r="E14" s="1">
        <v>0</v>
      </c>
      <c r="F14" s="1">
        <v>2</v>
      </c>
      <c r="G14" s="1">
        <v>1</v>
      </c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0</v>
      </c>
      <c r="C16" s="7" t="s">
        <v>15</v>
      </c>
      <c r="D16" s="7" t="s">
        <v>15</v>
      </c>
      <c r="E16" s="8">
        <f>ROUND((Source!F186)/1000,2)</f>
        <v>547.86</v>
      </c>
      <c r="F16" s="8">
        <f>ROUND((Source!F187)/1000,2)</f>
        <v>0</v>
      </c>
      <c r="G16" s="8">
        <f>ROUND((Source!F178)/1000,2)</f>
        <v>0</v>
      </c>
      <c r="H16" s="8">
        <f>ROUND((Source!F188)/1000+(Source!F189)/1000,2)</f>
        <v>0</v>
      </c>
      <c r="I16" s="8">
        <f>E16+F16+G16+H16</f>
        <v>547.86</v>
      </c>
      <c r="J16" s="8">
        <f>ROUND((Source!F184+Source!F183)/1000,2)</f>
        <v>144.59</v>
      </c>
      <c r="AI16" s="7">
        <v>0</v>
      </c>
      <c r="AJ16" s="7">
        <v>0</v>
      </c>
      <c r="AK16" s="7" t="s">
        <v>3</v>
      </c>
      <c r="AL16" s="7" t="s">
        <v>556</v>
      </c>
      <c r="AM16" s="7" t="s">
        <v>18</v>
      </c>
      <c r="AN16" s="7">
        <v>0</v>
      </c>
      <c r="AO16" s="7" t="s">
        <v>3</v>
      </c>
      <c r="AP16" s="7" t="s">
        <v>3</v>
      </c>
      <c r="AT16" s="8">
        <v>329617.53000000003</v>
      </c>
      <c r="AU16" s="8">
        <v>170359.77</v>
      </c>
      <c r="AV16" s="8">
        <v>0</v>
      </c>
      <c r="AW16" s="8">
        <v>0</v>
      </c>
      <c r="AX16" s="8">
        <v>0</v>
      </c>
      <c r="AY16" s="8">
        <v>21598.080000000002</v>
      </c>
      <c r="AZ16" s="8">
        <v>6931.05</v>
      </c>
      <c r="BA16" s="8">
        <v>137659.68</v>
      </c>
      <c r="BB16" s="8">
        <v>547860.5</v>
      </c>
      <c r="BC16" s="8">
        <v>0</v>
      </c>
      <c r="BD16" s="8">
        <v>0</v>
      </c>
      <c r="BE16" s="8">
        <v>0</v>
      </c>
      <c r="BF16" s="8">
        <v>538.75147502000004</v>
      </c>
      <c r="BG16" s="8">
        <v>18.944853799999997</v>
      </c>
      <c r="BH16" s="8">
        <v>0</v>
      </c>
      <c r="BI16" s="8">
        <v>146116.26</v>
      </c>
      <c r="BJ16" s="8">
        <v>71995.66</v>
      </c>
      <c r="BK16" s="8">
        <v>547860.5</v>
      </c>
    </row>
    <row r="18" spans="1:19" x14ac:dyDescent="0.2">
      <c r="A18">
        <v>51</v>
      </c>
      <c r="E18" s="5">
        <f>SUMIF(A16:A17,3,E16:E17)</f>
        <v>547.86</v>
      </c>
      <c r="F18" s="5">
        <f>SUMIF(A16:A17,3,F16:F17)</f>
        <v>0</v>
      </c>
      <c r="G18" s="5">
        <f>SUMIF(A16:A17,3,G16:G17)</f>
        <v>0</v>
      </c>
      <c r="H18" s="5">
        <f>SUMIF(A16:A17,3,H16:H17)</f>
        <v>0</v>
      </c>
      <c r="I18" s="5">
        <f>SUMIF(A16:A17,3,I16:I17)</f>
        <v>547.86</v>
      </c>
      <c r="J18" s="5">
        <f>SUMIF(A16:A17,3,J16:J17)</f>
        <v>144.59</v>
      </c>
      <c r="K18" s="5"/>
      <c r="L18" s="5"/>
      <c r="M18" s="5"/>
      <c r="N18" s="5"/>
      <c r="O18" s="5"/>
      <c r="P18" s="5"/>
      <c r="Q18" s="5"/>
      <c r="R18" s="5"/>
      <c r="S18" s="5"/>
    </row>
    <row r="20" spans="1:19" x14ac:dyDescent="0.2">
      <c r="A20" s="4">
        <v>50</v>
      </c>
      <c r="B20" s="4">
        <f>IF(SourceObSm!F20&lt;&gt;0,1,0)</f>
        <v>1</v>
      </c>
      <c r="C20" s="4">
        <v>0</v>
      </c>
      <c r="D20" s="4">
        <v>1</v>
      </c>
      <c r="E20" s="4">
        <v>201</v>
      </c>
      <c r="F20" s="4">
        <v>329617.53000000003</v>
      </c>
      <c r="G20" s="4" t="s">
        <v>71</v>
      </c>
      <c r="H20" s="4" t="s">
        <v>72</v>
      </c>
      <c r="I20" s="4"/>
      <c r="J20" s="4"/>
      <c r="K20" s="4">
        <v>201</v>
      </c>
      <c r="L20" s="4">
        <v>1</v>
      </c>
      <c r="M20" s="4">
        <v>1</v>
      </c>
      <c r="N20" s="4" t="s">
        <v>3</v>
      </c>
      <c r="O20" s="4">
        <v>2</v>
      </c>
      <c r="P20" s="4"/>
    </row>
    <row r="21" spans="1:19" x14ac:dyDescent="0.2">
      <c r="A21" s="4">
        <v>50</v>
      </c>
      <c r="B21" s="4">
        <f>IF(SourceObSm!F21&lt;&gt;0,1,0)</f>
        <v>1</v>
      </c>
      <c r="C21" s="4">
        <v>0</v>
      </c>
      <c r="D21" s="4">
        <v>1</v>
      </c>
      <c r="E21" s="4">
        <v>202</v>
      </c>
      <c r="F21" s="4">
        <v>170359.77</v>
      </c>
      <c r="G21" s="4" t="s">
        <v>73</v>
      </c>
      <c r="H21" s="4" t="s">
        <v>74</v>
      </c>
      <c r="I21" s="4"/>
      <c r="J21" s="4"/>
      <c r="K21" s="4">
        <v>202</v>
      </c>
      <c r="L21" s="4">
        <v>2</v>
      </c>
      <c r="M21" s="4">
        <v>1</v>
      </c>
      <c r="N21" s="4" t="s">
        <v>3</v>
      </c>
      <c r="O21" s="4">
        <v>2</v>
      </c>
      <c r="P21" s="4"/>
    </row>
    <row r="22" spans="1:19" x14ac:dyDescent="0.2">
      <c r="A22" s="4">
        <v>50</v>
      </c>
      <c r="B22" s="4">
        <f>IF(SourceObSm!F22&lt;&gt;0,1,0)</f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75</v>
      </c>
      <c r="H22" s="4" t="s">
        <v>76</v>
      </c>
      <c r="I22" s="4"/>
      <c r="J22" s="4"/>
      <c r="K22" s="4">
        <v>222</v>
      </c>
      <c r="L22" s="4">
        <v>3</v>
      </c>
      <c r="M22" s="4">
        <v>1</v>
      </c>
      <c r="N22" s="4" t="s">
        <v>3</v>
      </c>
      <c r="O22" s="4">
        <v>2</v>
      </c>
      <c r="P22" s="4"/>
    </row>
    <row r="23" spans="1:19" x14ac:dyDescent="0.2">
      <c r="A23" s="4">
        <v>50</v>
      </c>
      <c r="B23" s="4">
        <f>IF(SourceObSm!F23&lt;&gt;0,1,0)</f>
        <v>1</v>
      </c>
      <c r="C23" s="4">
        <v>0</v>
      </c>
      <c r="D23" s="4">
        <v>1</v>
      </c>
      <c r="E23" s="4">
        <v>225</v>
      </c>
      <c r="F23" s="4">
        <v>170359.77</v>
      </c>
      <c r="G23" s="4" t="s">
        <v>77</v>
      </c>
      <c r="H23" s="4" t="s">
        <v>78</v>
      </c>
      <c r="I23" s="4"/>
      <c r="J23" s="4"/>
      <c r="K23" s="4">
        <v>225</v>
      </c>
      <c r="L23" s="4">
        <v>4</v>
      </c>
      <c r="M23" s="4">
        <v>1</v>
      </c>
      <c r="N23" s="4" t="s">
        <v>3</v>
      </c>
      <c r="O23" s="4">
        <v>2</v>
      </c>
      <c r="P23" s="4"/>
    </row>
    <row r="24" spans="1:19" x14ac:dyDescent="0.2">
      <c r="A24" s="4">
        <v>50</v>
      </c>
      <c r="B24" s="4">
        <f>IF(SourceObSm!F24&lt;&gt;0,1,0)</f>
        <v>1</v>
      </c>
      <c r="C24" s="4">
        <v>0</v>
      </c>
      <c r="D24" s="4">
        <v>1</v>
      </c>
      <c r="E24" s="4">
        <v>226</v>
      </c>
      <c r="F24" s="4">
        <v>170359.77</v>
      </c>
      <c r="G24" s="4" t="s">
        <v>79</v>
      </c>
      <c r="H24" s="4" t="s">
        <v>80</v>
      </c>
      <c r="I24" s="4"/>
      <c r="J24" s="4"/>
      <c r="K24" s="4">
        <v>226</v>
      </c>
      <c r="L24" s="4">
        <v>5</v>
      </c>
      <c r="M24" s="4">
        <v>1</v>
      </c>
      <c r="N24" s="4" t="s">
        <v>3</v>
      </c>
      <c r="O24" s="4">
        <v>2</v>
      </c>
      <c r="P24" s="4"/>
    </row>
    <row r="25" spans="1:19" x14ac:dyDescent="0.2">
      <c r="A25" s="4">
        <v>50</v>
      </c>
      <c r="B25" s="4">
        <f>IF(SourceObSm!F25&lt;&gt;0,1,0)</f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81</v>
      </c>
      <c r="H25" s="4" t="s">
        <v>82</v>
      </c>
      <c r="I25" s="4"/>
      <c r="J25" s="4"/>
      <c r="K25" s="4">
        <v>227</v>
      </c>
      <c r="L25" s="4">
        <v>6</v>
      </c>
      <c r="M25" s="4">
        <v>1</v>
      </c>
      <c r="N25" s="4" t="s">
        <v>3</v>
      </c>
      <c r="O25" s="4">
        <v>2</v>
      </c>
      <c r="P25" s="4"/>
    </row>
    <row r="26" spans="1:19" x14ac:dyDescent="0.2">
      <c r="A26" s="4">
        <v>50</v>
      </c>
      <c r="B26" s="4">
        <f>IF(SourceObSm!F26&lt;&gt;0,1,0)</f>
        <v>1</v>
      </c>
      <c r="C26" s="4">
        <v>0</v>
      </c>
      <c r="D26" s="4">
        <v>1</v>
      </c>
      <c r="E26" s="4">
        <v>228</v>
      </c>
      <c r="F26" s="4">
        <v>170359.77</v>
      </c>
      <c r="G26" s="4" t="s">
        <v>83</v>
      </c>
      <c r="H26" s="4" t="s">
        <v>84</v>
      </c>
      <c r="I26" s="4"/>
      <c r="J26" s="4"/>
      <c r="K26" s="4">
        <v>228</v>
      </c>
      <c r="L26" s="4">
        <v>7</v>
      </c>
      <c r="M26" s="4">
        <v>1</v>
      </c>
      <c r="N26" s="4" t="s">
        <v>3</v>
      </c>
      <c r="O26" s="4">
        <v>2</v>
      </c>
      <c r="P26" s="4"/>
    </row>
    <row r="27" spans="1:19" x14ac:dyDescent="0.2">
      <c r="A27" s="4">
        <v>50</v>
      </c>
      <c r="B27" s="4">
        <f>IF(SourceObSm!F27&lt;&gt;0,1,0)</f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85</v>
      </c>
      <c r="H27" s="4" t="s">
        <v>86</v>
      </c>
      <c r="I27" s="4"/>
      <c r="J27" s="4"/>
      <c r="K27" s="4">
        <v>216</v>
      </c>
      <c r="L27" s="4">
        <v>8</v>
      </c>
      <c r="M27" s="4">
        <v>1</v>
      </c>
      <c r="N27" s="4" t="s">
        <v>3</v>
      </c>
      <c r="O27" s="4">
        <v>2</v>
      </c>
      <c r="P27" s="4"/>
    </row>
    <row r="28" spans="1:19" x14ac:dyDescent="0.2">
      <c r="A28" s="4">
        <v>50</v>
      </c>
      <c r="B28" s="4">
        <f>IF(SourceObSm!F28&lt;&gt;0,1,0)</f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87</v>
      </c>
      <c r="H28" s="4" t="s">
        <v>88</v>
      </c>
      <c r="I28" s="4"/>
      <c r="J28" s="4"/>
      <c r="K28" s="4">
        <v>223</v>
      </c>
      <c r="L28" s="4">
        <v>9</v>
      </c>
      <c r="M28" s="4">
        <v>1</v>
      </c>
      <c r="N28" s="4" t="s">
        <v>3</v>
      </c>
      <c r="O28" s="4">
        <v>2</v>
      </c>
      <c r="P28" s="4"/>
    </row>
    <row r="29" spans="1:19" x14ac:dyDescent="0.2">
      <c r="A29" s="4">
        <v>50</v>
      </c>
      <c r="B29" s="4">
        <f>IF(SourceObSm!F29&lt;&gt;0,1,0)</f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89</v>
      </c>
      <c r="H29" s="4" t="s">
        <v>90</v>
      </c>
      <c r="I29" s="4"/>
      <c r="J29" s="4"/>
      <c r="K29" s="4">
        <v>229</v>
      </c>
      <c r="L29" s="4">
        <v>10</v>
      </c>
      <c r="M29" s="4">
        <v>1</v>
      </c>
      <c r="N29" s="4" t="s">
        <v>3</v>
      </c>
      <c r="O29" s="4">
        <v>2</v>
      </c>
      <c r="P29" s="4"/>
    </row>
    <row r="30" spans="1:19" x14ac:dyDescent="0.2">
      <c r="A30" s="4">
        <v>50</v>
      </c>
      <c r="B30" s="4">
        <f>IF(SourceObSm!F30&lt;&gt;0,1,0)</f>
        <v>1</v>
      </c>
      <c r="C30" s="4">
        <v>0</v>
      </c>
      <c r="D30" s="4">
        <v>1</v>
      </c>
      <c r="E30" s="4">
        <v>203</v>
      </c>
      <c r="F30" s="4">
        <v>21598.080000000002</v>
      </c>
      <c r="G30" s="4" t="s">
        <v>91</v>
      </c>
      <c r="H30" s="4" t="s">
        <v>92</v>
      </c>
      <c r="I30" s="4"/>
      <c r="J30" s="4"/>
      <c r="K30" s="4">
        <v>203</v>
      </c>
      <c r="L30" s="4">
        <v>11</v>
      </c>
      <c r="M30" s="4">
        <v>1</v>
      </c>
      <c r="N30" s="4" t="s">
        <v>3</v>
      </c>
      <c r="O30" s="4">
        <v>2</v>
      </c>
      <c r="P30" s="4"/>
    </row>
    <row r="31" spans="1:19" x14ac:dyDescent="0.2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93</v>
      </c>
      <c r="H31" s="4" t="s">
        <v>94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 x14ac:dyDescent="0.2">
      <c r="A32" s="4">
        <v>50</v>
      </c>
      <c r="B32" s="4">
        <f>IF(SourceObSm!F32&lt;&gt;0,1,0)</f>
        <v>1</v>
      </c>
      <c r="C32" s="4">
        <v>0</v>
      </c>
      <c r="D32" s="4">
        <v>1</v>
      </c>
      <c r="E32" s="4">
        <v>204</v>
      </c>
      <c r="F32" s="4">
        <v>6931.05</v>
      </c>
      <c r="G32" s="4" t="s">
        <v>95</v>
      </c>
      <c r="H32" s="4" t="s">
        <v>96</v>
      </c>
      <c r="I32" s="4"/>
      <c r="J32" s="4"/>
      <c r="K32" s="4">
        <v>204</v>
      </c>
      <c r="L32" s="4">
        <v>13</v>
      </c>
      <c r="M32" s="4">
        <v>1</v>
      </c>
      <c r="N32" s="4" t="s">
        <v>3</v>
      </c>
      <c r="O32" s="4">
        <v>2</v>
      </c>
      <c r="P32" s="4"/>
    </row>
    <row r="33" spans="1:16" x14ac:dyDescent="0.2">
      <c r="A33" s="4">
        <v>50</v>
      </c>
      <c r="B33" s="4">
        <f>IF(SourceObSm!F33&lt;&gt;0,1,0)</f>
        <v>1</v>
      </c>
      <c r="C33" s="4">
        <v>0</v>
      </c>
      <c r="D33" s="4">
        <v>1</v>
      </c>
      <c r="E33" s="4">
        <v>205</v>
      </c>
      <c r="F33" s="4">
        <v>137659.68</v>
      </c>
      <c r="G33" s="4" t="s">
        <v>97</v>
      </c>
      <c r="H33" s="4" t="s">
        <v>98</v>
      </c>
      <c r="I33" s="4"/>
      <c r="J33" s="4"/>
      <c r="K33" s="4">
        <v>205</v>
      </c>
      <c r="L33" s="4">
        <v>14</v>
      </c>
      <c r="M33" s="4">
        <v>1</v>
      </c>
      <c r="N33" s="4" t="s">
        <v>3</v>
      </c>
      <c r="O33" s="4">
        <v>2</v>
      </c>
      <c r="P33" s="4"/>
    </row>
    <row r="34" spans="1:16" x14ac:dyDescent="0.2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99</v>
      </c>
      <c r="H34" s="4" t="s">
        <v>100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x14ac:dyDescent="0.2">
      <c r="A35" s="4">
        <v>50</v>
      </c>
      <c r="B35" s="4">
        <f>IF(SourceObSm!F35&lt;&gt;0,1,0)</f>
        <v>1</v>
      </c>
      <c r="C35" s="4">
        <v>0</v>
      </c>
      <c r="D35" s="4">
        <v>1</v>
      </c>
      <c r="E35" s="4">
        <v>214</v>
      </c>
      <c r="F35" s="4">
        <v>547860.5</v>
      </c>
      <c r="G35" s="4" t="s">
        <v>101</v>
      </c>
      <c r="H35" s="4" t="s">
        <v>102</v>
      </c>
      <c r="I35" s="4"/>
      <c r="J35" s="4"/>
      <c r="K35" s="4">
        <v>214</v>
      </c>
      <c r="L35" s="4">
        <v>16</v>
      </c>
      <c r="M35" s="4">
        <v>1</v>
      </c>
      <c r="N35" s="4" t="s">
        <v>3</v>
      </c>
      <c r="O35" s="4">
        <v>2</v>
      </c>
      <c r="P35" s="4"/>
    </row>
    <row r="36" spans="1:16" x14ac:dyDescent="0.2">
      <c r="A36" s="4">
        <v>50</v>
      </c>
      <c r="B36" s="4">
        <f>IF(SourceObSm!F36&lt;&gt;0,1,0)</f>
        <v>0</v>
      </c>
      <c r="C36" s="4">
        <v>0</v>
      </c>
      <c r="D36" s="4">
        <v>1</v>
      </c>
      <c r="E36" s="4">
        <v>215</v>
      </c>
      <c r="F36" s="4">
        <v>0</v>
      </c>
      <c r="G36" s="4" t="s">
        <v>103</v>
      </c>
      <c r="H36" s="4" t="s">
        <v>104</v>
      </c>
      <c r="I36" s="4"/>
      <c r="J36" s="4"/>
      <c r="K36" s="4">
        <v>215</v>
      </c>
      <c r="L36" s="4">
        <v>17</v>
      </c>
      <c r="M36" s="4">
        <v>1</v>
      </c>
      <c r="N36" s="4" t="s">
        <v>3</v>
      </c>
      <c r="O36" s="4">
        <v>2</v>
      </c>
      <c r="P36" s="4"/>
    </row>
    <row r="37" spans="1:16" x14ac:dyDescent="0.2">
      <c r="A37" s="4">
        <v>50</v>
      </c>
      <c r="B37" s="4">
        <f>IF(SourceObSm!F37&lt;&gt;0,1,0)</f>
        <v>0</v>
      </c>
      <c r="C37" s="4">
        <v>0</v>
      </c>
      <c r="D37" s="4">
        <v>1</v>
      </c>
      <c r="E37" s="4">
        <v>217</v>
      </c>
      <c r="F37" s="4">
        <v>0</v>
      </c>
      <c r="G37" s="4" t="s">
        <v>105</v>
      </c>
      <c r="H37" s="4" t="s">
        <v>106</v>
      </c>
      <c r="I37" s="4"/>
      <c r="J37" s="4"/>
      <c r="K37" s="4">
        <v>217</v>
      </c>
      <c r="L37" s="4">
        <v>18</v>
      </c>
      <c r="M37" s="4">
        <v>1</v>
      </c>
      <c r="N37" s="4" t="s">
        <v>3</v>
      </c>
      <c r="O37" s="4">
        <v>2</v>
      </c>
      <c r="P37" s="4"/>
    </row>
    <row r="38" spans="1:16" x14ac:dyDescent="0.2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107</v>
      </c>
      <c r="H38" s="4" t="s">
        <v>108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 x14ac:dyDescent="0.2">
      <c r="A39" s="4">
        <v>50</v>
      </c>
      <c r="B39" s="4">
        <f>IF(SourceObSm!F39&lt;&gt;0,1,0)</f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109</v>
      </c>
      <c r="H39" s="4" t="s">
        <v>110</v>
      </c>
      <c r="I39" s="4"/>
      <c r="J39" s="4"/>
      <c r="K39" s="4">
        <v>206</v>
      </c>
      <c r="L39" s="4">
        <v>20</v>
      </c>
      <c r="M39" s="4">
        <v>1</v>
      </c>
      <c r="N39" s="4" t="s">
        <v>3</v>
      </c>
      <c r="O39" s="4">
        <v>2</v>
      </c>
      <c r="P39" s="4"/>
    </row>
    <row r="40" spans="1:16" x14ac:dyDescent="0.2">
      <c r="A40" s="4">
        <v>50</v>
      </c>
      <c r="B40" s="4">
        <f>IF(SourceObSm!F40&lt;&gt;0,1,0)</f>
        <v>1</v>
      </c>
      <c r="C40" s="4">
        <v>0</v>
      </c>
      <c r="D40" s="4">
        <v>1</v>
      </c>
      <c r="E40" s="4">
        <v>207</v>
      </c>
      <c r="F40" s="4">
        <v>538.75147502000004</v>
      </c>
      <c r="G40" s="4" t="s">
        <v>111</v>
      </c>
      <c r="H40" s="4" t="s">
        <v>112</v>
      </c>
      <c r="I40" s="4"/>
      <c r="J40" s="4"/>
      <c r="K40" s="4">
        <v>207</v>
      </c>
      <c r="L40" s="4">
        <v>21</v>
      </c>
      <c r="M40" s="4">
        <v>1</v>
      </c>
      <c r="N40" s="4" t="s">
        <v>3</v>
      </c>
      <c r="O40" s="4">
        <v>-1</v>
      </c>
      <c r="P40" s="4"/>
    </row>
    <row r="41" spans="1:16" x14ac:dyDescent="0.2">
      <c r="A41" s="4">
        <v>50</v>
      </c>
      <c r="B41" s="4">
        <f>IF(SourceObSm!F41&lt;&gt;0,1,0)</f>
        <v>1</v>
      </c>
      <c r="C41" s="4">
        <v>0</v>
      </c>
      <c r="D41" s="4">
        <v>1</v>
      </c>
      <c r="E41" s="4">
        <v>208</v>
      </c>
      <c r="F41" s="4">
        <v>18.944853799999997</v>
      </c>
      <c r="G41" s="4" t="s">
        <v>113</v>
      </c>
      <c r="H41" s="4" t="s">
        <v>114</v>
      </c>
      <c r="I41" s="4"/>
      <c r="J41" s="4"/>
      <c r="K41" s="4">
        <v>208</v>
      </c>
      <c r="L41" s="4">
        <v>22</v>
      </c>
      <c r="M41" s="4">
        <v>1</v>
      </c>
      <c r="N41" s="4" t="s">
        <v>3</v>
      </c>
      <c r="O41" s="4">
        <v>-1</v>
      </c>
      <c r="P41" s="4"/>
    </row>
    <row r="42" spans="1:16" x14ac:dyDescent="0.2">
      <c r="A42" s="4">
        <v>50</v>
      </c>
      <c r="B42" s="4">
        <f>IF(SourceObSm!F42&lt;&gt;0,1,0)</f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115</v>
      </c>
      <c r="H42" s="4" t="s">
        <v>116</v>
      </c>
      <c r="I42" s="4"/>
      <c r="J42" s="4"/>
      <c r="K42" s="4">
        <v>209</v>
      </c>
      <c r="L42" s="4">
        <v>23</v>
      </c>
      <c r="M42" s="4">
        <v>1</v>
      </c>
      <c r="N42" s="4" t="s">
        <v>3</v>
      </c>
      <c r="O42" s="4">
        <v>2</v>
      </c>
      <c r="P42" s="4"/>
    </row>
    <row r="43" spans="1:16" x14ac:dyDescent="0.2">
      <c r="A43" s="4">
        <v>50</v>
      </c>
      <c r="B43" s="4">
        <f>IF(SourceObSm!F43&lt;&gt;0,1,0)</f>
        <v>1</v>
      </c>
      <c r="C43" s="4">
        <v>0</v>
      </c>
      <c r="D43" s="4">
        <v>1</v>
      </c>
      <c r="E43" s="4">
        <v>233</v>
      </c>
      <c r="F43" s="4">
        <v>131.05000000000001</v>
      </c>
      <c r="G43" s="4" t="s">
        <v>117</v>
      </c>
      <c r="H43" s="4" t="s">
        <v>118</v>
      </c>
      <c r="I43" s="4"/>
      <c r="J43" s="4"/>
      <c r="K43" s="4">
        <v>233</v>
      </c>
      <c r="L43" s="4">
        <v>24</v>
      </c>
      <c r="M43" s="4">
        <v>1</v>
      </c>
      <c r="N43" s="4" t="s">
        <v>3</v>
      </c>
      <c r="O43" s="4">
        <v>2</v>
      </c>
      <c r="P43" s="4"/>
    </row>
    <row r="44" spans="1:16" x14ac:dyDescent="0.2">
      <c r="A44" s="4">
        <v>50</v>
      </c>
      <c r="B44" s="4">
        <f>IF(SourceObSm!F44&lt;&gt;0,1,0)</f>
        <v>1</v>
      </c>
      <c r="C44" s="4">
        <v>0</v>
      </c>
      <c r="D44" s="4">
        <v>1</v>
      </c>
      <c r="E44" s="4">
        <v>210</v>
      </c>
      <c r="F44" s="4">
        <v>146116.26</v>
      </c>
      <c r="G44" s="4" t="s">
        <v>119</v>
      </c>
      <c r="H44" s="4" t="s">
        <v>120</v>
      </c>
      <c r="I44" s="4"/>
      <c r="J44" s="4"/>
      <c r="K44" s="4">
        <v>210</v>
      </c>
      <c r="L44" s="4">
        <v>25</v>
      </c>
      <c r="M44" s="4">
        <v>1</v>
      </c>
      <c r="N44" s="4" t="s">
        <v>3</v>
      </c>
      <c r="O44" s="4">
        <v>2</v>
      </c>
      <c r="P44" s="4"/>
    </row>
    <row r="45" spans="1:16" x14ac:dyDescent="0.2">
      <c r="A45" s="4">
        <v>50</v>
      </c>
      <c r="B45" s="4">
        <f>IF(SourceObSm!F45&lt;&gt;0,1,0)</f>
        <v>1</v>
      </c>
      <c r="C45" s="4">
        <v>0</v>
      </c>
      <c r="D45" s="4">
        <v>1</v>
      </c>
      <c r="E45" s="4">
        <v>211</v>
      </c>
      <c r="F45" s="4">
        <v>71995.66</v>
      </c>
      <c r="G45" s="4" t="s">
        <v>121</v>
      </c>
      <c r="H45" s="4" t="s">
        <v>122</v>
      </c>
      <c r="I45" s="4"/>
      <c r="J45" s="4"/>
      <c r="K45" s="4">
        <v>211</v>
      </c>
      <c r="L45" s="4">
        <v>26</v>
      </c>
      <c r="M45" s="4">
        <v>1</v>
      </c>
      <c r="N45" s="4" t="s">
        <v>3</v>
      </c>
      <c r="O45" s="4">
        <v>2</v>
      </c>
      <c r="P45" s="4"/>
    </row>
    <row r="46" spans="1:16" x14ac:dyDescent="0.2">
      <c r="A46" s="4">
        <v>50</v>
      </c>
      <c r="B46" s="4">
        <f>IF(SourceObSm!F46&lt;&gt;0,1,0)</f>
        <v>1</v>
      </c>
      <c r="C46" s="4">
        <v>0</v>
      </c>
      <c r="D46" s="4">
        <v>1</v>
      </c>
      <c r="E46" s="4">
        <v>224</v>
      </c>
      <c r="F46" s="4">
        <v>547860.5</v>
      </c>
      <c r="G46" s="4" t="s">
        <v>123</v>
      </c>
      <c r="H46" s="4" t="s">
        <v>124</v>
      </c>
      <c r="I46" s="4"/>
      <c r="J46" s="4"/>
      <c r="K46" s="4">
        <v>224</v>
      </c>
      <c r="L46" s="4">
        <v>27</v>
      </c>
      <c r="M46" s="4">
        <v>1</v>
      </c>
      <c r="N46" s="4" t="s">
        <v>3</v>
      </c>
      <c r="O46" s="4">
        <v>2</v>
      </c>
      <c r="P46" s="4"/>
    </row>
    <row r="47" spans="1:16" x14ac:dyDescent="0.2">
      <c r="A47" s="4">
        <v>50</v>
      </c>
      <c r="B47" s="4">
        <f>IF(SourceObSm!F47&lt;&gt;0,1,0)</f>
        <v>1</v>
      </c>
      <c r="C47" s="4">
        <v>0</v>
      </c>
      <c r="D47" s="4">
        <v>2</v>
      </c>
      <c r="E47" s="4">
        <v>0</v>
      </c>
      <c r="F47" s="4">
        <v>109572.1</v>
      </c>
      <c r="G47" s="4" t="s">
        <v>299</v>
      </c>
      <c r="H47" s="4" t="s">
        <v>300</v>
      </c>
      <c r="I47" s="4"/>
      <c r="J47" s="4"/>
      <c r="K47" s="4">
        <v>212</v>
      </c>
      <c r="L47" s="4">
        <v>28</v>
      </c>
      <c r="M47" s="4">
        <v>1</v>
      </c>
      <c r="N47" s="4" t="s">
        <v>3</v>
      </c>
      <c r="O47" s="4">
        <v>2</v>
      </c>
      <c r="P47" s="4"/>
    </row>
    <row r="48" spans="1:16" x14ac:dyDescent="0.2">
      <c r="A48" s="4">
        <v>50</v>
      </c>
      <c r="B48" s="4">
        <f>IF(SourceObSm!F48&lt;&gt;0,1,0)</f>
        <v>1</v>
      </c>
      <c r="C48" s="4">
        <v>0</v>
      </c>
      <c r="D48" s="4">
        <v>2</v>
      </c>
      <c r="E48" s="4">
        <v>0</v>
      </c>
      <c r="F48" s="4">
        <v>657432.6</v>
      </c>
      <c r="G48" s="4" t="s">
        <v>301</v>
      </c>
      <c r="H48" s="4" t="s">
        <v>302</v>
      </c>
      <c r="I48" s="4"/>
      <c r="J48" s="4"/>
      <c r="K48" s="4">
        <v>212</v>
      </c>
      <c r="L48" s="4">
        <v>29</v>
      </c>
      <c r="M48" s="4">
        <v>1</v>
      </c>
      <c r="N48" s="4" t="s">
        <v>3</v>
      </c>
      <c r="O48" s="4">
        <v>2</v>
      </c>
      <c r="P48" s="4"/>
    </row>
    <row r="50" spans="1:40" x14ac:dyDescent="0.2">
      <c r="A50">
        <v>-1</v>
      </c>
    </row>
    <row r="53" spans="1:40" x14ac:dyDescent="0.2">
      <c r="A53" s="3">
        <v>75</v>
      </c>
      <c r="B53" s="3" t="s">
        <v>369</v>
      </c>
      <c r="C53" s="3">
        <v>2023</v>
      </c>
      <c r="D53" s="3">
        <v>2</v>
      </c>
      <c r="E53" s="3">
        <v>0</v>
      </c>
      <c r="F53" s="3">
        <v>0</v>
      </c>
      <c r="G53" s="3">
        <v>0</v>
      </c>
      <c r="H53" s="3">
        <v>1</v>
      </c>
      <c r="I53" s="3">
        <v>0</v>
      </c>
      <c r="J53" s="3">
        <v>3</v>
      </c>
      <c r="K53" s="3">
        <v>0</v>
      </c>
      <c r="L53" s="3">
        <v>0</v>
      </c>
      <c r="M53" s="3">
        <v>0</v>
      </c>
      <c r="N53" s="3">
        <v>143120906</v>
      </c>
      <c r="O53" s="3">
        <v>1</v>
      </c>
    </row>
    <row r="54" spans="1:40" x14ac:dyDescent="0.2">
      <c r="A54" s="6">
        <v>3</v>
      </c>
      <c r="B54" s="6" t="s">
        <v>370</v>
      </c>
      <c r="C54" s="6">
        <v>11.05</v>
      </c>
      <c r="D54" s="6">
        <v>7.99</v>
      </c>
      <c r="E54" s="6">
        <v>11.05</v>
      </c>
      <c r="F54" s="6">
        <v>27.94</v>
      </c>
      <c r="G54" s="6">
        <v>27.94</v>
      </c>
      <c r="H54" s="6">
        <v>1</v>
      </c>
      <c r="I54" s="6">
        <v>11.05</v>
      </c>
      <c r="J54" s="6">
        <v>2</v>
      </c>
      <c r="K54" s="6">
        <v>1</v>
      </c>
      <c r="L54" s="6">
        <v>11.05</v>
      </c>
      <c r="M54" s="6">
        <v>11.05</v>
      </c>
      <c r="N54" s="6">
        <v>7.99</v>
      </c>
      <c r="O54" s="6">
        <v>1</v>
      </c>
      <c r="P54" s="6">
        <v>11.05</v>
      </c>
      <c r="Q54" s="6">
        <v>1</v>
      </c>
      <c r="R54" s="6">
        <v>11.05</v>
      </c>
      <c r="S54" s="6" t="s">
        <v>3</v>
      </c>
      <c r="T54" s="6" t="s">
        <v>3</v>
      </c>
      <c r="U54" s="6" t="s">
        <v>3</v>
      </c>
      <c r="V54" s="6" t="s">
        <v>3</v>
      </c>
      <c r="W54" s="6" t="s">
        <v>3</v>
      </c>
      <c r="X54" s="6" t="s">
        <v>3</v>
      </c>
      <c r="Y54" s="6" t="s">
        <v>3</v>
      </c>
      <c r="Z54" s="6" t="s">
        <v>3</v>
      </c>
      <c r="AA54" s="6" t="s">
        <v>3</v>
      </c>
      <c r="AB54" s="6" t="s">
        <v>3</v>
      </c>
      <c r="AC54" s="6" t="s">
        <v>3</v>
      </c>
      <c r="AD54" s="6" t="s">
        <v>3</v>
      </c>
      <c r="AE54" s="6" t="s">
        <v>3</v>
      </c>
      <c r="AF54" s="6" t="s">
        <v>3</v>
      </c>
      <c r="AG54" s="6" t="s">
        <v>3</v>
      </c>
      <c r="AH54" s="6" t="s">
        <v>3</v>
      </c>
      <c r="AI54" s="6"/>
      <c r="AJ54" s="6"/>
      <c r="AK54" s="6"/>
      <c r="AL54" s="6"/>
      <c r="AM54" s="6"/>
      <c r="AN54" s="6">
        <v>143120907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O119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19" x14ac:dyDescent="0.2">
      <c r="A1">
        <f>ROW(Source!A28)</f>
        <v>28</v>
      </c>
      <c r="B1">
        <v>143120906</v>
      </c>
      <c r="C1">
        <v>143122774</v>
      </c>
      <c r="D1">
        <v>140760008</v>
      </c>
      <c r="E1">
        <v>70</v>
      </c>
      <c r="F1">
        <v>1</v>
      </c>
      <c r="G1">
        <v>1</v>
      </c>
      <c r="H1">
        <v>1</v>
      </c>
      <c r="I1" t="s">
        <v>372</v>
      </c>
      <c r="J1" t="s">
        <v>3</v>
      </c>
      <c r="K1" t="s">
        <v>373</v>
      </c>
      <c r="L1">
        <v>1191</v>
      </c>
      <c r="N1">
        <v>1013</v>
      </c>
      <c r="O1" t="s">
        <v>374</v>
      </c>
      <c r="P1" t="s">
        <v>374</v>
      </c>
      <c r="Q1">
        <v>1</v>
      </c>
      <c r="W1">
        <v>0</v>
      </c>
      <c r="X1">
        <v>-1810713292</v>
      </c>
      <c r="Y1">
        <f t="shared" ref="Y1:Y6" si="0">((AT1*0.8)*1.2)</f>
        <v>363.04320000000001</v>
      </c>
      <c r="AA1">
        <v>0</v>
      </c>
      <c r="AB1">
        <v>0</v>
      </c>
      <c r="AC1">
        <v>0</v>
      </c>
      <c r="AD1">
        <v>256.49</v>
      </c>
      <c r="AE1">
        <v>0</v>
      </c>
      <c r="AF1">
        <v>0</v>
      </c>
      <c r="AG1">
        <v>0</v>
      </c>
      <c r="AH1">
        <v>9.18</v>
      </c>
      <c r="AI1">
        <v>1</v>
      </c>
      <c r="AJ1">
        <v>1</v>
      </c>
      <c r="AK1">
        <v>1</v>
      </c>
      <c r="AL1">
        <v>27.94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3</v>
      </c>
      <c r="AT1">
        <v>378.17</v>
      </c>
      <c r="AU1" t="s">
        <v>26</v>
      </c>
      <c r="AV1">
        <v>1</v>
      </c>
      <c r="AW1">
        <v>2</v>
      </c>
      <c r="AX1">
        <v>143122775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ROUND(Y1*Source!I28,9)</f>
        <v>147.75858239999999</v>
      </c>
      <c r="CY1">
        <f>AD1</f>
        <v>256.49</v>
      </c>
      <c r="CZ1">
        <f>AH1</f>
        <v>9.18</v>
      </c>
      <c r="DA1">
        <f>AL1</f>
        <v>27.94</v>
      </c>
      <c r="DB1">
        <f t="shared" ref="DB1:DB6" si="1">ROUND(((ROUND(AT1*CZ1,2)*0.8)*1.2),2)</f>
        <v>3332.74</v>
      </c>
      <c r="DC1">
        <f t="shared" ref="DC1:DC6" si="2">ROUND(((ROUND(AT1*AG1,2)*0.8)*1.2),2)</f>
        <v>0</v>
      </c>
      <c r="DD1" t="s">
        <v>3</v>
      </c>
      <c r="DE1" t="s">
        <v>3</v>
      </c>
      <c r="DF1">
        <f t="shared" ref="DF1:DF6" si="3">ROUND(AE1*CX1,2)</f>
        <v>0</v>
      </c>
      <c r="DG1">
        <f>ROUND(AF1*CX1,2)</f>
        <v>0</v>
      </c>
      <c r="DH1">
        <f>ROUND(AG1*CX1,2)</f>
        <v>0</v>
      </c>
      <c r="DI1">
        <f>ROUND(ROUND(AH1*CX1,2)*AL1,2)</f>
        <v>37898.370000000003</v>
      </c>
      <c r="DJ1">
        <f>DI1</f>
        <v>37898.370000000003</v>
      </c>
      <c r="DK1">
        <v>0</v>
      </c>
      <c r="DL1" t="s">
        <v>3</v>
      </c>
      <c r="DM1">
        <v>0</v>
      </c>
      <c r="DN1" t="s">
        <v>3</v>
      </c>
      <c r="DO1">
        <v>0</v>
      </c>
    </row>
    <row r="2" spans="1:119" x14ac:dyDescent="0.2">
      <c r="A2">
        <f>ROW(Source!A28)</f>
        <v>28</v>
      </c>
      <c r="B2">
        <v>143120906</v>
      </c>
      <c r="C2">
        <v>143122774</v>
      </c>
      <c r="D2">
        <v>140760225</v>
      </c>
      <c r="E2">
        <v>70</v>
      </c>
      <c r="F2">
        <v>1</v>
      </c>
      <c r="G2">
        <v>1</v>
      </c>
      <c r="H2">
        <v>1</v>
      </c>
      <c r="I2" t="s">
        <v>375</v>
      </c>
      <c r="J2" t="s">
        <v>3</v>
      </c>
      <c r="K2" t="s">
        <v>376</v>
      </c>
      <c r="L2">
        <v>1191</v>
      </c>
      <c r="N2">
        <v>1013</v>
      </c>
      <c r="O2" t="s">
        <v>374</v>
      </c>
      <c r="P2" t="s">
        <v>374</v>
      </c>
      <c r="Q2">
        <v>1</v>
      </c>
      <c r="W2">
        <v>0</v>
      </c>
      <c r="X2">
        <v>-1417349443</v>
      </c>
      <c r="Y2">
        <f t="shared" si="0"/>
        <v>2.1983999999999999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27.94</v>
      </c>
      <c r="AL2">
        <v>1</v>
      </c>
      <c r="AN2">
        <v>0</v>
      </c>
      <c r="AO2">
        <v>1</v>
      </c>
      <c r="AP2">
        <v>1</v>
      </c>
      <c r="AQ2">
        <v>0</v>
      </c>
      <c r="AR2">
        <v>0</v>
      </c>
      <c r="AS2" t="s">
        <v>3</v>
      </c>
      <c r="AT2">
        <v>2.29</v>
      </c>
      <c r="AU2" t="s">
        <v>26</v>
      </c>
      <c r="AV2">
        <v>2</v>
      </c>
      <c r="AW2">
        <v>2</v>
      </c>
      <c r="AX2">
        <v>143122776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ROUND(Y2*Source!I28,9)</f>
        <v>0.89474880000000001</v>
      </c>
      <c r="CY2">
        <f>AD2</f>
        <v>0</v>
      </c>
      <c r="CZ2">
        <f>AH2</f>
        <v>0</v>
      </c>
      <c r="DA2">
        <f>AL2</f>
        <v>1</v>
      </c>
      <c r="DB2">
        <f t="shared" si="1"/>
        <v>0</v>
      </c>
      <c r="DC2">
        <f t="shared" si="2"/>
        <v>0</v>
      </c>
      <c r="DD2" t="s">
        <v>3</v>
      </c>
      <c r="DE2" t="s">
        <v>3</v>
      </c>
      <c r="DF2">
        <f t="shared" si="3"/>
        <v>0</v>
      </c>
      <c r="DG2">
        <f>ROUND(AF2*CX2,2)</f>
        <v>0</v>
      </c>
      <c r="DH2">
        <f>ROUND(ROUND(AG2*CX2,2)*AK2,2)</f>
        <v>0</v>
      </c>
      <c r="DI2">
        <f t="shared" ref="DI2:DI8" si="4">ROUND(AH2*CX2,2)</f>
        <v>0</v>
      </c>
      <c r="DJ2">
        <f>DI2</f>
        <v>0</v>
      </c>
      <c r="DK2">
        <v>0</v>
      </c>
      <c r="DL2" t="s">
        <v>3</v>
      </c>
      <c r="DM2">
        <v>0</v>
      </c>
      <c r="DN2" t="s">
        <v>3</v>
      </c>
      <c r="DO2">
        <v>0</v>
      </c>
    </row>
    <row r="3" spans="1:119" x14ac:dyDescent="0.2">
      <c r="A3">
        <f>ROW(Source!A28)</f>
        <v>28</v>
      </c>
      <c r="B3">
        <v>143120906</v>
      </c>
      <c r="C3">
        <v>143122774</v>
      </c>
      <c r="D3">
        <v>140922892</v>
      </c>
      <c r="E3">
        <v>1</v>
      </c>
      <c r="F3">
        <v>1</v>
      </c>
      <c r="G3">
        <v>1</v>
      </c>
      <c r="H3">
        <v>2</v>
      </c>
      <c r="I3" t="s">
        <v>377</v>
      </c>
      <c r="J3" t="s">
        <v>378</v>
      </c>
      <c r="K3" t="s">
        <v>379</v>
      </c>
      <c r="L3">
        <v>1367</v>
      </c>
      <c r="N3">
        <v>1011</v>
      </c>
      <c r="O3" t="s">
        <v>380</v>
      </c>
      <c r="P3" t="s">
        <v>380</v>
      </c>
      <c r="Q3">
        <v>1</v>
      </c>
      <c r="W3">
        <v>0</v>
      </c>
      <c r="X3">
        <v>-1799663302</v>
      </c>
      <c r="Y3">
        <f t="shared" si="0"/>
        <v>0.32640000000000002</v>
      </c>
      <c r="AA3">
        <v>0</v>
      </c>
      <c r="AB3">
        <v>921.9</v>
      </c>
      <c r="AC3">
        <v>377.19</v>
      </c>
      <c r="AD3">
        <v>0</v>
      </c>
      <c r="AE3">
        <v>0</v>
      </c>
      <c r="AF3">
        <v>83.43</v>
      </c>
      <c r="AG3">
        <v>13.5</v>
      </c>
      <c r="AH3">
        <v>0</v>
      </c>
      <c r="AI3">
        <v>1</v>
      </c>
      <c r="AJ3">
        <v>11.05</v>
      </c>
      <c r="AK3">
        <v>27.94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3</v>
      </c>
      <c r="AT3">
        <v>0.34</v>
      </c>
      <c r="AU3" t="s">
        <v>26</v>
      </c>
      <c r="AV3">
        <v>0</v>
      </c>
      <c r="AW3">
        <v>2</v>
      </c>
      <c r="AX3">
        <v>143122777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ROUND(Y3*Source!I28,9)</f>
        <v>0.13284480000000001</v>
      </c>
      <c r="CY3">
        <f>AB3</f>
        <v>921.9</v>
      </c>
      <c r="CZ3">
        <f>AF3</f>
        <v>83.43</v>
      </c>
      <c r="DA3">
        <f>AJ3</f>
        <v>11.05</v>
      </c>
      <c r="DB3">
        <f t="shared" si="1"/>
        <v>27.24</v>
      </c>
      <c r="DC3">
        <f t="shared" si="2"/>
        <v>4.41</v>
      </c>
      <c r="DD3" t="s">
        <v>3</v>
      </c>
      <c r="DE3" t="s">
        <v>3</v>
      </c>
      <c r="DF3">
        <f t="shared" si="3"/>
        <v>0</v>
      </c>
      <c r="DG3">
        <f>ROUND(ROUND(AF3*CX3,2)*AJ3,2)</f>
        <v>122.43</v>
      </c>
      <c r="DH3">
        <f>ROUND(ROUND(AG3*CX3,2)*AK3,2)</f>
        <v>50.01</v>
      </c>
      <c r="DI3">
        <f t="shared" si="4"/>
        <v>0</v>
      </c>
      <c r="DJ3">
        <f>DG3</f>
        <v>122.43</v>
      </c>
      <c r="DK3">
        <v>0</v>
      </c>
      <c r="DL3" t="s">
        <v>3</v>
      </c>
      <c r="DM3">
        <v>0</v>
      </c>
      <c r="DN3" t="s">
        <v>3</v>
      </c>
      <c r="DO3">
        <v>0</v>
      </c>
    </row>
    <row r="4" spans="1:119" x14ac:dyDescent="0.2">
      <c r="A4">
        <f>ROW(Source!A28)</f>
        <v>28</v>
      </c>
      <c r="B4">
        <v>143120906</v>
      </c>
      <c r="C4">
        <v>143122774</v>
      </c>
      <c r="D4">
        <v>140922951</v>
      </c>
      <c r="E4">
        <v>1</v>
      </c>
      <c r="F4">
        <v>1</v>
      </c>
      <c r="G4">
        <v>1</v>
      </c>
      <c r="H4">
        <v>2</v>
      </c>
      <c r="I4" t="s">
        <v>381</v>
      </c>
      <c r="J4" t="s">
        <v>382</v>
      </c>
      <c r="K4" t="s">
        <v>383</v>
      </c>
      <c r="L4">
        <v>1367</v>
      </c>
      <c r="N4">
        <v>1011</v>
      </c>
      <c r="O4" t="s">
        <v>380</v>
      </c>
      <c r="P4" t="s">
        <v>380</v>
      </c>
      <c r="Q4">
        <v>1</v>
      </c>
      <c r="W4">
        <v>0</v>
      </c>
      <c r="X4">
        <v>-430484415</v>
      </c>
      <c r="Y4">
        <f t="shared" si="0"/>
        <v>0.12480000000000001</v>
      </c>
      <c r="AA4">
        <v>0</v>
      </c>
      <c r="AB4">
        <v>1275.17</v>
      </c>
      <c r="AC4">
        <v>377.19</v>
      </c>
      <c r="AD4">
        <v>0</v>
      </c>
      <c r="AE4">
        <v>0</v>
      </c>
      <c r="AF4">
        <v>115.4</v>
      </c>
      <c r="AG4">
        <v>13.5</v>
      </c>
      <c r="AH4">
        <v>0</v>
      </c>
      <c r="AI4">
        <v>1</v>
      </c>
      <c r="AJ4">
        <v>11.05</v>
      </c>
      <c r="AK4">
        <v>27.94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3</v>
      </c>
      <c r="AT4">
        <v>0.13</v>
      </c>
      <c r="AU4" t="s">
        <v>26</v>
      </c>
      <c r="AV4">
        <v>0</v>
      </c>
      <c r="AW4">
        <v>2</v>
      </c>
      <c r="AX4">
        <v>143122778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ROUND(Y4*Source!I28,9)</f>
        <v>5.0793600000000001E-2</v>
      </c>
      <c r="CY4">
        <f>AB4</f>
        <v>1275.17</v>
      </c>
      <c r="CZ4">
        <f>AF4</f>
        <v>115.4</v>
      </c>
      <c r="DA4">
        <f>AJ4</f>
        <v>11.05</v>
      </c>
      <c r="DB4">
        <f t="shared" si="1"/>
        <v>14.4</v>
      </c>
      <c r="DC4">
        <f t="shared" si="2"/>
        <v>1.69</v>
      </c>
      <c r="DD4" t="s">
        <v>3</v>
      </c>
      <c r="DE4" t="s">
        <v>3</v>
      </c>
      <c r="DF4">
        <f t="shared" si="3"/>
        <v>0</v>
      </c>
      <c r="DG4">
        <f>ROUND(ROUND(AF4*CX4,2)*AJ4,2)</f>
        <v>64.75</v>
      </c>
      <c r="DH4">
        <f>ROUND(ROUND(AG4*CX4,2)*AK4,2)</f>
        <v>19.28</v>
      </c>
      <c r="DI4">
        <f t="shared" si="4"/>
        <v>0</v>
      </c>
      <c r="DJ4">
        <f>DG4</f>
        <v>64.75</v>
      </c>
      <c r="DK4">
        <v>0</v>
      </c>
      <c r="DL4" t="s">
        <v>3</v>
      </c>
      <c r="DM4">
        <v>0</v>
      </c>
      <c r="DN4" t="s">
        <v>3</v>
      </c>
      <c r="DO4">
        <v>0</v>
      </c>
    </row>
    <row r="5" spans="1:119" x14ac:dyDescent="0.2">
      <c r="A5">
        <f>ROW(Source!A28)</f>
        <v>28</v>
      </c>
      <c r="B5">
        <v>143120906</v>
      </c>
      <c r="C5">
        <v>143122774</v>
      </c>
      <c r="D5">
        <v>140923268</v>
      </c>
      <c r="E5">
        <v>1</v>
      </c>
      <c r="F5">
        <v>1</v>
      </c>
      <c r="G5">
        <v>1</v>
      </c>
      <c r="H5">
        <v>2</v>
      </c>
      <c r="I5" t="s">
        <v>384</v>
      </c>
      <c r="J5" t="s">
        <v>385</v>
      </c>
      <c r="K5" t="s">
        <v>386</v>
      </c>
      <c r="L5">
        <v>1367</v>
      </c>
      <c r="N5">
        <v>1011</v>
      </c>
      <c r="O5" t="s">
        <v>380</v>
      </c>
      <c r="P5" t="s">
        <v>380</v>
      </c>
      <c r="Q5">
        <v>1</v>
      </c>
      <c r="W5">
        <v>0</v>
      </c>
      <c r="X5">
        <v>1385328552</v>
      </c>
      <c r="Y5">
        <f t="shared" si="0"/>
        <v>1.6224000000000001</v>
      </c>
      <c r="AA5">
        <v>0</v>
      </c>
      <c r="AB5">
        <v>136.91</v>
      </c>
      <c r="AC5">
        <v>281.08</v>
      </c>
      <c r="AD5">
        <v>0</v>
      </c>
      <c r="AE5">
        <v>0</v>
      </c>
      <c r="AF5">
        <v>12.39</v>
      </c>
      <c r="AG5">
        <v>10.06</v>
      </c>
      <c r="AH5">
        <v>0</v>
      </c>
      <c r="AI5">
        <v>1</v>
      </c>
      <c r="AJ5">
        <v>11.05</v>
      </c>
      <c r="AK5">
        <v>27.94</v>
      </c>
      <c r="AL5">
        <v>1</v>
      </c>
      <c r="AN5">
        <v>0</v>
      </c>
      <c r="AO5">
        <v>1</v>
      </c>
      <c r="AP5">
        <v>1</v>
      </c>
      <c r="AQ5">
        <v>0</v>
      </c>
      <c r="AR5">
        <v>0</v>
      </c>
      <c r="AS5" t="s">
        <v>3</v>
      </c>
      <c r="AT5">
        <v>1.69</v>
      </c>
      <c r="AU5" t="s">
        <v>26</v>
      </c>
      <c r="AV5">
        <v>0</v>
      </c>
      <c r="AW5">
        <v>2</v>
      </c>
      <c r="AX5">
        <v>143122779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ROUND(Y5*Source!I28,9)</f>
        <v>0.66031680000000004</v>
      </c>
      <c r="CY5">
        <f>AB5</f>
        <v>136.91</v>
      </c>
      <c r="CZ5">
        <f>AF5</f>
        <v>12.39</v>
      </c>
      <c r="DA5">
        <f>AJ5</f>
        <v>11.05</v>
      </c>
      <c r="DB5">
        <f t="shared" si="1"/>
        <v>20.100000000000001</v>
      </c>
      <c r="DC5">
        <f t="shared" si="2"/>
        <v>16.32</v>
      </c>
      <c r="DD5" t="s">
        <v>3</v>
      </c>
      <c r="DE5" t="s">
        <v>3</v>
      </c>
      <c r="DF5">
        <f t="shared" si="3"/>
        <v>0</v>
      </c>
      <c r="DG5">
        <f>ROUND(ROUND(AF5*CX5,2)*AJ5,2)</f>
        <v>90.39</v>
      </c>
      <c r="DH5">
        <f>ROUND(ROUND(AG5*CX5,2)*AK5,2)</f>
        <v>185.52</v>
      </c>
      <c r="DI5">
        <f t="shared" si="4"/>
        <v>0</v>
      </c>
      <c r="DJ5">
        <f>DG5</f>
        <v>90.39</v>
      </c>
      <c r="DK5">
        <v>0</v>
      </c>
      <c r="DL5" t="s">
        <v>3</v>
      </c>
      <c r="DM5">
        <v>0</v>
      </c>
      <c r="DN5" t="s">
        <v>3</v>
      </c>
      <c r="DO5">
        <v>0</v>
      </c>
    </row>
    <row r="6" spans="1:119" x14ac:dyDescent="0.2">
      <c r="A6">
        <f>ROW(Source!A28)</f>
        <v>28</v>
      </c>
      <c r="B6">
        <v>143120906</v>
      </c>
      <c r="C6">
        <v>143122774</v>
      </c>
      <c r="D6">
        <v>140923885</v>
      </c>
      <c r="E6">
        <v>1</v>
      </c>
      <c r="F6">
        <v>1</v>
      </c>
      <c r="G6">
        <v>1</v>
      </c>
      <c r="H6">
        <v>2</v>
      </c>
      <c r="I6" t="s">
        <v>387</v>
      </c>
      <c r="J6" t="s">
        <v>388</v>
      </c>
      <c r="K6" t="s">
        <v>389</v>
      </c>
      <c r="L6">
        <v>1367</v>
      </c>
      <c r="N6">
        <v>1011</v>
      </c>
      <c r="O6" t="s">
        <v>380</v>
      </c>
      <c r="P6" t="s">
        <v>380</v>
      </c>
      <c r="Q6">
        <v>1</v>
      </c>
      <c r="W6">
        <v>0</v>
      </c>
      <c r="X6">
        <v>509054691</v>
      </c>
      <c r="Y6">
        <f t="shared" si="0"/>
        <v>0.12480000000000001</v>
      </c>
      <c r="AA6">
        <v>0</v>
      </c>
      <c r="AB6">
        <v>726.1</v>
      </c>
      <c r="AC6">
        <v>324.10000000000002</v>
      </c>
      <c r="AD6">
        <v>0</v>
      </c>
      <c r="AE6">
        <v>0</v>
      </c>
      <c r="AF6">
        <v>65.709999999999994</v>
      </c>
      <c r="AG6">
        <v>11.6</v>
      </c>
      <c r="AH6">
        <v>0</v>
      </c>
      <c r="AI6">
        <v>1</v>
      </c>
      <c r="AJ6">
        <v>11.05</v>
      </c>
      <c r="AK6">
        <v>27.94</v>
      </c>
      <c r="AL6">
        <v>1</v>
      </c>
      <c r="AN6">
        <v>0</v>
      </c>
      <c r="AO6">
        <v>1</v>
      </c>
      <c r="AP6">
        <v>1</v>
      </c>
      <c r="AQ6">
        <v>0</v>
      </c>
      <c r="AR6">
        <v>0</v>
      </c>
      <c r="AS6" t="s">
        <v>3</v>
      </c>
      <c r="AT6">
        <v>0.13</v>
      </c>
      <c r="AU6" t="s">
        <v>26</v>
      </c>
      <c r="AV6">
        <v>0</v>
      </c>
      <c r="AW6">
        <v>2</v>
      </c>
      <c r="AX6">
        <v>143122780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ROUND(Y6*Source!I28,9)</f>
        <v>5.0793600000000001E-2</v>
      </c>
      <c r="CY6">
        <f>AB6</f>
        <v>726.1</v>
      </c>
      <c r="CZ6">
        <f>AF6</f>
        <v>65.709999999999994</v>
      </c>
      <c r="DA6">
        <f>AJ6</f>
        <v>11.05</v>
      </c>
      <c r="DB6">
        <f t="shared" si="1"/>
        <v>8.1999999999999993</v>
      </c>
      <c r="DC6">
        <f t="shared" si="2"/>
        <v>1.45</v>
      </c>
      <c r="DD6" t="s">
        <v>3</v>
      </c>
      <c r="DE6" t="s">
        <v>3</v>
      </c>
      <c r="DF6">
        <f t="shared" si="3"/>
        <v>0</v>
      </c>
      <c r="DG6">
        <f>ROUND(ROUND(AF6*CX6,2)*AJ6,2)</f>
        <v>36.909999999999997</v>
      </c>
      <c r="DH6">
        <f>ROUND(ROUND(AG6*CX6,2)*AK6,2)</f>
        <v>16.48</v>
      </c>
      <c r="DI6">
        <f t="shared" si="4"/>
        <v>0</v>
      </c>
      <c r="DJ6">
        <f>DG6</f>
        <v>36.909999999999997</v>
      </c>
      <c r="DK6">
        <v>0</v>
      </c>
      <c r="DL6" t="s">
        <v>3</v>
      </c>
      <c r="DM6">
        <v>0</v>
      </c>
      <c r="DN6" t="s">
        <v>3</v>
      </c>
      <c r="DO6">
        <v>0</v>
      </c>
    </row>
    <row r="7" spans="1:119" x14ac:dyDescent="0.2">
      <c r="A7">
        <f>ROW(Source!A28)</f>
        <v>28</v>
      </c>
      <c r="B7">
        <v>143120906</v>
      </c>
      <c r="C7">
        <v>143122774</v>
      </c>
      <c r="D7">
        <v>140772680</v>
      </c>
      <c r="E7">
        <v>1</v>
      </c>
      <c r="F7">
        <v>1</v>
      </c>
      <c r="G7">
        <v>1</v>
      </c>
      <c r="H7">
        <v>3</v>
      </c>
      <c r="I7" t="s">
        <v>390</v>
      </c>
      <c r="J7" t="s">
        <v>391</v>
      </c>
      <c r="K7" t="s">
        <v>392</v>
      </c>
      <c r="L7">
        <v>1339</v>
      </c>
      <c r="N7">
        <v>1007</v>
      </c>
      <c r="O7" t="s">
        <v>149</v>
      </c>
      <c r="P7" t="s">
        <v>149</v>
      </c>
      <c r="Q7">
        <v>1</v>
      </c>
      <c r="W7">
        <v>0</v>
      </c>
      <c r="X7">
        <v>-143474561</v>
      </c>
      <c r="Y7">
        <f>(AT7*0)</f>
        <v>0</v>
      </c>
      <c r="AA7">
        <v>19.5</v>
      </c>
      <c r="AB7">
        <v>0</v>
      </c>
      <c r="AC7">
        <v>0</v>
      </c>
      <c r="AD7">
        <v>0</v>
      </c>
      <c r="AE7">
        <v>2.44</v>
      </c>
      <c r="AF7">
        <v>0</v>
      </c>
      <c r="AG7">
        <v>0</v>
      </c>
      <c r="AH7">
        <v>0</v>
      </c>
      <c r="AI7">
        <v>7.99</v>
      </c>
      <c r="AJ7">
        <v>1</v>
      </c>
      <c r="AK7">
        <v>1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S7" t="s">
        <v>3</v>
      </c>
      <c r="AT7">
        <v>0.45</v>
      </c>
      <c r="AU7" t="s">
        <v>25</v>
      </c>
      <c r="AV7">
        <v>0</v>
      </c>
      <c r="AW7">
        <v>2</v>
      </c>
      <c r="AX7">
        <v>143122781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ROUND(Y7*Source!I28,9)</f>
        <v>0</v>
      </c>
      <c r="CY7">
        <f>AA7</f>
        <v>19.5</v>
      </c>
      <c r="CZ7">
        <f>AE7</f>
        <v>2.44</v>
      </c>
      <c r="DA7">
        <f>AI7</f>
        <v>7.99</v>
      </c>
      <c r="DB7">
        <f>ROUND((ROUND(AT7*CZ7,2)*0),2)</f>
        <v>0</v>
      </c>
      <c r="DC7">
        <f>ROUND((ROUND(AT7*AG7,2)*0),2)</f>
        <v>0</v>
      </c>
      <c r="DD7" t="s">
        <v>3</v>
      </c>
      <c r="DE7" t="s">
        <v>3</v>
      </c>
      <c r="DF7">
        <f>ROUND(ROUND(AE7*CX7,2)*AI7,2)</f>
        <v>0</v>
      </c>
      <c r="DG7">
        <f>ROUND(AF7*CX7,2)</f>
        <v>0</v>
      </c>
      <c r="DH7">
        <f>ROUND(AG7*CX7,2)</f>
        <v>0</v>
      </c>
      <c r="DI7">
        <f t="shared" si="4"/>
        <v>0</v>
      </c>
      <c r="DJ7">
        <f>DF7</f>
        <v>0</v>
      </c>
      <c r="DK7">
        <v>0</v>
      </c>
      <c r="DL7" t="s">
        <v>3</v>
      </c>
      <c r="DM7">
        <v>0</v>
      </c>
      <c r="DN7" t="s">
        <v>3</v>
      </c>
      <c r="DO7">
        <v>0</v>
      </c>
    </row>
    <row r="8" spans="1:119" x14ac:dyDescent="0.2">
      <c r="A8">
        <f>ROW(Source!A28)</f>
        <v>28</v>
      </c>
      <c r="B8">
        <v>143120906</v>
      </c>
      <c r="C8">
        <v>143122774</v>
      </c>
      <c r="D8">
        <v>140778268</v>
      </c>
      <c r="E8">
        <v>1</v>
      </c>
      <c r="F8">
        <v>1</v>
      </c>
      <c r="G8">
        <v>1</v>
      </c>
      <c r="H8">
        <v>3</v>
      </c>
      <c r="I8" t="s">
        <v>393</v>
      </c>
      <c r="J8" t="s">
        <v>394</v>
      </c>
      <c r="K8" t="s">
        <v>395</v>
      </c>
      <c r="L8">
        <v>1348</v>
      </c>
      <c r="N8">
        <v>1009</v>
      </c>
      <c r="O8" t="s">
        <v>199</v>
      </c>
      <c r="P8" t="s">
        <v>199</v>
      </c>
      <c r="Q8">
        <v>1000</v>
      </c>
      <c r="W8">
        <v>0</v>
      </c>
      <c r="X8">
        <v>-1724628855</v>
      </c>
      <c r="Y8">
        <f>(AT8*0)</f>
        <v>0</v>
      </c>
      <c r="AA8">
        <v>52038.87</v>
      </c>
      <c r="AB8">
        <v>0</v>
      </c>
      <c r="AC8">
        <v>0</v>
      </c>
      <c r="AD8">
        <v>0</v>
      </c>
      <c r="AE8">
        <v>6513</v>
      </c>
      <c r="AF8">
        <v>0</v>
      </c>
      <c r="AG8">
        <v>0</v>
      </c>
      <c r="AH8">
        <v>0</v>
      </c>
      <c r="AI8">
        <v>7.99</v>
      </c>
      <c r="AJ8">
        <v>1</v>
      </c>
      <c r="AK8">
        <v>1</v>
      </c>
      <c r="AL8">
        <v>1</v>
      </c>
      <c r="AN8">
        <v>0</v>
      </c>
      <c r="AO8">
        <v>1</v>
      </c>
      <c r="AP8">
        <v>1</v>
      </c>
      <c r="AQ8">
        <v>0</v>
      </c>
      <c r="AR8">
        <v>0</v>
      </c>
      <c r="AS8" t="s">
        <v>3</v>
      </c>
      <c r="AT8">
        <v>2.1000000000000001E-2</v>
      </c>
      <c r="AU8" t="s">
        <v>25</v>
      </c>
      <c r="AV8">
        <v>0</v>
      </c>
      <c r="AW8">
        <v>2</v>
      </c>
      <c r="AX8">
        <v>143122782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ROUND(Y8*Source!I28,9)</f>
        <v>0</v>
      </c>
      <c r="CY8">
        <f>AA8</f>
        <v>52038.87</v>
      </c>
      <c r="CZ8">
        <f>AE8</f>
        <v>6513</v>
      </c>
      <c r="DA8">
        <f>AI8</f>
        <v>7.99</v>
      </c>
      <c r="DB8">
        <f>ROUND((ROUND(AT8*CZ8,2)*0),2)</f>
        <v>0</v>
      </c>
      <c r="DC8">
        <f>ROUND((ROUND(AT8*AG8,2)*0),2)</f>
        <v>0</v>
      </c>
      <c r="DD8" t="s">
        <v>3</v>
      </c>
      <c r="DE8" t="s">
        <v>3</v>
      </c>
      <c r="DF8">
        <f>ROUND(ROUND(AE8*CX8,2)*AI8,2)</f>
        <v>0</v>
      </c>
      <c r="DG8">
        <f>ROUND(AF8*CX8,2)</f>
        <v>0</v>
      </c>
      <c r="DH8">
        <f>ROUND(AG8*CX8,2)</f>
        <v>0</v>
      </c>
      <c r="DI8">
        <f t="shared" si="4"/>
        <v>0</v>
      </c>
      <c r="DJ8">
        <f>DF8</f>
        <v>0</v>
      </c>
      <c r="DK8">
        <v>0</v>
      </c>
      <c r="DL8" t="s">
        <v>3</v>
      </c>
      <c r="DM8">
        <v>0</v>
      </c>
      <c r="DN8" t="s">
        <v>3</v>
      </c>
      <c r="DO8">
        <v>0</v>
      </c>
    </row>
    <row r="9" spans="1:119" x14ac:dyDescent="0.2">
      <c r="A9">
        <f>ROW(Source!A29)</f>
        <v>29</v>
      </c>
      <c r="B9">
        <v>143120906</v>
      </c>
      <c r="C9">
        <v>143122799</v>
      </c>
      <c r="D9">
        <v>140760022</v>
      </c>
      <c r="E9">
        <v>70</v>
      </c>
      <c r="F9">
        <v>1</v>
      </c>
      <c r="G9">
        <v>1</v>
      </c>
      <c r="H9">
        <v>1</v>
      </c>
      <c r="I9" t="s">
        <v>396</v>
      </c>
      <c r="J9" t="s">
        <v>3</v>
      </c>
      <c r="K9" t="s">
        <v>397</v>
      </c>
      <c r="L9">
        <v>1191</v>
      </c>
      <c r="N9">
        <v>1013</v>
      </c>
      <c r="O9" t="s">
        <v>374</v>
      </c>
      <c r="P9" t="s">
        <v>374</v>
      </c>
      <c r="Q9">
        <v>1</v>
      </c>
      <c r="W9">
        <v>0</v>
      </c>
      <c r="X9">
        <v>-2012709214</v>
      </c>
      <c r="Y9">
        <f>((AT9*0.8)*1.2)</f>
        <v>108.48960000000001</v>
      </c>
      <c r="AA9">
        <v>0</v>
      </c>
      <c r="AB9">
        <v>0</v>
      </c>
      <c r="AC9">
        <v>0</v>
      </c>
      <c r="AD9">
        <v>262.64</v>
      </c>
      <c r="AE9">
        <v>0</v>
      </c>
      <c r="AF9">
        <v>0</v>
      </c>
      <c r="AG9">
        <v>0</v>
      </c>
      <c r="AH9">
        <v>9.4</v>
      </c>
      <c r="AI9">
        <v>1</v>
      </c>
      <c r="AJ9">
        <v>1</v>
      </c>
      <c r="AK9">
        <v>1</v>
      </c>
      <c r="AL9">
        <v>27.94</v>
      </c>
      <c r="AN9">
        <v>0</v>
      </c>
      <c r="AO9">
        <v>1</v>
      </c>
      <c r="AP9">
        <v>1</v>
      </c>
      <c r="AQ9">
        <v>0</v>
      </c>
      <c r="AR9">
        <v>0</v>
      </c>
      <c r="AS9" t="s">
        <v>3</v>
      </c>
      <c r="AT9">
        <v>113.01</v>
      </c>
      <c r="AU9" t="s">
        <v>26</v>
      </c>
      <c r="AV9">
        <v>1</v>
      </c>
      <c r="AW9">
        <v>2</v>
      </c>
      <c r="AX9">
        <v>143122800</v>
      </c>
      <c r="AY9">
        <v>1</v>
      </c>
      <c r="AZ9">
        <v>0</v>
      </c>
      <c r="BA9">
        <v>12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ROUND(Y9*Source!I29,9)</f>
        <v>20.8300032</v>
      </c>
      <c r="CY9">
        <f>AD9</f>
        <v>262.64</v>
      </c>
      <c r="CZ9">
        <f>AH9</f>
        <v>9.4</v>
      </c>
      <c r="DA9">
        <f>AL9</f>
        <v>27.94</v>
      </c>
      <c r="DB9">
        <f>ROUND(((ROUND(AT9*CZ9,2)*0.8)*1.2),2)</f>
        <v>1019.8</v>
      </c>
      <c r="DC9">
        <f>ROUND(((ROUND(AT9*AG9,2)*0.8)*1.2),2)</f>
        <v>0</v>
      </c>
      <c r="DD9" t="s">
        <v>3</v>
      </c>
      <c r="DE9" t="s">
        <v>3</v>
      </c>
      <c r="DF9">
        <f>ROUND(AE9*CX9,2)</f>
        <v>0</v>
      </c>
      <c r="DG9">
        <f>ROUND(AF9*CX9,2)</f>
        <v>0</v>
      </c>
      <c r="DH9">
        <f>ROUND(AG9*CX9,2)</f>
        <v>0</v>
      </c>
      <c r="DI9">
        <f>ROUND(ROUND(AH9*CX9,2)*AL9,2)</f>
        <v>5470.65</v>
      </c>
      <c r="DJ9">
        <f>DI9</f>
        <v>5470.65</v>
      </c>
      <c r="DK9">
        <v>0</v>
      </c>
      <c r="DL9" t="s">
        <v>3</v>
      </c>
      <c r="DM9">
        <v>0</v>
      </c>
      <c r="DN9" t="s">
        <v>3</v>
      </c>
      <c r="DO9">
        <v>0</v>
      </c>
    </row>
    <row r="10" spans="1:119" x14ac:dyDescent="0.2">
      <c r="A10">
        <f>ROW(Source!A29)</f>
        <v>29</v>
      </c>
      <c r="B10">
        <v>143120906</v>
      </c>
      <c r="C10">
        <v>143122799</v>
      </c>
      <c r="D10">
        <v>140760225</v>
      </c>
      <c r="E10">
        <v>70</v>
      </c>
      <c r="F10">
        <v>1</v>
      </c>
      <c r="G10">
        <v>1</v>
      </c>
      <c r="H10">
        <v>1</v>
      </c>
      <c r="I10" t="s">
        <v>375</v>
      </c>
      <c r="J10" t="s">
        <v>3</v>
      </c>
      <c r="K10" t="s">
        <v>376</v>
      </c>
      <c r="L10">
        <v>1191</v>
      </c>
      <c r="N10">
        <v>1013</v>
      </c>
      <c r="O10" t="s">
        <v>374</v>
      </c>
      <c r="P10" t="s">
        <v>374</v>
      </c>
      <c r="Q10">
        <v>1</v>
      </c>
      <c r="W10">
        <v>0</v>
      </c>
      <c r="X10">
        <v>-1417349443</v>
      </c>
      <c r="Y10">
        <f>((AT10*0.8)*1.2)</f>
        <v>17.760000000000002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27.94</v>
      </c>
      <c r="AL10">
        <v>1</v>
      </c>
      <c r="AN10">
        <v>0</v>
      </c>
      <c r="AO10">
        <v>1</v>
      </c>
      <c r="AP10">
        <v>1</v>
      </c>
      <c r="AQ10">
        <v>0</v>
      </c>
      <c r="AR10">
        <v>0</v>
      </c>
      <c r="AS10" t="s">
        <v>3</v>
      </c>
      <c r="AT10">
        <v>18.5</v>
      </c>
      <c r="AU10" t="s">
        <v>26</v>
      </c>
      <c r="AV10">
        <v>2</v>
      </c>
      <c r="AW10">
        <v>2</v>
      </c>
      <c r="AX10">
        <v>143122801</v>
      </c>
      <c r="AY10">
        <v>1</v>
      </c>
      <c r="AZ10">
        <v>0</v>
      </c>
      <c r="BA10">
        <v>13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ROUND(Y10*Source!I29,9)</f>
        <v>3.4099200000000001</v>
      </c>
      <c r="CY10">
        <f>AD10</f>
        <v>0</v>
      </c>
      <c r="CZ10">
        <f>AH10</f>
        <v>0</v>
      </c>
      <c r="DA10">
        <f>AL10</f>
        <v>1</v>
      </c>
      <c r="DB10">
        <f>ROUND(((ROUND(AT10*CZ10,2)*0.8)*1.2),2)</f>
        <v>0</v>
      </c>
      <c r="DC10">
        <f>ROUND(((ROUND(AT10*AG10,2)*0.8)*1.2),2)</f>
        <v>0</v>
      </c>
      <c r="DD10" t="s">
        <v>3</v>
      </c>
      <c r="DE10" t="s">
        <v>3</v>
      </c>
      <c r="DF10">
        <f>ROUND(AE10*CX10,2)</f>
        <v>0</v>
      </c>
      <c r="DG10">
        <f>ROUND(AF10*CX10,2)</f>
        <v>0</v>
      </c>
      <c r="DH10">
        <f>ROUND(ROUND(AG10*CX10,2)*AK10,2)</f>
        <v>0</v>
      </c>
      <c r="DI10">
        <f t="shared" ref="DI10:DI21" si="5">ROUND(AH10*CX10,2)</f>
        <v>0</v>
      </c>
      <c r="DJ10">
        <f>DI10</f>
        <v>0</v>
      </c>
      <c r="DK10">
        <v>0</v>
      </c>
      <c r="DL10" t="s">
        <v>3</v>
      </c>
      <c r="DM10">
        <v>0</v>
      </c>
      <c r="DN10" t="s">
        <v>3</v>
      </c>
      <c r="DO10">
        <v>0</v>
      </c>
    </row>
    <row r="11" spans="1:119" x14ac:dyDescent="0.2">
      <c r="A11">
        <f>ROW(Source!A29)</f>
        <v>29</v>
      </c>
      <c r="B11">
        <v>143120906</v>
      </c>
      <c r="C11">
        <v>143122799</v>
      </c>
      <c r="D11">
        <v>140922951</v>
      </c>
      <c r="E11">
        <v>1</v>
      </c>
      <c r="F11">
        <v>1</v>
      </c>
      <c r="G11">
        <v>1</v>
      </c>
      <c r="H11">
        <v>2</v>
      </c>
      <c r="I11" t="s">
        <v>381</v>
      </c>
      <c r="J11" t="s">
        <v>382</v>
      </c>
      <c r="K11" t="s">
        <v>383</v>
      </c>
      <c r="L11">
        <v>1367</v>
      </c>
      <c r="N11">
        <v>1011</v>
      </c>
      <c r="O11" t="s">
        <v>380</v>
      </c>
      <c r="P11" t="s">
        <v>380</v>
      </c>
      <c r="Q11">
        <v>1</v>
      </c>
      <c r="W11">
        <v>0</v>
      </c>
      <c r="X11">
        <v>-430484415</v>
      </c>
      <c r="Y11">
        <f>((AT11*0.8)*1.2)</f>
        <v>0.31680000000000003</v>
      </c>
      <c r="AA11">
        <v>0</v>
      </c>
      <c r="AB11">
        <v>1275.17</v>
      </c>
      <c r="AC11">
        <v>377.19</v>
      </c>
      <c r="AD11">
        <v>0</v>
      </c>
      <c r="AE11">
        <v>0</v>
      </c>
      <c r="AF11">
        <v>115.4</v>
      </c>
      <c r="AG11">
        <v>13.5</v>
      </c>
      <c r="AH11">
        <v>0</v>
      </c>
      <c r="AI11">
        <v>1</v>
      </c>
      <c r="AJ11">
        <v>11.05</v>
      </c>
      <c r="AK11">
        <v>27.94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S11" t="s">
        <v>3</v>
      </c>
      <c r="AT11">
        <v>0.33</v>
      </c>
      <c r="AU11" t="s">
        <v>26</v>
      </c>
      <c r="AV11">
        <v>0</v>
      </c>
      <c r="AW11">
        <v>2</v>
      </c>
      <c r="AX11">
        <v>143122802</v>
      </c>
      <c r="AY11">
        <v>1</v>
      </c>
      <c r="AZ11">
        <v>0</v>
      </c>
      <c r="BA11">
        <v>14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ROUND(Y11*Source!I29,9)</f>
        <v>6.0825600000000001E-2</v>
      </c>
      <c r="CY11">
        <f>AB11</f>
        <v>1275.17</v>
      </c>
      <c r="CZ11">
        <f>AF11</f>
        <v>115.4</v>
      </c>
      <c r="DA11">
        <f>AJ11</f>
        <v>11.05</v>
      </c>
      <c r="DB11">
        <f>ROUND(((ROUND(AT11*CZ11,2)*0.8)*1.2),2)</f>
        <v>36.56</v>
      </c>
      <c r="DC11">
        <f>ROUND(((ROUND(AT11*AG11,2)*0.8)*1.2),2)</f>
        <v>4.28</v>
      </c>
      <c r="DD11" t="s">
        <v>3</v>
      </c>
      <c r="DE11" t="s">
        <v>3</v>
      </c>
      <c r="DF11">
        <f>ROUND(AE11*CX11,2)</f>
        <v>0</v>
      </c>
      <c r="DG11">
        <f>ROUND(ROUND(AF11*CX11,2)*AJ11,2)</f>
        <v>77.569999999999993</v>
      </c>
      <c r="DH11">
        <f>ROUND(ROUND(AG11*CX11,2)*AK11,2)</f>
        <v>22.91</v>
      </c>
      <c r="DI11">
        <f t="shared" si="5"/>
        <v>0</v>
      </c>
      <c r="DJ11">
        <f>DG11</f>
        <v>77.569999999999993</v>
      </c>
      <c r="DK11">
        <v>0</v>
      </c>
      <c r="DL11" t="s">
        <v>3</v>
      </c>
      <c r="DM11">
        <v>0</v>
      </c>
      <c r="DN11" t="s">
        <v>3</v>
      </c>
      <c r="DO11">
        <v>0</v>
      </c>
    </row>
    <row r="12" spans="1:119" x14ac:dyDescent="0.2">
      <c r="A12">
        <f>ROW(Source!A29)</f>
        <v>29</v>
      </c>
      <c r="B12">
        <v>143120906</v>
      </c>
      <c r="C12">
        <v>143122799</v>
      </c>
      <c r="D12">
        <v>140922957</v>
      </c>
      <c r="E12">
        <v>1</v>
      </c>
      <c r="F12">
        <v>1</v>
      </c>
      <c r="G12">
        <v>1</v>
      </c>
      <c r="H12">
        <v>2</v>
      </c>
      <c r="I12" t="s">
        <v>398</v>
      </c>
      <c r="J12" t="s">
        <v>399</v>
      </c>
      <c r="K12" t="s">
        <v>400</v>
      </c>
      <c r="L12">
        <v>1367</v>
      </c>
      <c r="N12">
        <v>1011</v>
      </c>
      <c r="O12" t="s">
        <v>380</v>
      </c>
      <c r="P12" t="s">
        <v>380</v>
      </c>
      <c r="Q12">
        <v>1</v>
      </c>
      <c r="W12">
        <v>0</v>
      </c>
      <c r="X12">
        <v>-1189221606</v>
      </c>
      <c r="Y12">
        <f>((AT12*0.8)*1.2)</f>
        <v>16.876799999999999</v>
      </c>
      <c r="AA12">
        <v>0</v>
      </c>
      <c r="AB12">
        <v>1326.44</v>
      </c>
      <c r="AC12">
        <v>377.19</v>
      </c>
      <c r="AD12">
        <v>0</v>
      </c>
      <c r="AE12">
        <v>0</v>
      </c>
      <c r="AF12">
        <v>120.04</v>
      </c>
      <c r="AG12">
        <v>13.5</v>
      </c>
      <c r="AH12">
        <v>0</v>
      </c>
      <c r="AI12">
        <v>1</v>
      </c>
      <c r="AJ12">
        <v>11.05</v>
      </c>
      <c r="AK12">
        <v>27.94</v>
      </c>
      <c r="AL12">
        <v>1</v>
      </c>
      <c r="AN12">
        <v>0</v>
      </c>
      <c r="AO12">
        <v>1</v>
      </c>
      <c r="AP12">
        <v>1</v>
      </c>
      <c r="AQ12">
        <v>0</v>
      </c>
      <c r="AR12">
        <v>0</v>
      </c>
      <c r="AS12" t="s">
        <v>3</v>
      </c>
      <c r="AT12">
        <v>17.579999999999998</v>
      </c>
      <c r="AU12" t="s">
        <v>26</v>
      </c>
      <c r="AV12">
        <v>0</v>
      </c>
      <c r="AW12">
        <v>2</v>
      </c>
      <c r="AX12">
        <v>143122803</v>
      </c>
      <c r="AY12">
        <v>1</v>
      </c>
      <c r="AZ12">
        <v>0</v>
      </c>
      <c r="BA12">
        <v>15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ROUND(Y12*Source!I29,9)</f>
        <v>3.2403455999999999</v>
      </c>
      <c r="CY12">
        <f>AB12</f>
        <v>1326.44</v>
      </c>
      <c r="CZ12">
        <f>AF12</f>
        <v>120.04</v>
      </c>
      <c r="DA12">
        <f>AJ12</f>
        <v>11.05</v>
      </c>
      <c r="DB12">
        <f>ROUND(((ROUND(AT12*CZ12,2)*0.8)*1.2),2)</f>
        <v>2025.89</v>
      </c>
      <c r="DC12">
        <f>ROUND(((ROUND(AT12*AG12,2)*0.8)*1.2),2)</f>
        <v>227.84</v>
      </c>
      <c r="DD12" t="s">
        <v>3</v>
      </c>
      <c r="DE12" t="s">
        <v>3</v>
      </c>
      <c r="DF12">
        <f>ROUND(AE12*CX12,2)</f>
        <v>0</v>
      </c>
      <c r="DG12">
        <f>ROUND(ROUND(AF12*CX12,2)*AJ12,2)</f>
        <v>4298.12</v>
      </c>
      <c r="DH12">
        <f>ROUND(ROUND(AG12*CX12,2)*AK12,2)</f>
        <v>1222.0999999999999</v>
      </c>
      <c r="DI12">
        <f t="shared" si="5"/>
        <v>0</v>
      </c>
      <c r="DJ12">
        <f>DG12</f>
        <v>4298.12</v>
      </c>
      <c r="DK12">
        <v>0</v>
      </c>
      <c r="DL12" t="s">
        <v>3</v>
      </c>
      <c r="DM12">
        <v>0</v>
      </c>
      <c r="DN12" t="s">
        <v>3</v>
      </c>
      <c r="DO12">
        <v>0</v>
      </c>
    </row>
    <row r="13" spans="1:119" x14ac:dyDescent="0.2">
      <c r="A13">
        <f>ROW(Source!A29)</f>
        <v>29</v>
      </c>
      <c r="B13">
        <v>143120906</v>
      </c>
      <c r="C13">
        <v>143122799</v>
      </c>
      <c r="D13">
        <v>140923885</v>
      </c>
      <c r="E13">
        <v>1</v>
      </c>
      <c r="F13">
        <v>1</v>
      </c>
      <c r="G13">
        <v>1</v>
      </c>
      <c r="H13">
        <v>2</v>
      </c>
      <c r="I13" t="s">
        <v>387</v>
      </c>
      <c r="J13" t="s">
        <v>388</v>
      </c>
      <c r="K13" t="s">
        <v>389</v>
      </c>
      <c r="L13">
        <v>1367</v>
      </c>
      <c r="N13">
        <v>1011</v>
      </c>
      <c r="O13" t="s">
        <v>380</v>
      </c>
      <c r="P13" t="s">
        <v>380</v>
      </c>
      <c r="Q13">
        <v>1</v>
      </c>
      <c r="W13">
        <v>0</v>
      </c>
      <c r="X13">
        <v>509054691</v>
      </c>
      <c r="Y13">
        <f>((AT13*0.8)*1.2)</f>
        <v>0.5663999999999999</v>
      </c>
      <c r="AA13">
        <v>0</v>
      </c>
      <c r="AB13">
        <v>726.1</v>
      </c>
      <c r="AC13">
        <v>324.10000000000002</v>
      </c>
      <c r="AD13">
        <v>0</v>
      </c>
      <c r="AE13">
        <v>0</v>
      </c>
      <c r="AF13">
        <v>65.709999999999994</v>
      </c>
      <c r="AG13">
        <v>11.6</v>
      </c>
      <c r="AH13">
        <v>0</v>
      </c>
      <c r="AI13">
        <v>1</v>
      </c>
      <c r="AJ13">
        <v>11.05</v>
      </c>
      <c r="AK13">
        <v>27.94</v>
      </c>
      <c r="AL13">
        <v>1</v>
      </c>
      <c r="AN13">
        <v>0</v>
      </c>
      <c r="AO13">
        <v>1</v>
      </c>
      <c r="AP13">
        <v>1</v>
      </c>
      <c r="AQ13">
        <v>0</v>
      </c>
      <c r="AR13">
        <v>0</v>
      </c>
      <c r="AS13" t="s">
        <v>3</v>
      </c>
      <c r="AT13">
        <v>0.59</v>
      </c>
      <c r="AU13" t="s">
        <v>26</v>
      </c>
      <c r="AV13">
        <v>0</v>
      </c>
      <c r="AW13">
        <v>2</v>
      </c>
      <c r="AX13">
        <v>143122804</v>
      </c>
      <c r="AY13">
        <v>1</v>
      </c>
      <c r="AZ13">
        <v>0</v>
      </c>
      <c r="BA13">
        <v>16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ROUND(Y13*Source!I29,9)</f>
        <v>0.10874880000000001</v>
      </c>
      <c r="CY13">
        <f>AB13</f>
        <v>726.1</v>
      </c>
      <c r="CZ13">
        <f>AF13</f>
        <v>65.709999999999994</v>
      </c>
      <c r="DA13">
        <f>AJ13</f>
        <v>11.05</v>
      </c>
      <c r="DB13">
        <f>ROUND(((ROUND(AT13*CZ13,2)*0.8)*1.2),2)</f>
        <v>37.22</v>
      </c>
      <c r="DC13">
        <f>ROUND(((ROUND(AT13*AG13,2)*0.8)*1.2),2)</f>
        <v>6.57</v>
      </c>
      <c r="DD13" t="s">
        <v>3</v>
      </c>
      <c r="DE13" t="s">
        <v>3</v>
      </c>
      <c r="DF13">
        <f>ROUND(AE13*CX13,2)</f>
        <v>0</v>
      </c>
      <c r="DG13">
        <f>ROUND(ROUND(AF13*CX13,2)*AJ13,2)</f>
        <v>79.010000000000005</v>
      </c>
      <c r="DH13">
        <f>ROUND(ROUND(AG13*CX13,2)*AK13,2)</f>
        <v>35.200000000000003</v>
      </c>
      <c r="DI13">
        <f t="shared" si="5"/>
        <v>0</v>
      </c>
      <c r="DJ13">
        <f>DG13</f>
        <v>79.010000000000005</v>
      </c>
      <c r="DK13">
        <v>0</v>
      </c>
      <c r="DL13" t="s">
        <v>3</v>
      </c>
      <c r="DM13">
        <v>0</v>
      </c>
      <c r="DN13" t="s">
        <v>3</v>
      </c>
      <c r="DO13">
        <v>0</v>
      </c>
    </row>
    <row r="14" spans="1:119" x14ac:dyDescent="0.2">
      <c r="A14">
        <f>ROW(Source!A29)</f>
        <v>29</v>
      </c>
      <c r="B14">
        <v>143120906</v>
      </c>
      <c r="C14">
        <v>143122799</v>
      </c>
      <c r="D14">
        <v>140775017</v>
      </c>
      <c r="E14">
        <v>1</v>
      </c>
      <c r="F14">
        <v>1</v>
      </c>
      <c r="G14">
        <v>1</v>
      </c>
      <c r="H14">
        <v>3</v>
      </c>
      <c r="I14" t="s">
        <v>401</v>
      </c>
      <c r="J14" t="s">
        <v>402</v>
      </c>
      <c r="K14" t="s">
        <v>403</v>
      </c>
      <c r="L14">
        <v>1346</v>
      </c>
      <c r="N14">
        <v>1009</v>
      </c>
      <c r="O14" t="s">
        <v>177</v>
      </c>
      <c r="P14" t="s">
        <v>177</v>
      </c>
      <c r="Q14">
        <v>1</v>
      </c>
      <c r="W14">
        <v>0</v>
      </c>
      <c r="X14">
        <v>-1864341761</v>
      </c>
      <c r="Y14">
        <f t="shared" ref="Y14:Y21" si="6">(AT14*0)</f>
        <v>0</v>
      </c>
      <c r="AA14">
        <v>72.23</v>
      </c>
      <c r="AB14">
        <v>0</v>
      </c>
      <c r="AC14">
        <v>0</v>
      </c>
      <c r="AD14">
        <v>0</v>
      </c>
      <c r="AE14">
        <v>9.0399999999999991</v>
      </c>
      <c r="AF14">
        <v>0</v>
      </c>
      <c r="AG14">
        <v>0</v>
      </c>
      <c r="AH14">
        <v>0</v>
      </c>
      <c r="AI14">
        <v>7.99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1</v>
      </c>
      <c r="AQ14">
        <v>0</v>
      </c>
      <c r="AR14">
        <v>0</v>
      </c>
      <c r="AS14" t="s">
        <v>3</v>
      </c>
      <c r="AT14">
        <v>1</v>
      </c>
      <c r="AU14" t="s">
        <v>25</v>
      </c>
      <c r="AV14">
        <v>0</v>
      </c>
      <c r="AW14">
        <v>2</v>
      </c>
      <c r="AX14">
        <v>143122805</v>
      </c>
      <c r="AY14">
        <v>1</v>
      </c>
      <c r="AZ14">
        <v>0</v>
      </c>
      <c r="BA14">
        <v>17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ROUND(Y14*Source!I29,9)</f>
        <v>0</v>
      </c>
      <c r="CY14">
        <f t="shared" ref="CY14:CY21" si="7">AA14</f>
        <v>72.23</v>
      </c>
      <c r="CZ14">
        <f t="shared" ref="CZ14:CZ21" si="8">AE14</f>
        <v>9.0399999999999991</v>
      </c>
      <c r="DA14">
        <f t="shared" ref="DA14:DA21" si="9">AI14</f>
        <v>7.99</v>
      </c>
      <c r="DB14">
        <f t="shared" ref="DB14:DB21" si="10">ROUND((ROUND(AT14*CZ14,2)*0),2)</f>
        <v>0</v>
      </c>
      <c r="DC14">
        <f t="shared" ref="DC14:DC21" si="11">ROUND((ROUND(AT14*AG14,2)*0),2)</f>
        <v>0</v>
      </c>
      <c r="DD14" t="s">
        <v>3</v>
      </c>
      <c r="DE14" t="s">
        <v>3</v>
      </c>
      <c r="DF14">
        <f t="shared" ref="DF14:DF21" si="12">ROUND(ROUND(AE14*CX14,2)*AI14,2)</f>
        <v>0</v>
      </c>
      <c r="DG14">
        <f t="shared" ref="DG14:DG25" si="13">ROUND(AF14*CX14,2)</f>
        <v>0</v>
      </c>
      <c r="DH14">
        <f t="shared" ref="DH14:DH25" si="14">ROUND(AG14*CX14,2)</f>
        <v>0</v>
      </c>
      <c r="DI14">
        <f t="shared" si="5"/>
        <v>0</v>
      </c>
      <c r="DJ14">
        <f t="shared" ref="DJ14:DJ21" si="15">DF14</f>
        <v>0</v>
      </c>
      <c r="DK14">
        <v>0</v>
      </c>
      <c r="DL14" t="s">
        <v>3</v>
      </c>
      <c r="DM14">
        <v>0</v>
      </c>
      <c r="DN14" t="s">
        <v>3</v>
      </c>
      <c r="DO14">
        <v>0</v>
      </c>
    </row>
    <row r="15" spans="1:119" x14ac:dyDescent="0.2">
      <c r="A15">
        <f>ROW(Source!A29)</f>
        <v>29</v>
      </c>
      <c r="B15">
        <v>143120906</v>
      </c>
      <c r="C15">
        <v>143122799</v>
      </c>
      <c r="D15">
        <v>140775118</v>
      </c>
      <c r="E15">
        <v>1</v>
      </c>
      <c r="F15">
        <v>1</v>
      </c>
      <c r="G15">
        <v>1</v>
      </c>
      <c r="H15">
        <v>3</v>
      </c>
      <c r="I15" t="s">
        <v>404</v>
      </c>
      <c r="J15" t="s">
        <v>405</v>
      </c>
      <c r="K15" t="s">
        <v>406</v>
      </c>
      <c r="L15">
        <v>1348</v>
      </c>
      <c r="N15">
        <v>1009</v>
      </c>
      <c r="O15" t="s">
        <v>199</v>
      </c>
      <c r="P15" t="s">
        <v>199</v>
      </c>
      <c r="Q15">
        <v>1000</v>
      </c>
      <c r="W15">
        <v>0</v>
      </c>
      <c r="X15">
        <v>-45966985</v>
      </c>
      <c r="Y15">
        <f t="shared" si="6"/>
        <v>0</v>
      </c>
      <c r="AA15">
        <v>95704.22</v>
      </c>
      <c r="AB15">
        <v>0</v>
      </c>
      <c r="AC15">
        <v>0</v>
      </c>
      <c r="AD15">
        <v>0</v>
      </c>
      <c r="AE15">
        <v>11978</v>
      </c>
      <c r="AF15">
        <v>0</v>
      </c>
      <c r="AG15">
        <v>0</v>
      </c>
      <c r="AH15">
        <v>0</v>
      </c>
      <c r="AI15">
        <v>7.99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1</v>
      </c>
      <c r="AQ15">
        <v>0</v>
      </c>
      <c r="AR15">
        <v>0</v>
      </c>
      <c r="AS15" t="s">
        <v>3</v>
      </c>
      <c r="AT15">
        <v>1.0000000000000001E-5</v>
      </c>
      <c r="AU15" t="s">
        <v>25</v>
      </c>
      <c r="AV15">
        <v>0</v>
      </c>
      <c r="AW15">
        <v>2</v>
      </c>
      <c r="AX15">
        <v>143122807</v>
      </c>
      <c r="AY15">
        <v>1</v>
      </c>
      <c r="AZ15">
        <v>0</v>
      </c>
      <c r="BA15">
        <v>19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ROUND(Y15*Source!I29,9)</f>
        <v>0</v>
      </c>
      <c r="CY15">
        <f t="shared" si="7"/>
        <v>95704.22</v>
      </c>
      <c r="CZ15">
        <f t="shared" si="8"/>
        <v>11978</v>
      </c>
      <c r="DA15">
        <f t="shared" si="9"/>
        <v>7.99</v>
      </c>
      <c r="DB15">
        <f t="shared" si="10"/>
        <v>0</v>
      </c>
      <c r="DC15">
        <f t="shared" si="11"/>
        <v>0</v>
      </c>
      <c r="DD15" t="s">
        <v>3</v>
      </c>
      <c r="DE15" t="s">
        <v>3</v>
      </c>
      <c r="DF15">
        <f t="shared" si="12"/>
        <v>0</v>
      </c>
      <c r="DG15">
        <f t="shared" si="13"/>
        <v>0</v>
      </c>
      <c r="DH15">
        <f t="shared" si="14"/>
        <v>0</v>
      </c>
      <c r="DI15">
        <f t="shared" si="5"/>
        <v>0</v>
      </c>
      <c r="DJ15">
        <f t="shared" si="15"/>
        <v>0</v>
      </c>
      <c r="DK15">
        <v>0</v>
      </c>
      <c r="DL15" t="s">
        <v>3</v>
      </c>
      <c r="DM15">
        <v>0</v>
      </c>
      <c r="DN15" t="s">
        <v>3</v>
      </c>
      <c r="DO15">
        <v>0</v>
      </c>
    </row>
    <row r="16" spans="1:119" x14ac:dyDescent="0.2">
      <c r="A16">
        <f>ROW(Source!A29)</f>
        <v>29</v>
      </c>
      <c r="B16">
        <v>143120906</v>
      </c>
      <c r="C16">
        <v>143122799</v>
      </c>
      <c r="D16">
        <v>140776229</v>
      </c>
      <c r="E16">
        <v>1</v>
      </c>
      <c r="F16">
        <v>1</v>
      </c>
      <c r="G16">
        <v>1</v>
      </c>
      <c r="H16">
        <v>3</v>
      </c>
      <c r="I16" t="s">
        <v>407</v>
      </c>
      <c r="J16" t="s">
        <v>408</v>
      </c>
      <c r="K16" t="s">
        <v>409</v>
      </c>
      <c r="L16">
        <v>1348</v>
      </c>
      <c r="N16">
        <v>1009</v>
      </c>
      <c r="O16" t="s">
        <v>199</v>
      </c>
      <c r="P16" t="s">
        <v>199</v>
      </c>
      <c r="Q16">
        <v>1000</v>
      </c>
      <c r="W16">
        <v>0</v>
      </c>
      <c r="X16">
        <v>-1671348935</v>
      </c>
      <c r="Y16">
        <f t="shared" si="6"/>
        <v>0</v>
      </c>
      <c r="AA16">
        <v>302821</v>
      </c>
      <c r="AB16">
        <v>0</v>
      </c>
      <c r="AC16">
        <v>0</v>
      </c>
      <c r="AD16">
        <v>0</v>
      </c>
      <c r="AE16">
        <v>37900</v>
      </c>
      <c r="AF16">
        <v>0</v>
      </c>
      <c r="AG16">
        <v>0</v>
      </c>
      <c r="AH16">
        <v>0</v>
      </c>
      <c r="AI16">
        <v>7.99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1</v>
      </c>
      <c r="AQ16">
        <v>0</v>
      </c>
      <c r="AR16">
        <v>0</v>
      </c>
      <c r="AS16" t="s">
        <v>3</v>
      </c>
      <c r="AT16">
        <v>1E-4</v>
      </c>
      <c r="AU16" t="s">
        <v>25</v>
      </c>
      <c r="AV16">
        <v>0</v>
      </c>
      <c r="AW16">
        <v>2</v>
      </c>
      <c r="AX16">
        <v>143122809</v>
      </c>
      <c r="AY16">
        <v>1</v>
      </c>
      <c r="AZ16">
        <v>0</v>
      </c>
      <c r="BA16">
        <v>21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ROUND(Y16*Source!I29,9)</f>
        <v>0</v>
      </c>
      <c r="CY16">
        <f t="shared" si="7"/>
        <v>302821</v>
      </c>
      <c r="CZ16">
        <f t="shared" si="8"/>
        <v>37900</v>
      </c>
      <c r="DA16">
        <f t="shared" si="9"/>
        <v>7.99</v>
      </c>
      <c r="DB16">
        <f t="shared" si="10"/>
        <v>0</v>
      </c>
      <c r="DC16">
        <f t="shared" si="11"/>
        <v>0</v>
      </c>
      <c r="DD16" t="s">
        <v>3</v>
      </c>
      <c r="DE16" t="s">
        <v>3</v>
      </c>
      <c r="DF16">
        <f t="shared" si="12"/>
        <v>0</v>
      </c>
      <c r="DG16">
        <f t="shared" si="13"/>
        <v>0</v>
      </c>
      <c r="DH16">
        <f t="shared" si="14"/>
        <v>0</v>
      </c>
      <c r="DI16">
        <f t="shared" si="5"/>
        <v>0</v>
      </c>
      <c r="DJ16">
        <f t="shared" si="15"/>
        <v>0</v>
      </c>
      <c r="DK16">
        <v>0</v>
      </c>
      <c r="DL16" t="s">
        <v>3</v>
      </c>
      <c r="DM16">
        <v>0</v>
      </c>
      <c r="DN16" t="s">
        <v>3</v>
      </c>
      <c r="DO16">
        <v>0</v>
      </c>
    </row>
    <row r="17" spans="1:119" x14ac:dyDescent="0.2">
      <c r="A17">
        <f>ROW(Source!A29)</f>
        <v>29</v>
      </c>
      <c r="B17">
        <v>143120906</v>
      </c>
      <c r="C17">
        <v>143122799</v>
      </c>
      <c r="D17">
        <v>140791984</v>
      </c>
      <c r="E17">
        <v>1</v>
      </c>
      <c r="F17">
        <v>1</v>
      </c>
      <c r="G17">
        <v>1</v>
      </c>
      <c r="H17">
        <v>3</v>
      </c>
      <c r="I17" t="s">
        <v>410</v>
      </c>
      <c r="J17" t="s">
        <v>411</v>
      </c>
      <c r="K17" t="s">
        <v>412</v>
      </c>
      <c r="L17">
        <v>1302</v>
      </c>
      <c r="N17">
        <v>1003</v>
      </c>
      <c r="O17" t="s">
        <v>413</v>
      </c>
      <c r="P17" t="s">
        <v>413</v>
      </c>
      <c r="Q17">
        <v>10</v>
      </c>
      <c r="W17">
        <v>0</v>
      </c>
      <c r="X17">
        <v>581091037</v>
      </c>
      <c r="Y17">
        <f t="shared" si="6"/>
        <v>0</v>
      </c>
      <c r="AA17">
        <v>401.42</v>
      </c>
      <c r="AB17">
        <v>0</v>
      </c>
      <c r="AC17">
        <v>0</v>
      </c>
      <c r="AD17">
        <v>0</v>
      </c>
      <c r="AE17">
        <v>50.24</v>
      </c>
      <c r="AF17">
        <v>0</v>
      </c>
      <c r="AG17">
        <v>0</v>
      </c>
      <c r="AH17">
        <v>0</v>
      </c>
      <c r="AI17">
        <v>7.99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1</v>
      </c>
      <c r="AQ17">
        <v>0</v>
      </c>
      <c r="AR17">
        <v>0</v>
      </c>
      <c r="AS17" t="s">
        <v>3</v>
      </c>
      <c r="AT17">
        <v>1.8700000000000001E-2</v>
      </c>
      <c r="AU17" t="s">
        <v>25</v>
      </c>
      <c r="AV17">
        <v>0</v>
      </c>
      <c r="AW17">
        <v>2</v>
      </c>
      <c r="AX17">
        <v>143122811</v>
      </c>
      <c r="AY17">
        <v>1</v>
      </c>
      <c r="AZ17">
        <v>0</v>
      </c>
      <c r="BA17">
        <v>23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ROUND(Y17*Source!I29,9)</f>
        <v>0</v>
      </c>
      <c r="CY17">
        <f t="shared" si="7"/>
        <v>401.42</v>
      </c>
      <c r="CZ17">
        <f t="shared" si="8"/>
        <v>50.24</v>
      </c>
      <c r="DA17">
        <f t="shared" si="9"/>
        <v>7.99</v>
      </c>
      <c r="DB17">
        <f t="shared" si="10"/>
        <v>0</v>
      </c>
      <c r="DC17">
        <f t="shared" si="11"/>
        <v>0</v>
      </c>
      <c r="DD17" t="s">
        <v>3</v>
      </c>
      <c r="DE17" t="s">
        <v>3</v>
      </c>
      <c r="DF17">
        <f t="shared" si="12"/>
        <v>0</v>
      </c>
      <c r="DG17">
        <f t="shared" si="13"/>
        <v>0</v>
      </c>
      <c r="DH17">
        <f t="shared" si="14"/>
        <v>0</v>
      </c>
      <c r="DI17">
        <f t="shared" si="5"/>
        <v>0</v>
      </c>
      <c r="DJ17">
        <f t="shared" si="15"/>
        <v>0</v>
      </c>
      <c r="DK17">
        <v>0</v>
      </c>
      <c r="DL17" t="s">
        <v>3</v>
      </c>
      <c r="DM17">
        <v>0</v>
      </c>
      <c r="DN17" t="s">
        <v>3</v>
      </c>
      <c r="DO17">
        <v>0</v>
      </c>
    </row>
    <row r="18" spans="1:119" x14ac:dyDescent="0.2">
      <c r="A18">
        <f>ROW(Source!A29)</f>
        <v>29</v>
      </c>
      <c r="B18">
        <v>143120906</v>
      </c>
      <c r="C18">
        <v>143122799</v>
      </c>
      <c r="D18">
        <v>140792339</v>
      </c>
      <c r="E18">
        <v>1</v>
      </c>
      <c r="F18">
        <v>1</v>
      </c>
      <c r="G18">
        <v>1</v>
      </c>
      <c r="H18">
        <v>3</v>
      </c>
      <c r="I18" t="s">
        <v>414</v>
      </c>
      <c r="J18" t="s">
        <v>415</v>
      </c>
      <c r="K18" t="s">
        <v>416</v>
      </c>
      <c r="L18">
        <v>1348</v>
      </c>
      <c r="N18">
        <v>1009</v>
      </c>
      <c r="O18" t="s">
        <v>199</v>
      </c>
      <c r="P18" t="s">
        <v>199</v>
      </c>
      <c r="Q18">
        <v>1000</v>
      </c>
      <c r="W18">
        <v>0</v>
      </c>
      <c r="X18">
        <v>-120483918</v>
      </c>
      <c r="Y18">
        <f t="shared" si="6"/>
        <v>0</v>
      </c>
      <c r="AA18">
        <v>35597.050000000003</v>
      </c>
      <c r="AB18">
        <v>0</v>
      </c>
      <c r="AC18">
        <v>0</v>
      </c>
      <c r="AD18">
        <v>0</v>
      </c>
      <c r="AE18">
        <v>4455.2</v>
      </c>
      <c r="AF18">
        <v>0</v>
      </c>
      <c r="AG18">
        <v>0</v>
      </c>
      <c r="AH18">
        <v>0</v>
      </c>
      <c r="AI18">
        <v>7.99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1</v>
      </c>
      <c r="AQ18">
        <v>0</v>
      </c>
      <c r="AR18">
        <v>0</v>
      </c>
      <c r="AS18" t="s">
        <v>3</v>
      </c>
      <c r="AT18">
        <v>3.0000000000000001E-5</v>
      </c>
      <c r="AU18" t="s">
        <v>25</v>
      </c>
      <c r="AV18">
        <v>0</v>
      </c>
      <c r="AW18">
        <v>2</v>
      </c>
      <c r="AX18">
        <v>143122812</v>
      </c>
      <c r="AY18">
        <v>1</v>
      </c>
      <c r="AZ18">
        <v>0</v>
      </c>
      <c r="BA18">
        <v>24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ROUND(Y18*Source!I29,9)</f>
        <v>0</v>
      </c>
      <c r="CY18">
        <f t="shared" si="7"/>
        <v>35597.050000000003</v>
      </c>
      <c r="CZ18">
        <f t="shared" si="8"/>
        <v>4455.2</v>
      </c>
      <c r="DA18">
        <f t="shared" si="9"/>
        <v>7.99</v>
      </c>
      <c r="DB18">
        <f t="shared" si="10"/>
        <v>0</v>
      </c>
      <c r="DC18">
        <f t="shared" si="11"/>
        <v>0</v>
      </c>
      <c r="DD18" t="s">
        <v>3</v>
      </c>
      <c r="DE18" t="s">
        <v>3</v>
      </c>
      <c r="DF18">
        <f t="shared" si="12"/>
        <v>0</v>
      </c>
      <c r="DG18">
        <f t="shared" si="13"/>
        <v>0</v>
      </c>
      <c r="DH18">
        <f t="shared" si="14"/>
        <v>0</v>
      </c>
      <c r="DI18">
        <f t="shared" si="5"/>
        <v>0</v>
      </c>
      <c r="DJ18">
        <f t="shared" si="15"/>
        <v>0</v>
      </c>
      <c r="DK18">
        <v>0</v>
      </c>
      <c r="DL18" t="s">
        <v>3</v>
      </c>
      <c r="DM18">
        <v>0</v>
      </c>
      <c r="DN18" t="s">
        <v>3</v>
      </c>
      <c r="DO18">
        <v>0</v>
      </c>
    </row>
    <row r="19" spans="1:119" x14ac:dyDescent="0.2">
      <c r="A19">
        <f>ROW(Source!A29)</f>
        <v>29</v>
      </c>
      <c r="B19">
        <v>143120906</v>
      </c>
      <c r="C19">
        <v>143122799</v>
      </c>
      <c r="D19">
        <v>140793072</v>
      </c>
      <c r="E19">
        <v>1</v>
      </c>
      <c r="F19">
        <v>1</v>
      </c>
      <c r="G19">
        <v>1</v>
      </c>
      <c r="H19">
        <v>3</v>
      </c>
      <c r="I19" t="s">
        <v>417</v>
      </c>
      <c r="J19" t="s">
        <v>418</v>
      </c>
      <c r="K19" t="s">
        <v>419</v>
      </c>
      <c r="L19">
        <v>1348</v>
      </c>
      <c r="N19">
        <v>1009</v>
      </c>
      <c r="O19" t="s">
        <v>199</v>
      </c>
      <c r="P19" t="s">
        <v>199</v>
      </c>
      <c r="Q19">
        <v>1000</v>
      </c>
      <c r="W19">
        <v>0</v>
      </c>
      <c r="X19">
        <v>834877976</v>
      </c>
      <c r="Y19">
        <f t="shared" si="6"/>
        <v>0</v>
      </c>
      <c r="AA19">
        <v>39310.800000000003</v>
      </c>
      <c r="AB19">
        <v>0</v>
      </c>
      <c r="AC19">
        <v>0</v>
      </c>
      <c r="AD19">
        <v>0</v>
      </c>
      <c r="AE19">
        <v>4920</v>
      </c>
      <c r="AF19">
        <v>0</v>
      </c>
      <c r="AG19">
        <v>0</v>
      </c>
      <c r="AH19">
        <v>0</v>
      </c>
      <c r="AI19">
        <v>7.99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1</v>
      </c>
      <c r="AQ19">
        <v>0</v>
      </c>
      <c r="AR19">
        <v>0</v>
      </c>
      <c r="AS19" t="s">
        <v>3</v>
      </c>
      <c r="AT19">
        <v>1.9400000000000001E-3</v>
      </c>
      <c r="AU19" t="s">
        <v>25</v>
      </c>
      <c r="AV19">
        <v>0</v>
      </c>
      <c r="AW19">
        <v>2</v>
      </c>
      <c r="AX19">
        <v>143122813</v>
      </c>
      <c r="AY19">
        <v>1</v>
      </c>
      <c r="AZ19">
        <v>0</v>
      </c>
      <c r="BA19">
        <v>25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ROUND(Y19*Source!I29,9)</f>
        <v>0</v>
      </c>
      <c r="CY19">
        <f t="shared" si="7"/>
        <v>39310.800000000003</v>
      </c>
      <c r="CZ19">
        <f t="shared" si="8"/>
        <v>4920</v>
      </c>
      <c r="DA19">
        <f t="shared" si="9"/>
        <v>7.99</v>
      </c>
      <c r="DB19">
        <f t="shared" si="10"/>
        <v>0</v>
      </c>
      <c r="DC19">
        <f t="shared" si="11"/>
        <v>0</v>
      </c>
      <c r="DD19" t="s">
        <v>3</v>
      </c>
      <c r="DE19" t="s">
        <v>3</v>
      </c>
      <c r="DF19">
        <f t="shared" si="12"/>
        <v>0</v>
      </c>
      <c r="DG19">
        <f t="shared" si="13"/>
        <v>0</v>
      </c>
      <c r="DH19">
        <f t="shared" si="14"/>
        <v>0</v>
      </c>
      <c r="DI19">
        <f t="shared" si="5"/>
        <v>0</v>
      </c>
      <c r="DJ19">
        <f t="shared" si="15"/>
        <v>0</v>
      </c>
      <c r="DK19">
        <v>0</v>
      </c>
      <c r="DL19" t="s">
        <v>3</v>
      </c>
      <c r="DM19">
        <v>0</v>
      </c>
      <c r="DN19" t="s">
        <v>3</v>
      </c>
      <c r="DO19">
        <v>0</v>
      </c>
    </row>
    <row r="20" spans="1:119" x14ac:dyDescent="0.2">
      <c r="A20">
        <f>ROW(Source!A29)</f>
        <v>29</v>
      </c>
      <c r="B20">
        <v>143120906</v>
      </c>
      <c r="C20">
        <v>143122799</v>
      </c>
      <c r="D20">
        <v>140804058</v>
      </c>
      <c r="E20">
        <v>1</v>
      </c>
      <c r="F20">
        <v>1</v>
      </c>
      <c r="G20">
        <v>1</v>
      </c>
      <c r="H20">
        <v>3</v>
      </c>
      <c r="I20" t="s">
        <v>420</v>
      </c>
      <c r="J20" t="s">
        <v>421</v>
      </c>
      <c r="K20" t="s">
        <v>422</v>
      </c>
      <c r="L20">
        <v>1348</v>
      </c>
      <c r="N20">
        <v>1009</v>
      </c>
      <c r="O20" t="s">
        <v>199</v>
      </c>
      <c r="P20" t="s">
        <v>199</v>
      </c>
      <c r="Q20">
        <v>1000</v>
      </c>
      <c r="W20">
        <v>0</v>
      </c>
      <c r="X20">
        <v>264248573</v>
      </c>
      <c r="Y20">
        <f t="shared" si="6"/>
        <v>0</v>
      </c>
      <c r="AA20">
        <v>124803.8</v>
      </c>
      <c r="AB20">
        <v>0</v>
      </c>
      <c r="AC20">
        <v>0</v>
      </c>
      <c r="AD20">
        <v>0</v>
      </c>
      <c r="AE20">
        <v>15620</v>
      </c>
      <c r="AF20">
        <v>0</v>
      </c>
      <c r="AG20">
        <v>0</v>
      </c>
      <c r="AH20">
        <v>0</v>
      </c>
      <c r="AI20">
        <v>7.99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1</v>
      </c>
      <c r="AQ20">
        <v>0</v>
      </c>
      <c r="AR20">
        <v>0</v>
      </c>
      <c r="AS20" t="s">
        <v>3</v>
      </c>
      <c r="AT20">
        <v>3.1E-4</v>
      </c>
      <c r="AU20" t="s">
        <v>25</v>
      </c>
      <c r="AV20">
        <v>0</v>
      </c>
      <c r="AW20">
        <v>2</v>
      </c>
      <c r="AX20">
        <v>143122814</v>
      </c>
      <c r="AY20">
        <v>1</v>
      </c>
      <c r="AZ20">
        <v>0</v>
      </c>
      <c r="BA20">
        <v>26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ROUND(Y20*Source!I29,9)</f>
        <v>0</v>
      </c>
      <c r="CY20">
        <f t="shared" si="7"/>
        <v>124803.8</v>
      </c>
      <c r="CZ20">
        <f t="shared" si="8"/>
        <v>15620</v>
      </c>
      <c r="DA20">
        <f t="shared" si="9"/>
        <v>7.99</v>
      </c>
      <c r="DB20">
        <f t="shared" si="10"/>
        <v>0</v>
      </c>
      <c r="DC20">
        <f t="shared" si="11"/>
        <v>0</v>
      </c>
      <c r="DD20" t="s">
        <v>3</v>
      </c>
      <c r="DE20" t="s">
        <v>3</v>
      </c>
      <c r="DF20">
        <f t="shared" si="12"/>
        <v>0</v>
      </c>
      <c r="DG20">
        <f t="shared" si="13"/>
        <v>0</v>
      </c>
      <c r="DH20">
        <f t="shared" si="14"/>
        <v>0</v>
      </c>
      <c r="DI20">
        <f t="shared" si="5"/>
        <v>0</v>
      </c>
      <c r="DJ20">
        <f t="shared" si="15"/>
        <v>0</v>
      </c>
      <c r="DK20">
        <v>0</v>
      </c>
      <c r="DL20" t="s">
        <v>3</v>
      </c>
      <c r="DM20">
        <v>0</v>
      </c>
      <c r="DN20" t="s">
        <v>3</v>
      </c>
      <c r="DO20">
        <v>0</v>
      </c>
    </row>
    <row r="21" spans="1:119" x14ac:dyDescent="0.2">
      <c r="A21">
        <f>ROW(Source!A29)</f>
        <v>29</v>
      </c>
      <c r="B21">
        <v>143120906</v>
      </c>
      <c r="C21">
        <v>143122799</v>
      </c>
      <c r="D21">
        <v>140805182</v>
      </c>
      <c r="E21">
        <v>1</v>
      </c>
      <c r="F21">
        <v>1</v>
      </c>
      <c r="G21">
        <v>1</v>
      </c>
      <c r="H21">
        <v>3</v>
      </c>
      <c r="I21" t="s">
        <v>423</v>
      </c>
      <c r="J21" t="s">
        <v>424</v>
      </c>
      <c r="K21" t="s">
        <v>425</v>
      </c>
      <c r="L21">
        <v>1346</v>
      </c>
      <c r="N21">
        <v>1009</v>
      </c>
      <c r="O21" t="s">
        <v>177</v>
      </c>
      <c r="P21" t="s">
        <v>177</v>
      </c>
      <c r="Q21">
        <v>1</v>
      </c>
      <c r="W21">
        <v>0</v>
      </c>
      <c r="X21">
        <v>-1449230318</v>
      </c>
      <c r="Y21">
        <f t="shared" si="6"/>
        <v>0</v>
      </c>
      <c r="AA21">
        <v>75.27</v>
      </c>
      <c r="AB21">
        <v>0</v>
      </c>
      <c r="AC21">
        <v>0</v>
      </c>
      <c r="AD21">
        <v>0</v>
      </c>
      <c r="AE21">
        <v>9.42</v>
      </c>
      <c r="AF21">
        <v>0</v>
      </c>
      <c r="AG21">
        <v>0</v>
      </c>
      <c r="AH21">
        <v>0</v>
      </c>
      <c r="AI21">
        <v>7.99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1</v>
      </c>
      <c r="AQ21">
        <v>0</v>
      </c>
      <c r="AR21">
        <v>0</v>
      </c>
      <c r="AS21" t="s">
        <v>3</v>
      </c>
      <c r="AT21">
        <v>0.6</v>
      </c>
      <c r="AU21" t="s">
        <v>25</v>
      </c>
      <c r="AV21">
        <v>0</v>
      </c>
      <c r="AW21">
        <v>2</v>
      </c>
      <c r="AX21">
        <v>143122815</v>
      </c>
      <c r="AY21">
        <v>1</v>
      </c>
      <c r="AZ21">
        <v>0</v>
      </c>
      <c r="BA21">
        <v>27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ROUND(Y21*Source!I29,9)</f>
        <v>0</v>
      </c>
      <c r="CY21">
        <f t="shared" si="7"/>
        <v>75.27</v>
      </c>
      <c r="CZ21">
        <f t="shared" si="8"/>
        <v>9.42</v>
      </c>
      <c r="DA21">
        <f t="shared" si="9"/>
        <v>7.99</v>
      </c>
      <c r="DB21">
        <f t="shared" si="10"/>
        <v>0</v>
      </c>
      <c r="DC21">
        <f t="shared" si="11"/>
        <v>0</v>
      </c>
      <c r="DD21" t="s">
        <v>3</v>
      </c>
      <c r="DE21" t="s">
        <v>3</v>
      </c>
      <c r="DF21">
        <f t="shared" si="12"/>
        <v>0</v>
      </c>
      <c r="DG21">
        <f t="shared" si="13"/>
        <v>0</v>
      </c>
      <c r="DH21">
        <f t="shared" si="14"/>
        <v>0</v>
      </c>
      <c r="DI21">
        <f t="shared" si="5"/>
        <v>0</v>
      </c>
      <c r="DJ21">
        <f t="shared" si="15"/>
        <v>0</v>
      </c>
      <c r="DK21">
        <v>0</v>
      </c>
      <c r="DL21" t="s">
        <v>3</v>
      </c>
      <c r="DM21">
        <v>0</v>
      </c>
      <c r="DN21" t="s">
        <v>3</v>
      </c>
      <c r="DO21">
        <v>0</v>
      </c>
    </row>
    <row r="22" spans="1:119" x14ac:dyDescent="0.2">
      <c r="A22">
        <f>ROW(Source!A30)</f>
        <v>30</v>
      </c>
      <c r="B22">
        <v>143120906</v>
      </c>
      <c r="C22">
        <v>143124256</v>
      </c>
      <c r="D22">
        <v>140755443</v>
      </c>
      <c r="E22">
        <v>70</v>
      </c>
      <c r="F22">
        <v>1</v>
      </c>
      <c r="G22">
        <v>1</v>
      </c>
      <c r="H22">
        <v>1</v>
      </c>
      <c r="I22" t="s">
        <v>426</v>
      </c>
      <c r="J22" t="s">
        <v>3</v>
      </c>
      <c r="K22" t="s">
        <v>427</v>
      </c>
      <c r="L22">
        <v>1191</v>
      </c>
      <c r="N22">
        <v>1013</v>
      </c>
      <c r="O22" t="s">
        <v>374</v>
      </c>
      <c r="P22" t="s">
        <v>374</v>
      </c>
      <c r="Q22">
        <v>1</v>
      </c>
      <c r="W22">
        <v>0</v>
      </c>
      <c r="X22">
        <v>-1111239348</v>
      </c>
      <c r="Y22">
        <f>((AT22*0.8)*1.2)</f>
        <v>0.1152</v>
      </c>
      <c r="AA22">
        <v>0</v>
      </c>
      <c r="AB22">
        <v>0</v>
      </c>
      <c r="AC22">
        <v>0</v>
      </c>
      <c r="AD22">
        <v>268.77999999999997</v>
      </c>
      <c r="AE22">
        <v>0</v>
      </c>
      <c r="AF22">
        <v>0</v>
      </c>
      <c r="AG22">
        <v>0</v>
      </c>
      <c r="AH22">
        <v>9.6199999999999992</v>
      </c>
      <c r="AI22">
        <v>1</v>
      </c>
      <c r="AJ22">
        <v>1</v>
      </c>
      <c r="AK22">
        <v>1</v>
      </c>
      <c r="AL22">
        <v>27.94</v>
      </c>
      <c r="AN22">
        <v>0</v>
      </c>
      <c r="AO22">
        <v>1</v>
      </c>
      <c r="AP22">
        <v>1</v>
      </c>
      <c r="AQ22">
        <v>0</v>
      </c>
      <c r="AR22">
        <v>0</v>
      </c>
      <c r="AS22" t="s">
        <v>3</v>
      </c>
      <c r="AT22">
        <v>0.12</v>
      </c>
      <c r="AU22" t="s">
        <v>26</v>
      </c>
      <c r="AV22">
        <v>1</v>
      </c>
      <c r="AW22">
        <v>2</v>
      </c>
      <c r="AX22">
        <v>143124258</v>
      </c>
      <c r="AY22">
        <v>1</v>
      </c>
      <c r="AZ22">
        <v>0</v>
      </c>
      <c r="BA22">
        <v>28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ROUND(Y22*Source!I30,9)</f>
        <v>0.23039999999999999</v>
      </c>
      <c r="CY22">
        <f>AD22</f>
        <v>268.77999999999997</v>
      </c>
      <c r="CZ22">
        <f>AH22</f>
        <v>9.6199999999999992</v>
      </c>
      <c r="DA22">
        <f>AL22</f>
        <v>27.94</v>
      </c>
      <c r="DB22">
        <f>ROUND(((ROUND(AT22*CZ22,2)*0.8)*1.2),2)</f>
        <v>1.1000000000000001</v>
      </c>
      <c r="DC22">
        <f>ROUND(((ROUND(AT22*AG22,2)*0.8)*1.2),2)</f>
        <v>0</v>
      </c>
      <c r="DD22" t="s">
        <v>3</v>
      </c>
      <c r="DE22" t="s">
        <v>3</v>
      </c>
      <c r="DF22">
        <f>ROUND(AE22*CX22,2)</f>
        <v>0</v>
      </c>
      <c r="DG22">
        <f t="shared" si="13"/>
        <v>0</v>
      </c>
      <c r="DH22">
        <f t="shared" si="14"/>
        <v>0</v>
      </c>
      <c r="DI22">
        <f>ROUND(ROUND(AH22*CX22,2)*AL22,2)</f>
        <v>62.03</v>
      </c>
      <c r="DJ22">
        <f>DI22</f>
        <v>62.03</v>
      </c>
      <c r="DK22">
        <v>0</v>
      </c>
      <c r="DL22" t="s">
        <v>3</v>
      </c>
      <c r="DM22">
        <v>0</v>
      </c>
      <c r="DN22" t="s">
        <v>3</v>
      </c>
      <c r="DO22">
        <v>0</v>
      </c>
    </row>
    <row r="23" spans="1:119" x14ac:dyDescent="0.2">
      <c r="A23">
        <f>ROW(Source!A31)</f>
        <v>31</v>
      </c>
      <c r="B23">
        <v>143120906</v>
      </c>
      <c r="C23">
        <v>143127449</v>
      </c>
      <c r="D23">
        <v>140755443</v>
      </c>
      <c r="E23">
        <v>70</v>
      </c>
      <c r="F23">
        <v>1</v>
      </c>
      <c r="G23">
        <v>1</v>
      </c>
      <c r="H23">
        <v>1</v>
      </c>
      <c r="I23" t="s">
        <v>426</v>
      </c>
      <c r="J23" t="s">
        <v>3</v>
      </c>
      <c r="K23" t="s">
        <v>427</v>
      </c>
      <c r="L23">
        <v>1191</v>
      </c>
      <c r="N23">
        <v>1013</v>
      </c>
      <c r="O23" t="s">
        <v>374</v>
      </c>
      <c r="P23" t="s">
        <v>374</v>
      </c>
      <c r="Q23">
        <v>1</v>
      </c>
      <c r="W23">
        <v>0</v>
      </c>
      <c r="X23">
        <v>-1111239348</v>
      </c>
      <c r="Y23">
        <f>((AT23*1.15)*1.2)</f>
        <v>0.81419999999999981</v>
      </c>
      <c r="AA23">
        <v>0</v>
      </c>
      <c r="AB23">
        <v>0</v>
      </c>
      <c r="AC23">
        <v>0</v>
      </c>
      <c r="AD23">
        <v>268.77999999999997</v>
      </c>
      <c r="AE23">
        <v>0</v>
      </c>
      <c r="AF23">
        <v>0</v>
      </c>
      <c r="AG23">
        <v>0</v>
      </c>
      <c r="AH23">
        <v>9.6199999999999992</v>
      </c>
      <c r="AI23">
        <v>1</v>
      </c>
      <c r="AJ23">
        <v>1</v>
      </c>
      <c r="AK23">
        <v>1</v>
      </c>
      <c r="AL23">
        <v>27.94</v>
      </c>
      <c r="AN23">
        <v>0</v>
      </c>
      <c r="AO23">
        <v>1</v>
      </c>
      <c r="AP23">
        <v>1</v>
      </c>
      <c r="AQ23">
        <v>0</v>
      </c>
      <c r="AR23">
        <v>0</v>
      </c>
      <c r="AS23" t="s">
        <v>3</v>
      </c>
      <c r="AT23">
        <v>0.59</v>
      </c>
      <c r="AU23" t="s">
        <v>17</v>
      </c>
      <c r="AV23">
        <v>1</v>
      </c>
      <c r="AW23">
        <v>2</v>
      </c>
      <c r="AX23">
        <v>143127452</v>
      </c>
      <c r="AY23">
        <v>1</v>
      </c>
      <c r="AZ23">
        <v>2048</v>
      </c>
      <c r="BA23">
        <v>30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ROUND(Y23*Source!I31,9)</f>
        <v>40.71</v>
      </c>
      <c r="CY23">
        <f>AD23</f>
        <v>268.77999999999997</v>
      </c>
      <c r="CZ23">
        <f>AH23</f>
        <v>9.6199999999999992</v>
      </c>
      <c r="DA23">
        <f>AL23</f>
        <v>27.94</v>
      </c>
      <c r="DB23">
        <f>ROUND(((ROUND(AT23*CZ23,2)*1.15)*1.2),2)</f>
        <v>7.84</v>
      </c>
      <c r="DC23">
        <f>ROUND(((ROUND(AT23*AG23,2)*1.15)*1.2),2)</f>
        <v>0</v>
      </c>
      <c r="DD23" t="s">
        <v>3</v>
      </c>
      <c r="DE23" t="s">
        <v>3</v>
      </c>
      <c r="DF23">
        <f>ROUND(AE23*CX23,2)</f>
        <v>0</v>
      </c>
      <c r="DG23">
        <f t="shared" si="13"/>
        <v>0</v>
      </c>
      <c r="DH23">
        <f t="shared" si="14"/>
        <v>0</v>
      </c>
      <c r="DI23">
        <f>ROUND(ROUND(AH23*CX23,2)*AL23,2)</f>
        <v>10942.14</v>
      </c>
      <c r="DJ23">
        <f>DI23</f>
        <v>10942.14</v>
      </c>
      <c r="DK23">
        <v>0</v>
      </c>
      <c r="DL23" t="s">
        <v>3</v>
      </c>
      <c r="DM23">
        <v>0</v>
      </c>
      <c r="DN23" t="s">
        <v>3</v>
      </c>
      <c r="DO23">
        <v>0</v>
      </c>
    </row>
    <row r="24" spans="1:119" x14ac:dyDescent="0.2">
      <c r="A24">
        <f>ROW(Source!A31)</f>
        <v>31</v>
      </c>
      <c r="B24">
        <v>143120906</v>
      </c>
      <c r="C24">
        <v>143127449</v>
      </c>
      <c r="D24">
        <v>140775640</v>
      </c>
      <c r="E24">
        <v>1</v>
      </c>
      <c r="F24">
        <v>1</v>
      </c>
      <c r="G24">
        <v>1</v>
      </c>
      <c r="H24">
        <v>3</v>
      </c>
      <c r="I24" t="s">
        <v>428</v>
      </c>
      <c r="J24" t="s">
        <v>429</v>
      </c>
      <c r="K24" t="s">
        <v>430</v>
      </c>
      <c r="L24">
        <v>1371</v>
      </c>
      <c r="N24">
        <v>1013</v>
      </c>
      <c r="O24" t="s">
        <v>44</v>
      </c>
      <c r="P24" t="s">
        <v>44</v>
      </c>
      <c r="Q24">
        <v>1</v>
      </c>
      <c r="W24">
        <v>0</v>
      </c>
      <c r="X24">
        <v>1596118916</v>
      </c>
      <c r="Y24">
        <f>AT24</f>
        <v>1.4E-2</v>
      </c>
      <c r="AA24">
        <v>5888.63</v>
      </c>
      <c r="AB24">
        <v>0</v>
      </c>
      <c r="AC24">
        <v>0</v>
      </c>
      <c r="AD24">
        <v>0</v>
      </c>
      <c r="AE24">
        <v>737</v>
      </c>
      <c r="AF24">
        <v>0</v>
      </c>
      <c r="AG24">
        <v>0</v>
      </c>
      <c r="AH24">
        <v>0</v>
      </c>
      <c r="AI24">
        <v>7.99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1.4E-2</v>
      </c>
      <c r="AU24" t="s">
        <v>3</v>
      </c>
      <c r="AV24">
        <v>0</v>
      </c>
      <c r="AW24">
        <v>2</v>
      </c>
      <c r="AX24">
        <v>143127453</v>
      </c>
      <c r="AY24">
        <v>1</v>
      </c>
      <c r="AZ24">
        <v>0</v>
      </c>
      <c r="BA24">
        <v>31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ROUND(Y24*Source!I31,9)</f>
        <v>0.7</v>
      </c>
      <c r="CY24">
        <f>AA24</f>
        <v>5888.63</v>
      </c>
      <c r="CZ24">
        <f>AE24</f>
        <v>737</v>
      </c>
      <c r="DA24">
        <f>AI24</f>
        <v>7.99</v>
      </c>
      <c r="DB24">
        <f>ROUND(ROUND(AT24*CZ24,2),2)</f>
        <v>10.32</v>
      </c>
      <c r="DC24">
        <f>ROUND(ROUND(AT24*AG24,2),2)</f>
        <v>0</v>
      </c>
      <c r="DD24" t="s">
        <v>3</v>
      </c>
      <c r="DE24" t="s">
        <v>3</v>
      </c>
      <c r="DF24">
        <f>ROUND(ROUND(AE24*CX24,2)*AI24,2)</f>
        <v>4122.04</v>
      </c>
      <c r="DG24">
        <f t="shared" si="13"/>
        <v>0</v>
      </c>
      <c r="DH24">
        <f t="shared" si="14"/>
        <v>0</v>
      </c>
      <c r="DI24">
        <f>ROUND(AH24*CX24,2)</f>
        <v>0</v>
      </c>
      <c r="DJ24">
        <f>DF24</f>
        <v>4122.04</v>
      </c>
      <c r="DK24">
        <v>0</v>
      </c>
      <c r="DL24" t="s">
        <v>3</v>
      </c>
      <c r="DM24">
        <v>0</v>
      </c>
      <c r="DN24" t="s">
        <v>3</v>
      </c>
      <c r="DO24">
        <v>0</v>
      </c>
    </row>
    <row r="25" spans="1:119" x14ac:dyDescent="0.2">
      <c r="A25">
        <f>ROW(Source!A32)</f>
        <v>32</v>
      </c>
      <c r="B25">
        <v>143120906</v>
      </c>
      <c r="C25">
        <v>143127455</v>
      </c>
      <c r="D25">
        <v>140755441</v>
      </c>
      <c r="E25">
        <v>70</v>
      </c>
      <c r="F25">
        <v>1</v>
      </c>
      <c r="G25">
        <v>1</v>
      </c>
      <c r="H25">
        <v>1</v>
      </c>
      <c r="I25" t="s">
        <v>396</v>
      </c>
      <c r="J25" t="s">
        <v>3</v>
      </c>
      <c r="K25" t="s">
        <v>397</v>
      </c>
      <c r="L25">
        <v>1191</v>
      </c>
      <c r="N25">
        <v>1013</v>
      </c>
      <c r="O25" t="s">
        <v>374</v>
      </c>
      <c r="P25" t="s">
        <v>374</v>
      </c>
      <c r="Q25">
        <v>1</v>
      </c>
      <c r="W25">
        <v>0</v>
      </c>
      <c r="X25">
        <v>-2012709214</v>
      </c>
      <c r="Y25">
        <f>AT25</f>
        <v>24.19</v>
      </c>
      <c r="AA25">
        <v>0</v>
      </c>
      <c r="AB25">
        <v>0</v>
      </c>
      <c r="AC25">
        <v>0</v>
      </c>
      <c r="AD25">
        <v>262.64</v>
      </c>
      <c r="AE25">
        <v>0</v>
      </c>
      <c r="AF25">
        <v>0</v>
      </c>
      <c r="AG25">
        <v>0</v>
      </c>
      <c r="AH25">
        <v>9.4</v>
      </c>
      <c r="AI25">
        <v>1</v>
      </c>
      <c r="AJ25">
        <v>1</v>
      </c>
      <c r="AK25">
        <v>1</v>
      </c>
      <c r="AL25">
        <v>27.94</v>
      </c>
      <c r="AN25">
        <v>0</v>
      </c>
      <c r="AO25">
        <v>1</v>
      </c>
      <c r="AP25">
        <v>1</v>
      </c>
      <c r="AQ25">
        <v>0</v>
      </c>
      <c r="AR25">
        <v>0</v>
      </c>
      <c r="AS25" t="s">
        <v>3</v>
      </c>
      <c r="AT25">
        <v>24.19</v>
      </c>
      <c r="AU25" t="s">
        <v>3</v>
      </c>
      <c r="AV25">
        <v>1</v>
      </c>
      <c r="AW25">
        <v>2</v>
      </c>
      <c r="AX25">
        <v>143127459</v>
      </c>
      <c r="AY25">
        <v>1</v>
      </c>
      <c r="AZ25">
        <v>0</v>
      </c>
      <c r="BA25">
        <v>32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ROUND(Y25*Source!I32,9)</f>
        <v>0.48380000000000001</v>
      </c>
      <c r="CY25">
        <f>AD25</f>
        <v>262.64</v>
      </c>
      <c r="CZ25">
        <f>AH25</f>
        <v>9.4</v>
      </c>
      <c r="DA25">
        <f>AL25</f>
        <v>27.94</v>
      </c>
      <c r="DB25">
        <f>ROUND(ROUND(AT25*CZ25,2),2)</f>
        <v>227.39</v>
      </c>
      <c r="DC25">
        <f>ROUND(ROUND(AT25*AG25,2),2)</f>
        <v>0</v>
      </c>
      <c r="DD25" t="s">
        <v>3</v>
      </c>
      <c r="DE25" t="s">
        <v>3</v>
      </c>
      <c r="DF25">
        <f t="shared" ref="DF25:DF32" si="16">ROUND(AE25*CX25,2)</f>
        <v>0</v>
      </c>
      <c r="DG25">
        <f t="shared" si="13"/>
        <v>0</v>
      </c>
      <c r="DH25">
        <f t="shared" si="14"/>
        <v>0</v>
      </c>
      <c r="DI25">
        <f>ROUND(ROUND(AH25*CX25,2)*AL25,2)</f>
        <v>127.13</v>
      </c>
      <c r="DJ25">
        <f>DI25</f>
        <v>127.13</v>
      </c>
      <c r="DK25">
        <v>0</v>
      </c>
      <c r="DL25" t="s">
        <v>3</v>
      </c>
      <c r="DM25">
        <v>0</v>
      </c>
      <c r="DN25" t="s">
        <v>3</v>
      </c>
      <c r="DO25">
        <v>0</v>
      </c>
    </row>
    <row r="26" spans="1:119" x14ac:dyDescent="0.2">
      <c r="A26">
        <f>ROW(Source!A32)</f>
        <v>32</v>
      </c>
      <c r="B26">
        <v>143120906</v>
      </c>
      <c r="C26">
        <v>143127455</v>
      </c>
      <c r="D26">
        <v>140924121</v>
      </c>
      <c r="E26">
        <v>1</v>
      </c>
      <c r="F26">
        <v>1</v>
      </c>
      <c r="G26">
        <v>1</v>
      </c>
      <c r="H26">
        <v>2</v>
      </c>
      <c r="I26" t="s">
        <v>431</v>
      </c>
      <c r="J26" t="s">
        <v>432</v>
      </c>
      <c r="K26" t="s">
        <v>433</v>
      </c>
      <c r="L26">
        <v>1367</v>
      </c>
      <c r="N26">
        <v>1011</v>
      </c>
      <c r="O26" t="s">
        <v>380</v>
      </c>
      <c r="P26" t="s">
        <v>380</v>
      </c>
      <c r="Q26">
        <v>1</v>
      </c>
      <c r="W26">
        <v>0</v>
      </c>
      <c r="X26">
        <v>-1506375854</v>
      </c>
      <c r="Y26">
        <f>AT26</f>
        <v>7.31</v>
      </c>
      <c r="AA26">
        <v>0</v>
      </c>
      <c r="AB26">
        <v>539.35</v>
      </c>
      <c r="AC26">
        <v>0</v>
      </c>
      <c r="AD26">
        <v>0</v>
      </c>
      <c r="AE26">
        <v>0</v>
      </c>
      <c r="AF26">
        <v>48.81</v>
      </c>
      <c r="AG26">
        <v>0</v>
      </c>
      <c r="AH26">
        <v>0</v>
      </c>
      <c r="AI26">
        <v>1</v>
      </c>
      <c r="AJ26">
        <v>11.05</v>
      </c>
      <c r="AK26">
        <v>27.94</v>
      </c>
      <c r="AL26">
        <v>1</v>
      </c>
      <c r="AN26">
        <v>0</v>
      </c>
      <c r="AO26">
        <v>1</v>
      </c>
      <c r="AP26">
        <v>1</v>
      </c>
      <c r="AQ26">
        <v>0</v>
      </c>
      <c r="AR26">
        <v>0</v>
      </c>
      <c r="AS26" t="s">
        <v>3</v>
      </c>
      <c r="AT26">
        <v>7.31</v>
      </c>
      <c r="AU26" t="s">
        <v>3</v>
      </c>
      <c r="AV26">
        <v>0</v>
      </c>
      <c r="AW26">
        <v>2</v>
      </c>
      <c r="AX26">
        <v>143127460</v>
      </c>
      <c r="AY26">
        <v>1</v>
      </c>
      <c r="AZ26">
        <v>0</v>
      </c>
      <c r="BA26">
        <v>33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ROUND(Y26*Source!I32,9)</f>
        <v>0.1462</v>
      </c>
      <c r="CY26">
        <f>AB26</f>
        <v>539.35</v>
      </c>
      <c r="CZ26">
        <f>AF26</f>
        <v>48.81</v>
      </c>
      <c r="DA26">
        <f>AJ26</f>
        <v>11.05</v>
      </c>
      <c r="DB26">
        <f>ROUND(ROUND(AT26*CZ26,2),2)</f>
        <v>356.8</v>
      </c>
      <c r="DC26">
        <f>ROUND(ROUND(AT26*AG26,2),2)</f>
        <v>0</v>
      </c>
      <c r="DD26" t="s">
        <v>3</v>
      </c>
      <c r="DE26" t="s">
        <v>3</v>
      </c>
      <c r="DF26">
        <f t="shared" si="16"/>
        <v>0</v>
      </c>
      <c r="DG26">
        <f>ROUND(ROUND(AF26*CX26,2)*AJ26,2)</f>
        <v>78.900000000000006</v>
      </c>
      <c r="DH26">
        <f>ROUND(ROUND(AG26*CX26,2)*AK26,2)</f>
        <v>0</v>
      </c>
      <c r="DI26">
        <f>ROUND(AH26*CX26,2)</f>
        <v>0</v>
      </c>
      <c r="DJ26">
        <f>DG26</f>
        <v>78.900000000000006</v>
      </c>
      <c r="DK26">
        <v>0</v>
      </c>
      <c r="DL26" t="s">
        <v>3</v>
      </c>
      <c r="DM26">
        <v>0</v>
      </c>
      <c r="DN26" t="s">
        <v>3</v>
      </c>
      <c r="DO26">
        <v>0</v>
      </c>
    </row>
    <row r="27" spans="1:119" x14ac:dyDescent="0.2">
      <c r="A27">
        <f>ROW(Source!A32)</f>
        <v>32</v>
      </c>
      <c r="B27">
        <v>143120906</v>
      </c>
      <c r="C27">
        <v>143127455</v>
      </c>
      <c r="D27">
        <v>140924577</v>
      </c>
      <c r="E27">
        <v>1</v>
      </c>
      <c r="F27">
        <v>1</v>
      </c>
      <c r="G27">
        <v>1</v>
      </c>
      <c r="H27">
        <v>2</v>
      </c>
      <c r="I27" t="s">
        <v>434</v>
      </c>
      <c r="J27" t="s">
        <v>435</v>
      </c>
      <c r="K27" t="s">
        <v>436</v>
      </c>
      <c r="L27">
        <v>1367</v>
      </c>
      <c r="N27">
        <v>1011</v>
      </c>
      <c r="O27" t="s">
        <v>380</v>
      </c>
      <c r="P27" t="s">
        <v>380</v>
      </c>
      <c r="Q27">
        <v>1</v>
      </c>
      <c r="W27">
        <v>0</v>
      </c>
      <c r="X27">
        <v>1998121820</v>
      </c>
      <c r="Y27">
        <f>AT27</f>
        <v>14.62</v>
      </c>
      <c r="AA27">
        <v>0</v>
      </c>
      <c r="AB27">
        <v>16.91</v>
      </c>
      <c r="AC27">
        <v>0</v>
      </c>
      <c r="AD27">
        <v>0</v>
      </c>
      <c r="AE27">
        <v>0</v>
      </c>
      <c r="AF27">
        <v>1.53</v>
      </c>
      <c r="AG27">
        <v>0</v>
      </c>
      <c r="AH27">
        <v>0</v>
      </c>
      <c r="AI27">
        <v>1</v>
      </c>
      <c r="AJ27">
        <v>11.05</v>
      </c>
      <c r="AK27">
        <v>27.94</v>
      </c>
      <c r="AL27">
        <v>1</v>
      </c>
      <c r="AN27">
        <v>0</v>
      </c>
      <c r="AO27">
        <v>1</v>
      </c>
      <c r="AP27">
        <v>1</v>
      </c>
      <c r="AQ27">
        <v>0</v>
      </c>
      <c r="AR27">
        <v>0</v>
      </c>
      <c r="AS27" t="s">
        <v>3</v>
      </c>
      <c r="AT27">
        <v>14.62</v>
      </c>
      <c r="AU27" t="s">
        <v>3</v>
      </c>
      <c r="AV27">
        <v>0</v>
      </c>
      <c r="AW27">
        <v>2</v>
      </c>
      <c r="AX27">
        <v>143127461</v>
      </c>
      <c r="AY27">
        <v>1</v>
      </c>
      <c r="AZ27">
        <v>0</v>
      </c>
      <c r="BA27">
        <v>34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ROUND(Y27*Source!I32,9)</f>
        <v>0.29239999999999999</v>
      </c>
      <c r="CY27">
        <f>AB27</f>
        <v>16.91</v>
      </c>
      <c r="CZ27">
        <f>AF27</f>
        <v>1.53</v>
      </c>
      <c r="DA27">
        <f>AJ27</f>
        <v>11.05</v>
      </c>
      <c r="DB27">
        <f>ROUND(ROUND(AT27*CZ27,2),2)</f>
        <v>22.37</v>
      </c>
      <c r="DC27">
        <f>ROUND(ROUND(AT27*AG27,2),2)</f>
        <v>0</v>
      </c>
      <c r="DD27" t="s">
        <v>3</v>
      </c>
      <c r="DE27" t="s">
        <v>3</v>
      </c>
      <c r="DF27">
        <f t="shared" si="16"/>
        <v>0</v>
      </c>
      <c r="DG27">
        <f>ROUND(ROUND(AF27*CX27,2)*AJ27,2)</f>
        <v>4.97</v>
      </c>
      <c r="DH27">
        <f>ROUND(ROUND(AG27*CX27,2)*AK27,2)</f>
        <v>0</v>
      </c>
      <c r="DI27">
        <f>ROUND(AH27*CX27,2)</f>
        <v>0</v>
      </c>
      <c r="DJ27">
        <f>DG27</f>
        <v>4.97</v>
      </c>
      <c r="DK27">
        <v>0</v>
      </c>
      <c r="DL27" t="s">
        <v>3</v>
      </c>
      <c r="DM27">
        <v>0</v>
      </c>
      <c r="DN27" t="s">
        <v>3</v>
      </c>
      <c r="DO27">
        <v>0</v>
      </c>
    </row>
    <row r="28" spans="1:119" x14ac:dyDescent="0.2">
      <c r="A28">
        <f>ROW(Source!A68)</f>
        <v>68</v>
      </c>
      <c r="B28">
        <v>143120906</v>
      </c>
      <c r="C28">
        <v>143126729</v>
      </c>
      <c r="D28">
        <v>140760015</v>
      </c>
      <c r="E28">
        <v>70</v>
      </c>
      <c r="F28">
        <v>1</v>
      </c>
      <c r="G28">
        <v>1</v>
      </c>
      <c r="H28">
        <v>1</v>
      </c>
      <c r="I28" t="s">
        <v>437</v>
      </c>
      <c r="J28" t="s">
        <v>3</v>
      </c>
      <c r="K28" t="s">
        <v>438</v>
      </c>
      <c r="L28">
        <v>1191</v>
      </c>
      <c r="N28">
        <v>1013</v>
      </c>
      <c r="O28" t="s">
        <v>374</v>
      </c>
      <c r="P28" t="s">
        <v>374</v>
      </c>
      <c r="Q28">
        <v>1</v>
      </c>
      <c r="W28">
        <v>0</v>
      </c>
      <c r="X28">
        <v>-881424154</v>
      </c>
      <c r="Y28">
        <f>((AT28*1.15)*1.2)</f>
        <v>74.657999999999987</v>
      </c>
      <c r="AA28">
        <v>0</v>
      </c>
      <c r="AB28">
        <v>0</v>
      </c>
      <c r="AC28">
        <v>0</v>
      </c>
      <c r="AD28">
        <v>259.56</v>
      </c>
      <c r="AE28">
        <v>0</v>
      </c>
      <c r="AF28">
        <v>0</v>
      </c>
      <c r="AG28">
        <v>0</v>
      </c>
      <c r="AH28">
        <v>9.2899999999999991</v>
      </c>
      <c r="AI28">
        <v>1</v>
      </c>
      <c r="AJ28">
        <v>1</v>
      </c>
      <c r="AK28">
        <v>1</v>
      </c>
      <c r="AL28">
        <v>27.94</v>
      </c>
      <c r="AN28">
        <v>0</v>
      </c>
      <c r="AO28">
        <v>1</v>
      </c>
      <c r="AP28">
        <v>1</v>
      </c>
      <c r="AQ28">
        <v>0</v>
      </c>
      <c r="AR28">
        <v>0</v>
      </c>
      <c r="AS28" t="s">
        <v>3</v>
      </c>
      <c r="AT28">
        <v>54.1</v>
      </c>
      <c r="AU28" t="s">
        <v>17</v>
      </c>
      <c r="AV28">
        <v>1</v>
      </c>
      <c r="AW28">
        <v>2</v>
      </c>
      <c r="AX28">
        <v>143126730</v>
      </c>
      <c r="AY28">
        <v>1</v>
      </c>
      <c r="AZ28">
        <v>0</v>
      </c>
      <c r="BA28">
        <v>35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ROUND(Y28*Source!I68,9)</f>
        <v>2.3890560000000001</v>
      </c>
      <c r="CY28">
        <f>AD28</f>
        <v>259.56</v>
      </c>
      <c r="CZ28">
        <f>AH28</f>
        <v>9.2899999999999991</v>
      </c>
      <c r="DA28">
        <f>AL28</f>
        <v>27.94</v>
      </c>
      <c r="DB28">
        <f>ROUND(((ROUND(AT28*CZ28,2)*1.15)*1.2),2)</f>
        <v>693.57</v>
      </c>
      <c r="DC28">
        <f>ROUND(((ROUND(AT28*AG28,2)*1.15)*1.2),2)</f>
        <v>0</v>
      </c>
      <c r="DD28" t="s">
        <v>3</v>
      </c>
      <c r="DE28" t="s">
        <v>3</v>
      </c>
      <c r="DF28">
        <f t="shared" si="16"/>
        <v>0</v>
      </c>
      <c r="DG28">
        <f>ROUND(AF28*CX28,2)</f>
        <v>0</v>
      </c>
      <c r="DH28">
        <f>ROUND(AG28*CX28,2)</f>
        <v>0</v>
      </c>
      <c r="DI28">
        <f>ROUND(ROUND(AH28*CX28,2)*AL28,2)</f>
        <v>619.99</v>
      </c>
      <c r="DJ28">
        <f>DI28</f>
        <v>619.99</v>
      </c>
      <c r="DK28">
        <v>0</v>
      </c>
      <c r="DL28" t="s">
        <v>3</v>
      </c>
      <c r="DM28">
        <v>0</v>
      </c>
      <c r="DN28" t="s">
        <v>3</v>
      </c>
      <c r="DO28">
        <v>0</v>
      </c>
    </row>
    <row r="29" spans="1:119" x14ac:dyDescent="0.2">
      <c r="A29">
        <f>ROW(Source!A68)</f>
        <v>68</v>
      </c>
      <c r="B29">
        <v>143120906</v>
      </c>
      <c r="C29">
        <v>143126729</v>
      </c>
      <c r="D29">
        <v>140760225</v>
      </c>
      <c r="E29">
        <v>70</v>
      </c>
      <c r="F29">
        <v>1</v>
      </c>
      <c r="G29">
        <v>1</v>
      </c>
      <c r="H29">
        <v>1</v>
      </c>
      <c r="I29" t="s">
        <v>375</v>
      </c>
      <c r="J29" t="s">
        <v>3</v>
      </c>
      <c r="K29" t="s">
        <v>376</v>
      </c>
      <c r="L29">
        <v>1191</v>
      </c>
      <c r="N29">
        <v>1013</v>
      </c>
      <c r="O29" t="s">
        <v>374</v>
      </c>
      <c r="P29" t="s">
        <v>374</v>
      </c>
      <c r="Q29">
        <v>1</v>
      </c>
      <c r="W29">
        <v>0</v>
      </c>
      <c r="X29">
        <v>-1417349443</v>
      </c>
      <c r="Y29">
        <f>((AT29*1.25)*1.2)</f>
        <v>0.15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27.94</v>
      </c>
      <c r="AL29">
        <v>1</v>
      </c>
      <c r="AN29">
        <v>0</v>
      </c>
      <c r="AO29">
        <v>1</v>
      </c>
      <c r="AP29">
        <v>1</v>
      </c>
      <c r="AQ29">
        <v>0</v>
      </c>
      <c r="AR29">
        <v>0</v>
      </c>
      <c r="AS29" t="s">
        <v>3</v>
      </c>
      <c r="AT29">
        <v>0.1</v>
      </c>
      <c r="AU29" t="s">
        <v>16</v>
      </c>
      <c r="AV29">
        <v>2</v>
      </c>
      <c r="AW29">
        <v>2</v>
      </c>
      <c r="AX29">
        <v>143126731</v>
      </c>
      <c r="AY29">
        <v>1</v>
      </c>
      <c r="AZ29">
        <v>0</v>
      </c>
      <c r="BA29">
        <v>36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ROUND(Y29*Source!I68,9)</f>
        <v>4.7999999999999996E-3</v>
      </c>
      <c r="CY29">
        <f>AD29</f>
        <v>0</v>
      </c>
      <c r="CZ29">
        <f>AH29</f>
        <v>0</v>
      </c>
      <c r="DA29">
        <f>AL29</f>
        <v>1</v>
      </c>
      <c r="DB29">
        <f>ROUND(((ROUND(AT29*CZ29,2)*1.25)*1.2),2)</f>
        <v>0</v>
      </c>
      <c r="DC29">
        <f>ROUND(((ROUND(AT29*AG29,2)*1.25)*1.2),2)</f>
        <v>0</v>
      </c>
      <c r="DD29" t="s">
        <v>3</v>
      </c>
      <c r="DE29" t="s">
        <v>3</v>
      </c>
      <c r="DF29">
        <f t="shared" si="16"/>
        <v>0</v>
      </c>
      <c r="DG29">
        <f>ROUND(AF29*CX29,2)</f>
        <v>0</v>
      </c>
      <c r="DH29">
        <f>ROUND(ROUND(AG29*CX29,2)*AK29,2)</f>
        <v>0</v>
      </c>
      <c r="DI29">
        <f t="shared" ref="DI29:DI35" si="17">ROUND(AH29*CX29,2)</f>
        <v>0</v>
      </c>
      <c r="DJ29">
        <f>DI29</f>
        <v>0</v>
      </c>
      <c r="DK29">
        <v>0</v>
      </c>
      <c r="DL29" t="s">
        <v>3</v>
      </c>
      <c r="DM29">
        <v>0</v>
      </c>
      <c r="DN29" t="s">
        <v>3</v>
      </c>
      <c r="DO29">
        <v>0</v>
      </c>
    </row>
    <row r="30" spans="1:119" x14ac:dyDescent="0.2">
      <c r="A30">
        <f>ROW(Source!A68)</f>
        <v>68</v>
      </c>
      <c r="B30">
        <v>143120906</v>
      </c>
      <c r="C30">
        <v>143126729</v>
      </c>
      <c r="D30">
        <v>140922893</v>
      </c>
      <c r="E30">
        <v>1</v>
      </c>
      <c r="F30">
        <v>1</v>
      </c>
      <c r="G30">
        <v>1</v>
      </c>
      <c r="H30">
        <v>2</v>
      </c>
      <c r="I30" t="s">
        <v>439</v>
      </c>
      <c r="J30" t="s">
        <v>440</v>
      </c>
      <c r="K30" t="s">
        <v>441</v>
      </c>
      <c r="L30">
        <v>1367</v>
      </c>
      <c r="N30">
        <v>1011</v>
      </c>
      <c r="O30" t="s">
        <v>380</v>
      </c>
      <c r="P30" t="s">
        <v>380</v>
      </c>
      <c r="Q30">
        <v>1</v>
      </c>
      <c r="W30">
        <v>0</v>
      </c>
      <c r="X30">
        <v>-130837057</v>
      </c>
      <c r="Y30">
        <f>((AT30*1.25)*1.2)</f>
        <v>0.06</v>
      </c>
      <c r="AA30">
        <v>0</v>
      </c>
      <c r="AB30">
        <v>954.72</v>
      </c>
      <c r="AC30">
        <v>377.19</v>
      </c>
      <c r="AD30">
        <v>0</v>
      </c>
      <c r="AE30">
        <v>0</v>
      </c>
      <c r="AF30">
        <v>86.4</v>
      </c>
      <c r="AG30">
        <v>13.5</v>
      </c>
      <c r="AH30">
        <v>0</v>
      </c>
      <c r="AI30">
        <v>1</v>
      </c>
      <c r="AJ30">
        <v>11.05</v>
      </c>
      <c r="AK30">
        <v>27.94</v>
      </c>
      <c r="AL30">
        <v>1</v>
      </c>
      <c r="AN30">
        <v>0</v>
      </c>
      <c r="AO30">
        <v>1</v>
      </c>
      <c r="AP30">
        <v>1</v>
      </c>
      <c r="AQ30">
        <v>0</v>
      </c>
      <c r="AR30">
        <v>0</v>
      </c>
      <c r="AS30" t="s">
        <v>3</v>
      </c>
      <c r="AT30">
        <v>0.04</v>
      </c>
      <c r="AU30" t="s">
        <v>16</v>
      </c>
      <c r="AV30">
        <v>0</v>
      </c>
      <c r="AW30">
        <v>2</v>
      </c>
      <c r="AX30">
        <v>143126732</v>
      </c>
      <c r="AY30">
        <v>1</v>
      </c>
      <c r="AZ30">
        <v>0</v>
      </c>
      <c r="BA30">
        <v>37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ROUND(Y30*Source!I68,9)</f>
        <v>1.92E-3</v>
      </c>
      <c r="CY30">
        <f>AB30</f>
        <v>954.72</v>
      </c>
      <c r="CZ30">
        <f>AF30</f>
        <v>86.4</v>
      </c>
      <c r="DA30">
        <f>AJ30</f>
        <v>11.05</v>
      </c>
      <c r="DB30">
        <f>ROUND(((ROUND(AT30*CZ30,2)*1.25)*1.2),2)</f>
        <v>5.19</v>
      </c>
      <c r="DC30">
        <f>ROUND(((ROUND(AT30*AG30,2)*1.25)*1.2),2)</f>
        <v>0.81</v>
      </c>
      <c r="DD30" t="s">
        <v>3</v>
      </c>
      <c r="DE30" t="s">
        <v>3</v>
      </c>
      <c r="DF30">
        <f t="shared" si="16"/>
        <v>0</v>
      </c>
      <c r="DG30">
        <f>ROUND(ROUND(AF30*CX30,2)*AJ30,2)</f>
        <v>1.88</v>
      </c>
      <c r="DH30">
        <f>ROUND(ROUND(AG30*CX30,2)*AK30,2)</f>
        <v>0.84</v>
      </c>
      <c r="DI30">
        <f t="shared" si="17"/>
        <v>0</v>
      </c>
      <c r="DJ30">
        <f>DG30</f>
        <v>1.88</v>
      </c>
      <c r="DK30">
        <v>0</v>
      </c>
      <c r="DL30" t="s">
        <v>3</v>
      </c>
      <c r="DM30">
        <v>0</v>
      </c>
      <c r="DN30" t="s">
        <v>3</v>
      </c>
      <c r="DO30">
        <v>0</v>
      </c>
    </row>
    <row r="31" spans="1:119" x14ac:dyDescent="0.2">
      <c r="A31">
        <f>ROW(Source!A68)</f>
        <v>68</v>
      </c>
      <c r="B31">
        <v>143120906</v>
      </c>
      <c r="C31">
        <v>143126729</v>
      </c>
      <c r="D31">
        <v>140922951</v>
      </c>
      <c r="E31">
        <v>1</v>
      </c>
      <c r="F31">
        <v>1</v>
      </c>
      <c r="G31">
        <v>1</v>
      </c>
      <c r="H31">
        <v>2</v>
      </c>
      <c r="I31" t="s">
        <v>381</v>
      </c>
      <c r="J31" t="s">
        <v>382</v>
      </c>
      <c r="K31" t="s">
        <v>383</v>
      </c>
      <c r="L31">
        <v>1367</v>
      </c>
      <c r="N31">
        <v>1011</v>
      </c>
      <c r="O31" t="s">
        <v>380</v>
      </c>
      <c r="P31" t="s">
        <v>380</v>
      </c>
      <c r="Q31">
        <v>1</v>
      </c>
      <c r="W31">
        <v>0</v>
      </c>
      <c r="X31">
        <v>-430484415</v>
      </c>
      <c r="Y31">
        <f>((AT31*1.25)*1.2)</f>
        <v>4.4999999999999998E-2</v>
      </c>
      <c r="AA31">
        <v>0</v>
      </c>
      <c r="AB31">
        <v>1275.17</v>
      </c>
      <c r="AC31">
        <v>377.19</v>
      </c>
      <c r="AD31">
        <v>0</v>
      </c>
      <c r="AE31">
        <v>0</v>
      </c>
      <c r="AF31">
        <v>115.4</v>
      </c>
      <c r="AG31">
        <v>13.5</v>
      </c>
      <c r="AH31">
        <v>0</v>
      </c>
      <c r="AI31">
        <v>1</v>
      </c>
      <c r="AJ31">
        <v>11.05</v>
      </c>
      <c r="AK31">
        <v>27.94</v>
      </c>
      <c r="AL31">
        <v>1</v>
      </c>
      <c r="AN31">
        <v>0</v>
      </c>
      <c r="AO31">
        <v>1</v>
      </c>
      <c r="AP31">
        <v>1</v>
      </c>
      <c r="AQ31">
        <v>0</v>
      </c>
      <c r="AR31">
        <v>0</v>
      </c>
      <c r="AS31" t="s">
        <v>3</v>
      </c>
      <c r="AT31">
        <v>0.03</v>
      </c>
      <c r="AU31" t="s">
        <v>16</v>
      </c>
      <c r="AV31">
        <v>0</v>
      </c>
      <c r="AW31">
        <v>2</v>
      </c>
      <c r="AX31">
        <v>143126733</v>
      </c>
      <c r="AY31">
        <v>1</v>
      </c>
      <c r="AZ31">
        <v>0</v>
      </c>
      <c r="BA31">
        <v>38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ROUND(Y31*Source!I68,9)</f>
        <v>1.4400000000000001E-3</v>
      </c>
      <c r="CY31">
        <f>AB31</f>
        <v>1275.17</v>
      </c>
      <c r="CZ31">
        <f>AF31</f>
        <v>115.4</v>
      </c>
      <c r="DA31">
        <f>AJ31</f>
        <v>11.05</v>
      </c>
      <c r="DB31">
        <f>ROUND(((ROUND(AT31*CZ31,2)*1.25)*1.2),2)</f>
        <v>5.19</v>
      </c>
      <c r="DC31">
        <f>ROUND(((ROUND(AT31*AG31,2)*1.25)*1.2),2)</f>
        <v>0.62</v>
      </c>
      <c r="DD31" t="s">
        <v>3</v>
      </c>
      <c r="DE31" t="s">
        <v>3</v>
      </c>
      <c r="DF31">
        <f t="shared" si="16"/>
        <v>0</v>
      </c>
      <c r="DG31">
        <f>ROUND(ROUND(AF31*CX31,2)*AJ31,2)</f>
        <v>1.88</v>
      </c>
      <c r="DH31">
        <f>ROUND(ROUND(AG31*CX31,2)*AK31,2)</f>
        <v>0.56000000000000005</v>
      </c>
      <c r="DI31">
        <f t="shared" si="17"/>
        <v>0</v>
      </c>
      <c r="DJ31">
        <f>DG31</f>
        <v>1.88</v>
      </c>
      <c r="DK31">
        <v>0</v>
      </c>
      <c r="DL31" t="s">
        <v>3</v>
      </c>
      <c r="DM31">
        <v>0</v>
      </c>
      <c r="DN31" t="s">
        <v>3</v>
      </c>
      <c r="DO31">
        <v>0</v>
      </c>
    </row>
    <row r="32" spans="1:119" x14ac:dyDescent="0.2">
      <c r="A32">
        <f>ROW(Source!A68)</f>
        <v>68</v>
      </c>
      <c r="B32">
        <v>143120906</v>
      </c>
      <c r="C32">
        <v>143126729</v>
      </c>
      <c r="D32">
        <v>140923885</v>
      </c>
      <c r="E32">
        <v>1</v>
      </c>
      <c r="F32">
        <v>1</v>
      </c>
      <c r="G32">
        <v>1</v>
      </c>
      <c r="H32">
        <v>2</v>
      </c>
      <c r="I32" t="s">
        <v>387</v>
      </c>
      <c r="J32" t="s">
        <v>388</v>
      </c>
      <c r="K32" t="s">
        <v>389</v>
      </c>
      <c r="L32">
        <v>1367</v>
      </c>
      <c r="N32">
        <v>1011</v>
      </c>
      <c r="O32" t="s">
        <v>380</v>
      </c>
      <c r="P32" t="s">
        <v>380</v>
      </c>
      <c r="Q32">
        <v>1</v>
      </c>
      <c r="W32">
        <v>0</v>
      </c>
      <c r="X32">
        <v>509054691</v>
      </c>
      <c r="Y32">
        <f>((AT32*1.25)*1.2)</f>
        <v>4.4999999999999998E-2</v>
      </c>
      <c r="AA32">
        <v>0</v>
      </c>
      <c r="AB32">
        <v>726.1</v>
      </c>
      <c r="AC32">
        <v>324.10000000000002</v>
      </c>
      <c r="AD32">
        <v>0</v>
      </c>
      <c r="AE32">
        <v>0</v>
      </c>
      <c r="AF32">
        <v>65.709999999999994</v>
      </c>
      <c r="AG32">
        <v>11.6</v>
      </c>
      <c r="AH32">
        <v>0</v>
      </c>
      <c r="AI32">
        <v>1</v>
      </c>
      <c r="AJ32">
        <v>11.05</v>
      </c>
      <c r="AK32">
        <v>27.94</v>
      </c>
      <c r="AL32">
        <v>1</v>
      </c>
      <c r="AN32">
        <v>0</v>
      </c>
      <c r="AO32">
        <v>1</v>
      </c>
      <c r="AP32">
        <v>1</v>
      </c>
      <c r="AQ32">
        <v>0</v>
      </c>
      <c r="AR32">
        <v>0</v>
      </c>
      <c r="AS32" t="s">
        <v>3</v>
      </c>
      <c r="AT32">
        <v>0.03</v>
      </c>
      <c r="AU32" t="s">
        <v>16</v>
      </c>
      <c r="AV32">
        <v>0</v>
      </c>
      <c r="AW32">
        <v>2</v>
      </c>
      <c r="AX32">
        <v>143126734</v>
      </c>
      <c r="AY32">
        <v>1</v>
      </c>
      <c r="AZ32">
        <v>0</v>
      </c>
      <c r="BA32">
        <v>39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ROUND(Y32*Source!I68,9)</f>
        <v>1.4400000000000001E-3</v>
      </c>
      <c r="CY32">
        <f>AB32</f>
        <v>726.1</v>
      </c>
      <c r="CZ32">
        <f>AF32</f>
        <v>65.709999999999994</v>
      </c>
      <c r="DA32">
        <f>AJ32</f>
        <v>11.05</v>
      </c>
      <c r="DB32">
        <f>ROUND(((ROUND(AT32*CZ32,2)*1.25)*1.2),2)</f>
        <v>2.96</v>
      </c>
      <c r="DC32">
        <f>ROUND(((ROUND(AT32*AG32,2)*1.25)*1.2),2)</f>
        <v>0.53</v>
      </c>
      <c r="DD32" t="s">
        <v>3</v>
      </c>
      <c r="DE32" t="s">
        <v>3</v>
      </c>
      <c r="DF32">
        <f t="shared" si="16"/>
        <v>0</v>
      </c>
      <c r="DG32">
        <f>ROUND(ROUND(AF32*CX32,2)*AJ32,2)</f>
        <v>0.99</v>
      </c>
      <c r="DH32">
        <f>ROUND(ROUND(AG32*CX32,2)*AK32,2)</f>
        <v>0.56000000000000005</v>
      </c>
      <c r="DI32">
        <f t="shared" si="17"/>
        <v>0</v>
      </c>
      <c r="DJ32">
        <f>DG32</f>
        <v>0.99</v>
      </c>
      <c r="DK32">
        <v>0</v>
      </c>
      <c r="DL32" t="s">
        <v>3</v>
      </c>
      <c r="DM32">
        <v>0</v>
      </c>
      <c r="DN32" t="s">
        <v>3</v>
      </c>
      <c r="DO32">
        <v>0</v>
      </c>
    </row>
    <row r="33" spans="1:119" x14ac:dyDescent="0.2">
      <c r="A33">
        <f>ROW(Source!A68)</f>
        <v>68</v>
      </c>
      <c r="B33">
        <v>143120906</v>
      </c>
      <c r="C33">
        <v>143126729</v>
      </c>
      <c r="D33">
        <v>140772680</v>
      </c>
      <c r="E33">
        <v>1</v>
      </c>
      <c r="F33">
        <v>1</v>
      </c>
      <c r="G33">
        <v>1</v>
      </c>
      <c r="H33">
        <v>3</v>
      </c>
      <c r="I33" t="s">
        <v>390</v>
      </c>
      <c r="J33" t="s">
        <v>391</v>
      </c>
      <c r="K33" t="s">
        <v>392</v>
      </c>
      <c r="L33">
        <v>1339</v>
      </c>
      <c r="N33">
        <v>1007</v>
      </c>
      <c r="O33" t="s">
        <v>149</v>
      </c>
      <c r="P33" t="s">
        <v>149</v>
      </c>
      <c r="Q33">
        <v>1</v>
      </c>
      <c r="W33">
        <v>0</v>
      </c>
      <c r="X33">
        <v>-143474561</v>
      </c>
      <c r="Y33">
        <f t="shared" ref="Y33:Y45" si="18">AT33</f>
        <v>3.5</v>
      </c>
      <c r="AA33">
        <v>19.5</v>
      </c>
      <c r="AB33">
        <v>0</v>
      </c>
      <c r="AC33">
        <v>0</v>
      </c>
      <c r="AD33">
        <v>0</v>
      </c>
      <c r="AE33">
        <v>2.44</v>
      </c>
      <c r="AF33">
        <v>0</v>
      </c>
      <c r="AG33">
        <v>0</v>
      </c>
      <c r="AH33">
        <v>0</v>
      </c>
      <c r="AI33">
        <v>7.99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3.5</v>
      </c>
      <c r="AU33" t="s">
        <v>3</v>
      </c>
      <c r="AV33">
        <v>0</v>
      </c>
      <c r="AW33">
        <v>2</v>
      </c>
      <c r="AX33">
        <v>143126735</v>
      </c>
      <c r="AY33">
        <v>1</v>
      </c>
      <c r="AZ33">
        <v>0</v>
      </c>
      <c r="BA33">
        <v>40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ROUND(Y33*Source!I68,9)</f>
        <v>0.112</v>
      </c>
      <c r="CY33">
        <f>AA33</f>
        <v>19.5</v>
      </c>
      <c r="CZ33">
        <f>AE33</f>
        <v>2.44</v>
      </c>
      <c r="DA33">
        <f>AI33</f>
        <v>7.99</v>
      </c>
      <c r="DB33">
        <f t="shared" ref="DB33:DB45" si="19">ROUND(ROUND(AT33*CZ33,2),2)</f>
        <v>8.5399999999999991</v>
      </c>
      <c r="DC33">
        <f t="shared" ref="DC33:DC45" si="20">ROUND(ROUND(AT33*AG33,2),2)</f>
        <v>0</v>
      </c>
      <c r="DD33" t="s">
        <v>3</v>
      </c>
      <c r="DE33" t="s">
        <v>3</v>
      </c>
      <c r="DF33">
        <f>ROUND(ROUND(AE33*CX33,2)*AI33,2)</f>
        <v>2.16</v>
      </c>
      <c r="DG33">
        <f>ROUND(AF33*CX33,2)</f>
        <v>0</v>
      </c>
      <c r="DH33">
        <f>ROUND(AG33*CX33,2)</f>
        <v>0</v>
      </c>
      <c r="DI33">
        <f t="shared" si="17"/>
        <v>0</v>
      </c>
      <c r="DJ33">
        <f>DF33</f>
        <v>2.16</v>
      </c>
      <c r="DK33">
        <v>0</v>
      </c>
      <c r="DL33" t="s">
        <v>3</v>
      </c>
      <c r="DM33">
        <v>0</v>
      </c>
      <c r="DN33" t="s">
        <v>3</v>
      </c>
      <c r="DO33">
        <v>0</v>
      </c>
    </row>
    <row r="34" spans="1:119" x14ac:dyDescent="0.2">
      <c r="A34">
        <f>ROW(Source!A68)</f>
        <v>68</v>
      </c>
      <c r="B34">
        <v>143120906</v>
      </c>
      <c r="C34">
        <v>143126729</v>
      </c>
      <c r="D34">
        <v>140775000</v>
      </c>
      <c r="E34">
        <v>1</v>
      </c>
      <c r="F34">
        <v>1</v>
      </c>
      <c r="G34">
        <v>1</v>
      </c>
      <c r="H34">
        <v>3</v>
      </c>
      <c r="I34" t="s">
        <v>442</v>
      </c>
      <c r="J34" t="s">
        <v>443</v>
      </c>
      <c r="K34" t="s">
        <v>444</v>
      </c>
      <c r="L34">
        <v>1348</v>
      </c>
      <c r="N34">
        <v>1009</v>
      </c>
      <c r="O34" t="s">
        <v>199</v>
      </c>
      <c r="P34" t="s">
        <v>199</v>
      </c>
      <c r="Q34">
        <v>1000</v>
      </c>
      <c r="W34">
        <v>0</v>
      </c>
      <c r="X34">
        <v>-1292822538</v>
      </c>
      <c r="Y34">
        <f t="shared" si="18"/>
        <v>4.1999999999999997E-3</v>
      </c>
      <c r="AA34">
        <v>118491.7</v>
      </c>
      <c r="AB34">
        <v>0</v>
      </c>
      <c r="AC34">
        <v>0</v>
      </c>
      <c r="AD34">
        <v>0</v>
      </c>
      <c r="AE34">
        <v>14830</v>
      </c>
      <c r="AF34">
        <v>0</v>
      </c>
      <c r="AG34">
        <v>0</v>
      </c>
      <c r="AH34">
        <v>0</v>
      </c>
      <c r="AI34">
        <v>7.99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4.1999999999999997E-3</v>
      </c>
      <c r="AU34" t="s">
        <v>3</v>
      </c>
      <c r="AV34">
        <v>0</v>
      </c>
      <c r="AW34">
        <v>2</v>
      </c>
      <c r="AX34">
        <v>143126736</v>
      </c>
      <c r="AY34">
        <v>1</v>
      </c>
      <c r="AZ34">
        <v>0</v>
      </c>
      <c r="BA34">
        <v>41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ROUND(Y34*Source!I68,9)</f>
        <v>1.3439999999999999E-4</v>
      </c>
      <c r="CY34">
        <f>AA34</f>
        <v>118491.7</v>
      </c>
      <c r="CZ34">
        <f>AE34</f>
        <v>14830</v>
      </c>
      <c r="DA34">
        <f>AI34</f>
        <v>7.99</v>
      </c>
      <c r="DB34">
        <f t="shared" si="19"/>
        <v>62.29</v>
      </c>
      <c r="DC34">
        <f t="shared" si="20"/>
        <v>0</v>
      </c>
      <c r="DD34" t="s">
        <v>3</v>
      </c>
      <c r="DE34" t="s">
        <v>3</v>
      </c>
      <c r="DF34">
        <f>ROUND(ROUND(AE34*CX34,2)*AI34,2)</f>
        <v>15.9</v>
      </c>
      <c r="DG34">
        <f>ROUND(AF34*CX34,2)</f>
        <v>0</v>
      </c>
      <c r="DH34">
        <f>ROUND(AG34*CX34,2)</f>
        <v>0</v>
      </c>
      <c r="DI34">
        <f t="shared" si="17"/>
        <v>0</v>
      </c>
      <c r="DJ34">
        <f>DF34</f>
        <v>15.9</v>
      </c>
      <c r="DK34">
        <v>0</v>
      </c>
      <c r="DL34" t="s">
        <v>3</v>
      </c>
      <c r="DM34">
        <v>0</v>
      </c>
      <c r="DN34" t="s">
        <v>3</v>
      </c>
      <c r="DO34">
        <v>0</v>
      </c>
    </row>
    <row r="35" spans="1:119" x14ac:dyDescent="0.2">
      <c r="A35">
        <f>ROW(Source!A68)</f>
        <v>68</v>
      </c>
      <c r="B35">
        <v>143120906</v>
      </c>
      <c r="C35">
        <v>143126729</v>
      </c>
      <c r="D35">
        <v>140775993</v>
      </c>
      <c r="E35">
        <v>1</v>
      </c>
      <c r="F35">
        <v>1</v>
      </c>
      <c r="G35">
        <v>1</v>
      </c>
      <c r="H35">
        <v>3</v>
      </c>
      <c r="I35" t="s">
        <v>445</v>
      </c>
      <c r="J35" t="s">
        <v>446</v>
      </c>
      <c r="K35" t="s">
        <v>447</v>
      </c>
      <c r="L35">
        <v>1346</v>
      </c>
      <c r="N35">
        <v>1009</v>
      </c>
      <c r="O35" t="s">
        <v>177</v>
      </c>
      <c r="P35" t="s">
        <v>177</v>
      </c>
      <c r="Q35">
        <v>1</v>
      </c>
      <c r="W35">
        <v>0</v>
      </c>
      <c r="X35">
        <v>1228765045</v>
      </c>
      <c r="Y35">
        <f t="shared" si="18"/>
        <v>6.5</v>
      </c>
      <c r="AA35">
        <v>195.04</v>
      </c>
      <c r="AB35">
        <v>0</v>
      </c>
      <c r="AC35">
        <v>0</v>
      </c>
      <c r="AD35">
        <v>0</v>
      </c>
      <c r="AE35">
        <v>24.41</v>
      </c>
      <c r="AF35">
        <v>0</v>
      </c>
      <c r="AG35">
        <v>0</v>
      </c>
      <c r="AH35">
        <v>0</v>
      </c>
      <c r="AI35">
        <v>7.99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6.5</v>
      </c>
      <c r="AU35" t="s">
        <v>3</v>
      </c>
      <c r="AV35">
        <v>0</v>
      </c>
      <c r="AW35">
        <v>2</v>
      </c>
      <c r="AX35">
        <v>143126737</v>
      </c>
      <c r="AY35">
        <v>1</v>
      </c>
      <c r="AZ35">
        <v>0</v>
      </c>
      <c r="BA35">
        <v>42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ROUND(Y35*Source!I68,9)</f>
        <v>0.20799999999999999</v>
      </c>
      <c r="CY35">
        <f>AA35</f>
        <v>195.04</v>
      </c>
      <c r="CZ35">
        <f>AE35</f>
        <v>24.41</v>
      </c>
      <c r="DA35">
        <f>AI35</f>
        <v>7.99</v>
      </c>
      <c r="DB35">
        <f t="shared" si="19"/>
        <v>158.66999999999999</v>
      </c>
      <c r="DC35">
        <f t="shared" si="20"/>
        <v>0</v>
      </c>
      <c r="DD35" t="s">
        <v>3</v>
      </c>
      <c r="DE35" t="s">
        <v>3</v>
      </c>
      <c r="DF35">
        <f>ROUND(ROUND(AE35*CX35,2)*AI35,2)</f>
        <v>40.590000000000003</v>
      </c>
      <c r="DG35">
        <f>ROUND(AF35*CX35,2)</f>
        <v>0</v>
      </c>
      <c r="DH35">
        <f>ROUND(AG35*CX35,2)</f>
        <v>0</v>
      </c>
      <c r="DI35">
        <f t="shared" si="17"/>
        <v>0</v>
      </c>
      <c r="DJ35">
        <f>DF35</f>
        <v>40.590000000000003</v>
      </c>
      <c r="DK35">
        <v>0</v>
      </c>
      <c r="DL35" t="s">
        <v>3</v>
      </c>
      <c r="DM35">
        <v>0</v>
      </c>
      <c r="DN35" t="s">
        <v>3</v>
      </c>
      <c r="DO35">
        <v>0</v>
      </c>
    </row>
    <row r="36" spans="1:119" x14ac:dyDescent="0.2">
      <c r="A36">
        <f>ROW(Source!A71)</f>
        <v>71</v>
      </c>
      <c r="B36">
        <v>143120906</v>
      </c>
      <c r="C36">
        <v>143126779</v>
      </c>
      <c r="D36">
        <v>140759953</v>
      </c>
      <c r="E36">
        <v>70</v>
      </c>
      <c r="F36">
        <v>1</v>
      </c>
      <c r="G36">
        <v>1</v>
      </c>
      <c r="H36">
        <v>1</v>
      </c>
      <c r="I36" t="s">
        <v>448</v>
      </c>
      <c r="J36" t="s">
        <v>3</v>
      </c>
      <c r="K36" t="s">
        <v>449</v>
      </c>
      <c r="L36">
        <v>1191</v>
      </c>
      <c r="N36">
        <v>1013</v>
      </c>
      <c r="O36" t="s">
        <v>374</v>
      </c>
      <c r="P36" t="s">
        <v>374</v>
      </c>
      <c r="Q36">
        <v>1</v>
      </c>
      <c r="W36">
        <v>0</v>
      </c>
      <c r="X36">
        <v>-844220143</v>
      </c>
      <c r="Y36">
        <f t="shared" si="18"/>
        <v>44.66</v>
      </c>
      <c r="AA36">
        <v>0</v>
      </c>
      <c r="AB36">
        <v>0</v>
      </c>
      <c r="AC36">
        <v>0</v>
      </c>
      <c r="AD36">
        <v>226.03</v>
      </c>
      <c r="AE36">
        <v>0</v>
      </c>
      <c r="AF36">
        <v>0</v>
      </c>
      <c r="AG36">
        <v>0</v>
      </c>
      <c r="AH36">
        <v>8.09</v>
      </c>
      <c r="AI36">
        <v>1</v>
      </c>
      <c r="AJ36">
        <v>1</v>
      </c>
      <c r="AK36">
        <v>1</v>
      </c>
      <c r="AL36">
        <v>27.94</v>
      </c>
      <c r="AN36">
        <v>0</v>
      </c>
      <c r="AO36">
        <v>1</v>
      </c>
      <c r="AP36">
        <v>1</v>
      </c>
      <c r="AQ36">
        <v>0</v>
      </c>
      <c r="AR36">
        <v>0</v>
      </c>
      <c r="AS36" t="s">
        <v>3</v>
      </c>
      <c r="AT36">
        <v>44.66</v>
      </c>
      <c r="AU36" t="s">
        <v>3</v>
      </c>
      <c r="AV36">
        <v>1</v>
      </c>
      <c r="AW36">
        <v>2</v>
      </c>
      <c r="AX36">
        <v>143126780</v>
      </c>
      <c r="AY36">
        <v>1</v>
      </c>
      <c r="AZ36">
        <v>0</v>
      </c>
      <c r="BA36">
        <v>47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ROUND(Y36*Source!I71,9)</f>
        <v>1.7864</v>
      </c>
      <c r="CY36">
        <f>AD36</f>
        <v>226.03</v>
      </c>
      <c r="CZ36">
        <f>AH36</f>
        <v>8.09</v>
      </c>
      <c r="DA36">
        <f>AL36</f>
        <v>27.94</v>
      </c>
      <c r="DB36">
        <f t="shared" si="19"/>
        <v>361.3</v>
      </c>
      <c r="DC36">
        <f t="shared" si="20"/>
        <v>0</v>
      </c>
      <c r="DD36" t="s">
        <v>3</v>
      </c>
      <c r="DE36" t="s">
        <v>3</v>
      </c>
      <c r="DF36">
        <f>ROUND(AE36*CX36,2)</f>
        <v>0</v>
      </c>
      <c r="DG36">
        <f>ROUND(AF36*CX36,2)</f>
        <v>0</v>
      </c>
      <c r="DH36">
        <f>ROUND(AG36*CX36,2)</f>
        <v>0</v>
      </c>
      <c r="DI36">
        <f>ROUND(ROUND(AH36*CX36,2)*AL36,2)</f>
        <v>403.73</v>
      </c>
      <c r="DJ36">
        <f>DI36</f>
        <v>403.73</v>
      </c>
      <c r="DK36">
        <v>0</v>
      </c>
      <c r="DL36" t="s">
        <v>3</v>
      </c>
      <c r="DM36">
        <v>0</v>
      </c>
      <c r="DN36" t="s">
        <v>3</v>
      </c>
      <c r="DO36">
        <v>0</v>
      </c>
    </row>
    <row r="37" spans="1:119" x14ac:dyDescent="0.2">
      <c r="A37">
        <f>ROW(Source!A71)</f>
        <v>71</v>
      </c>
      <c r="B37">
        <v>143120906</v>
      </c>
      <c r="C37">
        <v>143126779</v>
      </c>
      <c r="D37">
        <v>140760225</v>
      </c>
      <c r="E37">
        <v>70</v>
      </c>
      <c r="F37">
        <v>1</v>
      </c>
      <c r="G37">
        <v>1</v>
      </c>
      <c r="H37">
        <v>1</v>
      </c>
      <c r="I37" t="s">
        <v>375</v>
      </c>
      <c r="J37" t="s">
        <v>3</v>
      </c>
      <c r="K37" t="s">
        <v>376</v>
      </c>
      <c r="L37">
        <v>1191</v>
      </c>
      <c r="N37">
        <v>1013</v>
      </c>
      <c r="O37" t="s">
        <v>374</v>
      </c>
      <c r="P37" t="s">
        <v>374</v>
      </c>
      <c r="Q37">
        <v>1</v>
      </c>
      <c r="W37">
        <v>0</v>
      </c>
      <c r="X37">
        <v>-1417349443</v>
      </c>
      <c r="Y37">
        <f t="shared" si="18"/>
        <v>0.24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</v>
      </c>
      <c r="AJ37">
        <v>1</v>
      </c>
      <c r="AK37">
        <v>27.94</v>
      </c>
      <c r="AL37">
        <v>1</v>
      </c>
      <c r="AN37">
        <v>0</v>
      </c>
      <c r="AO37">
        <v>1</v>
      </c>
      <c r="AP37">
        <v>1</v>
      </c>
      <c r="AQ37">
        <v>0</v>
      </c>
      <c r="AR37">
        <v>0</v>
      </c>
      <c r="AS37" t="s">
        <v>3</v>
      </c>
      <c r="AT37">
        <v>0.24</v>
      </c>
      <c r="AU37" t="s">
        <v>3</v>
      </c>
      <c r="AV37">
        <v>2</v>
      </c>
      <c r="AW37">
        <v>2</v>
      </c>
      <c r="AX37">
        <v>143126781</v>
      </c>
      <c r="AY37">
        <v>1</v>
      </c>
      <c r="AZ37">
        <v>0</v>
      </c>
      <c r="BA37">
        <v>48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ROUND(Y37*Source!I71,9)</f>
        <v>9.5999999999999992E-3</v>
      </c>
      <c r="CY37">
        <f>AD37</f>
        <v>0</v>
      </c>
      <c r="CZ37">
        <f>AH37</f>
        <v>0</v>
      </c>
      <c r="DA37">
        <f>AL37</f>
        <v>1</v>
      </c>
      <c r="DB37">
        <f t="shared" si="19"/>
        <v>0</v>
      </c>
      <c r="DC37">
        <f t="shared" si="20"/>
        <v>0</v>
      </c>
      <c r="DD37" t="s">
        <v>3</v>
      </c>
      <c r="DE37" t="s">
        <v>3</v>
      </c>
      <c r="DF37">
        <f>ROUND(AE37*CX37,2)</f>
        <v>0</v>
      </c>
      <c r="DG37">
        <f>ROUND(AF37*CX37,2)</f>
        <v>0</v>
      </c>
      <c r="DH37">
        <f>ROUND(ROUND(AG37*CX37,2)*AK37,2)</f>
        <v>0</v>
      </c>
      <c r="DI37">
        <f t="shared" ref="DI37:DI45" si="21">ROUND(AH37*CX37,2)</f>
        <v>0</v>
      </c>
      <c r="DJ37">
        <f>DI37</f>
        <v>0</v>
      </c>
      <c r="DK37">
        <v>0</v>
      </c>
      <c r="DL37" t="s">
        <v>3</v>
      </c>
      <c r="DM37">
        <v>0</v>
      </c>
      <c r="DN37" t="s">
        <v>3</v>
      </c>
      <c r="DO37">
        <v>0</v>
      </c>
    </row>
    <row r="38" spans="1:119" x14ac:dyDescent="0.2">
      <c r="A38">
        <f>ROW(Source!A71)</f>
        <v>71</v>
      </c>
      <c r="B38">
        <v>143120906</v>
      </c>
      <c r="C38">
        <v>143126779</v>
      </c>
      <c r="D38">
        <v>140923086</v>
      </c>
      <c r="E38">
        <v>1</v>
      </c>
      <c r="F38">
        <v>1</v>
      </c>
      <c r="G38">
        <v>1</v>
      </c>
      <c r="H38">
        <v>2</v>
      </c>
      <c r="I38" t="s">
        <v>450</v>
      </c>
      <c r="J38" t="s">
        <v>451</v>
      </c>
      <c r="K38" t="s">
        <v>452</v>
      </c>
      <c r="L38">
        <v>1367</v>
      </c>
      <c r="N38">
        <v>1011</v>
      </c>
      <c r="O38" t="s">
        <v>380</v>
      </c>
      <c r="P38" t="s">
        <v>380</v>
      </c>
      <c r="Q38">
        <v>1</v>
      </c>
      <c r="W38">
        <v>0</v>
      </c>
      <c r="X38">
        <v>208619310</v>
      </c>
      <c r="Y38">
        <f t="shared" si="18"/>
        <v>0.49</v>
      </c>
      <c r="AA38">
        <v>0</v>
      </c>
      <c r="AB38">
        <v>18.79</v>
      </c>
      <c r="AC38">
        <v>0</v>
      </c>
      <c r="AD38">
        <v>0</v>
      </c>
      <c r="AE38">
        <v>0</v>
      </c>
      <c r="AF38">
        <v>1.7</v>
      </c>
      <c r="AG38">
        <v>0</v>
      </c>
      <c r="AH38">
        <v>0</v>
      </c>
      <c r="AI38">
        <v>1</v>
      </c>
      <c r="AJ38">
        <v>11.05</v>
      </c>
      <c r="AK38">
        <v>27.94</v>
      </c>
      <c r="AL38">
        <v>1</v>
      </c>
      <c r="AN38">
        <v>0</v>
      </c>
      <c r="AO38">
        <v>1</v>
      </c>
      <c r="AP38">
        <v>1</v>
      </c>
      <c r="AQ38">
        <v>0</v>
      </c>
      <c r="AR38">
        <v>0</v>
      </c>
      <c r="AS38" t="s">
        <v>3</v>
      </c>
      <c r="AT38">
        <v>0.49</v>
      </c>
      <c r="AU38" t="s">
        <v>3</v>
      </c>
      <c r="AV38">
        <v>0</v>
      </c>
      <c r="AW38">
        <v>2</v>
      </c>
      <c r="AX38">
        <v>143126782</v>
      </c>
      <c r="AY38">
        <v>1</v>
      </c>
      <c r="AZ38">
        <v>0</v>
      </c>
      <c r="BA38">
        <v>49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ROUND(Y38*Source!I71,9)</f>
        <v>1.9599999999999999E-2</v>
      </c>
      <c r="CY38">
        <f>AB38</f>
        <v>18.79</v>
      </c>
      <c r="CZ38">
        <f>AF38</f>
        <v>1.7</v>
      </c>
      <c r="DA38">
        <f>AJ38</f>
        <v>11.05</v>
      </c>
      <c r="DB38">
        <f t="shared" si="19"/>
        <v>0.83</v>
      </c>
      <c r="DC38">
        <f t="shared" si="20"/>
        <v>0</v>
      </c>
      <c r="DD38" t="s">
        <v>3</v>
      </c>
      <c r="DE38" t="s">
        <v>3</v>
      </c>
      <c r="DF38">
        <f>ROUND(AE38*CX38,2)</f>
        <v>0</v>
      </c>
      <c r="DG38">
        <f>ROUND(ROUND(AF38*CX38,2)*AJ38,2)</f>
        <v>0.33</v>
      </c>
      <c r="DH38">
        <f>ROUND(ROUND(AG38*CX38,2)*AK38,2)</f>
        <v>0</v>
      </c>
      <c r="DI38">
        <f t="shared" si="21"/>
        <v>0</v>
      </c>
      <c r="DJ38">
        <f>DG38</f>
        <v>0.33</v>
      </c>
      <c r="DK38">
        <v>0</v>
      </c>
      <c r="DL38" t="s">
        <v>3</v>
      </c>
      <c r="DM38">
        <v>0</v>
      </c>
      <c r="DN38" t="s">
        <v>3</v>
      </c>
      <c r="DO38">
        <v>0</v>
      </c>
    </row>
    <row r="39" spans="1:119" x14ac:dyDescent="0.2">
      <c r="A39">
        <f>ROW(Source!A71)</f>
        <v>71</v>
      </c>
      <c r="B39">
        <v>143120906</v>
      </c>
      <c r="C39">
        <v>143126779</v>
      </c>
      <c r="D39">
        <v>140923885</v>
      </c>
      <c r="E39">
        <v>1</v>
      </c>
      <c r="F39">
        <v>1</v>
      </c>
      <c r="G39">
        <v>1</v>
      </c>
      <c r="H39">
        <v>2</v>
      </c>
      <c r="I39" t="s">
        <v>387</v>
      </c>
      <c r="J39" t="s">
        <v>388</v>
      </c>
      <c r="K39" t="s">
        <v>389</v>
      </c>
      <c r="L39">
        <v>1367</v>
      </c>
      <c r="N39">
        <v>1011</v>
      </c>
      <c r="O39" t="s">
        <v>380</v>
      </c>
      <c r="P39" t="s">
        <v>380</v>
      </c>
      <c r="Q39">
        <v>1</v>
      </c>
      <c r="W39">
        <v>0</v>
      </c>
      <c r="X39">
        <v>509054691</v>
      </c>
      <c r="Y39">
        <f t="shared" si="18"/>
        <v>0.24</v>
      </c>
      <c r="AA39">
        <v>0</v>
      </c>
      <c r="AB39">
        <v>726.1</v>
      </c>
      <c r="AC39">
        <v>324.10000000000002</v>
      </c>
      <c r="AD39">
        <v>0</v>
      </c>
      <c r="AE39">
        <v>0</v>
      </c>
      <c r="AF39">
        <v>65.709999999999994</v>
      </c>
      <c r="AG39">
        <v>11.6</v>
      </c>
      <c r="AH39">
        <v>0</v>
      </c>
      <c r="AI39">
        <v>1</v>
      </c>
      <c r="AJ39">
        <v>11.05</v>
      </c>
      <c r="AK39">
        <v>27.94</v>
      </c>
      <c r="AL39">
        <v>1</v>
      </c>
      <c r="AN39">
        <v>0</v>
      </c>
      <c r="AO39">
        <v>1</v>
      </c>
      <c r="AP39">
        <v>1</v>
      </c>
      <c r="AQ39">
        <v>0</v>
      </c>
      <c r="AR39">
        <v>0</v>
      </c>
      <c r="AS39" t="s">
        <v>3</v>
      </c>
      <c r="AT39">
        <v>0.24</v>
      </c>
      <c r="AU39" t="s">
        <v>3</v>
      </c>
      <c r="AV39">
        <v>0</v>
      </c>
      <c r="AW39">
        <v>2</v>
      </c>
      <c r="AX39">
        <v>143126783</v>
      </c>
      <c r="AY39">
        <v>1</v>
      </c>
      <c r="AZ39">
        <v>0</v>
      </c>
      <c r="BA39">
        <v>50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ROUND(Y39*Source!I71,9)</f>
        <v>9.5999999999999992E-3</v>
      </c>
      <c r="CY39">
        <f>AB39</f>
        <v>726.1</v>
      </c>
      <c r="CZ39">
        <f>AF39</f>
        <v>65.709999999999994</v>
      </c>
      <c r="DA39">
        <f>AJ39</f>
        <v>11.05</v>
      </c>
      <c r="DB39">
        <f t="shared" si="19"/>
        <v>15.77</v>
      </c>
      <c r="DC39">
        <f t="shared" si="20"/>
        <v>2.78</v>
      </c>
      <c r="DD39" t="s">
        <v>3</v>
      </c>
      <c r="DE39" t="s">
        <v>3</v>
      </c>
      <c r="DF39">
        <f>ROUND(AE39*CX39,2)</f>
        <v>0</v>
      </c>
      <c r="DG39">
        <f>ROUND(ROUND(AF39*CX39,2)*AJ39,2)</f>
        <v>6.96</v>
      </c>
      <c r="DH39">
        <f>ROUND(ROUND(AG39*CX39,2)*AK39,2)</f>
        <v>3.07</v>
      </c>
      <c r="DI39">
        <f t="shared" si="21"/>
        <v>0</v>
      </c>
      <c r="DJ39">
        <f>DG39</f>
        <v>6.96</v>
      </c>
      <c r="DK39">
        <v>0</v>
      </c>
      <c r="DL39" t="s">
        <v>3</v>
      </c>
      <c r="DM39">
        <v>0</v>
      </c>
      <c r="DN39" t="s">
        <v>3</v>
      </c>
      <c r="DO39">
        <v>0</v>
      </c>
    </row>
    <row r="40" spans="1:119" x14ac:dyDescent="0.2">
      <c r="A40">
        <f>ROW(Source!A71)</f>
        <v>71</v>
      </c>
      <c r="B40">
        <v>143120906</v>
      </c>
      <c r="C40">
        <v>143126779</v>
      </c>
      <c r="D40">
        <v>140772680</v>
      </c>
      <c r="E40">
        <v>1</v>
      </c>
      <c r="F40">
        <v>1</v>
      </c>
      <c r="G40">
        <v>1</v>
      </c>
      <c r="H40">
        <v>3</v>
      </c>
      <c r="I40" t="s">
        <v>390</v>
      </c>
      <c r="J40" t="s">
        <v>391</v>
      </c>
      <c r="K40" t="s">
        <v>392</v>
      </c>
      <c r="L40">
        <v>1339</v>
      </c>
      <c r="N40">
        <v>1007</v>
      </c>
      <c r="O40" t="s">
        <v>149</v>
      </c>
      <c r="P40" t="s">
        <v>149</v>
      </c>
      <c r="Q40">
        <v>1</v>
      </c>
      <c r="W40">
        <v>0</v>
      </c>
      <c r="X40">
        <v>-143474561</v>
      </c>
      <c r="Y40">
        <f t="shared" si="18"/>
        <v>3.2000000000000002E-3</v>
      </c>
      <c r="AA40">
        <v>19.5</v>
      </c>
      <c r="AB40">
        <v>0</v>
      </c>
      <c r="AC40">
        <v>0</v>
      </c>
      <c r="AD40">
        <v>0</v>
      </c>
      <c r="AE40">
        <v>2.44</v>
      </c>
      <c r="AF40">
        <v>0</v>
      </c>
      <c r="AG40">
        <v>0</v>
      </c>
      <c r="AH40">
        <v>0</v>
      </c>
      <c r="AI40">
        <v>7.99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1</v>
      </c>
      <c r="AQ40">
        <v>0</v>
      </c>
      <c r="AR40">
        <v>0</v>
      </c>
      <c r="AS40" t="s">
        <v>3</v>
      </c>
      <c r="AT40">
        <v>3.2000000000000002E-3</v>
      </c>
      <c r="AU40" t="s">
        <v>3</v>
      </c>
      <c r="AV40">
        <v>0</v>
      </c>
      <c r="AW40">
        <v>2</v>
      </c>
      <c r="AX40">
        <v>143126784</v>
      </c>
      <c r="AY40">
        <v>1</v>
      </c>
      <c r="AZ40">
        <v>0</v>
      </c>
      <c r="BA40">
        <v>51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ROUND(Y40*Source!I71,9)</f>
        <v>1.2799999999999999E-4</v>
      </c>
      <c r="CY40">
        <f t="shared" ref="CY40:CY45" si="22">AA40</f>
        <v>19.5</v>
      </c>
      <c r="CZ40">
        <f t="shared" ref="CZ40:CZ45" si="23">AE40</f>
        <v>2.44</v>
      </c>
      <c r="DA40">
        <f t="shared" ref="DA40:DA45" si="24">AI40</f>
        <v>7.99</v>
      </c>
      <c r="DB40">
        <f t="shared" si="19"/>
        <v>0.01</v>
      </c>
      <c r="DC40">
        <f t="shared" si="20"/>
        <v>0</v>
      </c>
      <c r="DD40" t="s">
        <v>3</v>
      </c>
      <c r="DE40" t="s">
        <v>3</v>
      </c>
      <c r="DF40">
        <f t="shared" ref="DF40:DF45" si="25">ROUND(ROUND(AE40*CX40,2)*AI40,2)</f>
        <v>0</v>
      </c>
      <c r="DG40">
        <f t="shared" ref="DG40:DG47" si="26">ROUND(AF40*CX40,2)</f>
        <v>0</v>
      </c>
      <c r="DH40">
        <f t="shared" ref="DH40:DH46" si="27">ROUND(AG40*CX40,2)</f>
        <v>0</v>
      </c>
      <c r="DI40">
        <f t="shared" si="21"/>
        <v>0</v>
      </c>
      <c r="DJ40">
        <f t="shared" ref="DJ40:DJ45" si="28">DF40</f>
        <v>0</v>
      </c>
      <c r="DK40">
        <v>0</v>
      </c>
      <c r="DL40" t="s">
        <v>3</v>
      </c>
      <c r="DM40">
        <v>0</v>
      </c>
      <c r="DN40" t="s">
        <v>3</v>
      </c>
      <c r="DO40">
        <v>0</v>
      </c>
    </row>
    <row r="41" spans="1:119" x14ac:dyDescent="0.2">
      <c r="A41">
        <f>ROW(Source!A71)</f>
        <v>71</v>
      </c>
      <c r="B41">
        <v>143120906</v>
      </c>
      <c r="C41">
        <v>143126779</v>
      </c>
      <c r="D41">
        <v>140777278</v>
      </c>
      <c r="E41">
        <v>1</v>
      </c>
      <c r="F41">
        <v>1</v>
      </c>
      <c r="G41">
        <v>1</v>
      </c>
      <c r="H41">
        <v>3</v>
      </c>
      <c r="I41" t="s">
        <v>453</v>
      </c>
      <c r="J41" t="s">
        <v>454</v>
      </c>
      <c r="K41" t="s">
        <v>455</v>
      </c>
      <c r="L41">
        <v>1348</v>
      </c>
      <c r="N41">
        <v>1009</v>
      </c>
      <c r="O41" t="s">
        <v>199</v>
      </c>
      <c r="P41" t="s">
        <v>199</v>
      </c>
      <c r="Q41">
        <v>1000</v>
      </c>
      <c r="W41">
        <v>0</v>
      </c>
      <c r="X41">
        <v>1174253204</v>
      </c>
      <c r="Y41">
        <f t="shared" si="18"/>
        <v>1.1000000000000001E-3</v>
      </c>
      <c r="AA41">
        <v>5868.66</v>
      </c>
      <c r="AB41">
        <v>0</v>
      </c>
      <c r="AC41">
        <v>0</v>
      </c>
      <c r="AD41">
        <v>0</v>
      </c>
      <c r="AE41">
        <v>734.5</v>
      </c>
      <c r="AF41">
        <v>0</v>
      </c>
      <c r="AG41">
        <v>0</v>
      </c>
      <c r="AH41">
        <v>0</v>
      </c>
      <c r="AI41">
        <v>7.99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1</v>
      </c>
      <c r="AQ41">
        <v>0</v>
      </c>
      <c r="AR41">
        <v>0</v>
      </c>
      <c r="AS41" t="s">
        <v>3</v>
      </c>
      <c r="AT41">
        <v>1.1000000000000001E-3</v>
      </c>
      <c r="AU41" t="s">
        <v>3</v>
      </c>
      <c r="AV41">
        <v>0</v>
      </c>
      <c r="AW41">
        <v>2</v>
      </c>
      <c r="AX41">
        <v>143126785</v>
      </c>
      <c r="AY41">
        <v>1</v>
      </c>
      <c r="AZ41">
        <v>0</v>
      </c>
      <c r="BA41">
        <v>52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ROUND(Y41*Source!I71,9)</f>
        <v>4.3999999999999999E-5</v>
      </c>
      <c r="CY41">
        <f t="shared" si="22"/>
        <v>5868.66</v>
      </c>
      <c r="CZ41">
        <f t="shared" si="23"/>
        <v>734.5</v>
      </c>
      <c r="DA41">
        <f t="shared" si="24"/>
        <v>7.99</v>
      </c>
      <c r="DB41">
        <f t="shared" si="19"/>
        <v>0.81</v>
      </c>
      <c r="DC41">
        <f t="shared" si="20"/>
        <v>0</v>
      </c>
      <c r="DD41" t="s">
        <v>3</v>
      </c>
      <c r="DE41" t="s">
        <v>3</v>
      </c>
      <c r="DF41">
        <f t="shared" si="25"/>
        <v>0.24</v>
      </c>
      <c r="DG41">
        <f t="shared" si="26"/>
        <v>0</v>
      </c>
      <c r="DH41">
        <f t="shared" si="27"/>
        <v>0</v>
      </c>
      <c r="DI41">
        <f t="shared" si="21"/>
        <v>0</v>
      </c>
      <c r="DJ41">
        <f t="shared" si="28"/>
        <v>0.24</v>
      </c>
      <c r="DK41">
        <v>0</v>
      </c>
      <c r="DL41" t="s">
        <v>3</v>
      </c>
      <c r="DM41">
        <v>0</v>
      </c>
      <c r="DN41" t="s">
        <v>3</v>
      </c>
      <c r="DO41">
        <v>0</v>
      </c>
    </row>
    <row r="42" spans="1:119" x14ac:dyDescent="0.2">
      <c r="A42">
        <f>ROW(Source!A71)</f>
        <v>71</v>
      </c>
      <c r="B42">
        <v>143120906</v>
      </c>
      <c r="C42">
        <v>143126779</v>
      </c>
      <c r="D42">
        <v>140792301</v>
      </c>
      <c r="E42">
        <v>1</v>
      </c>
      <c r="F42">
        <v>1</v>
      </c>
      <c r="G42">
        <v>1</v>
      </c>
      <c r="H42">
        <v>3</v>
      </c>
      <c r="I42" t="s">
        <v>456</v>
      </c>
      <c r="J42" t="s">
        <v>457</v>
      </c>
      <c r="K42" t="s">
        <v>458</v>
      </c>
      <c r="L42">
        <v>1348</v>
      </c>
      <c r="N42">
        <v>1009</v>
      </c>
      <c r="O42" t="s">
        <v>199</v>
      </c>
      <c r="P42" t="s">
        <v>199</v>
      </c>
      <c r="Q42">
        <v>1000</v>
      </c>
      <c r="W42">
        <v>0</v>
      </c>
      <c r="X42">
        <v>2041074766</v>
      </c>
      <c r="Y42">
        <f t="shared" si="18"/>
        <v>5.0000000000000001E-4</v>
      </c>
      <c r="AA42">
        <v>81498</v>
      </c>
      <c r="AB42">
        <v>0</v>
      </c>
      <c r="AC42">
        <v>0</v>
      </c>
      <c r="AD42">
        <v>0</v>
      </c>
      <c r="AE42">
        <v>10200</v>
      </c>
      <c r="AF42">
        <v>0</v>
      </c>
      <c r="AG42">
        <v>0</v>
      </c>
      <c r="AH42">
        <v>0</v>
      </c>
      <c r="AI42">
        <v>7.99</v>
      </c>
      <c r="AJ42">
        <v>1</v>
      </c>
      <c r="AK42">
        <v>1</v>
      </c>
      <c r="AL42">
        <v>1</v>
      </c>
      <c r="AN42">
        <v>0</v>
      </c>
      <c r="AO42">
        <v>1</v>
      </c>
      <c r="AP42">
        <v>1</v>
      </c>
      <c r="AQ42">
        <v>0</v>
      </c>
      <c r="AR42">
        <v>0</v>
      </c>
      <c r="AS42" t="s">
        <v>3</v>
      </c>
      <c r="AT42">
        <v>5.0000000000000001E-4</v>
      </c>
      <c r="AU42" t="s">
        <v>3</v>
      </c>
      <c r="AV42">
        <v>0</v>
      </c>
      <c r="AW42">
        <v>2</v>
      </c>
      <c r="AX42">
        <v>143126787</v>
      </c>
      <c r="AY42">
        <v>1</v>
      </c>
      <c r="AZ42">
        <v>0</v>
      </c>
      <c r="BA42">
        <v>54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ROUND(Y42*Source!I71,9)</f>
        <v>2.0000000000000002E-5</v>
      </c>
      <c r="CY42">
        <f t="shared" si="22"/>
        <v>81498</v>
      </c>
      <c r="CZ42">
        <f t="shared" si="23"/>
        <v>10200</v>
      </c>
      <c r="DA42">
        <f t="shared" si="24"/>
        <v>7.99</v>
      </c>
      <c r="DB42">
        <f t="shared" si="19"/>
        <v>5.0999999999999996</v>
      </c>
      <c r="DC42">
        <f t="shared" si="20"/>
        <v>0</v>
      </c>
      <c r="DD42" t="s">
        <v>3</v>
      </c>
      <c r="DE42" t="s">
        <v>3</v>
      </c>
      <c r="DF42">
        <f t="shared" si="25"/>
        <v>1.6</v>
      </c>
      <c r="DG42">
        <f t="shared" si="26"/>
        <v>0</v>
      </c>
      <c r="DH42">
        <f t="shared" si="27"/>
        <v>0</v>
      </c>
      <c r="DI42">
        <f t="shared" si="21"/>
        <v>0</v>
      </c>
      <c r="DJ42">
        <f t="shared" si="28"/>
        <v>1.6</v>
      </c>
      <c r="DK42">
        <v>0</v>
      </c>
      <c r="DL42" t="s">
        <v>3</v>
      </c>
      <c r="DM42">
        <v>0</v>
      </c>
      <c r="DN42" t="s">
        <v>3</v>
      </c>
      <c r="DO42">
        <v>0</v>
      </c>
    </row>
    <row r="43" spans="1:119" x14ac:dyDescent="0.2">
      <c r="A43">
        <f>ROW(Source!A71)</f>
        <v>71</v>
      </c>
      <c r="B43">
        <v>143120906</v>
      </c>
      <c r="C43">
        <v>143126779</v>
      </c>
      <c r="D43">
        <v>140792339</v>
      </c>
      <c r="E43">
        <v>1</v>
      </c>
      <c r="F43">
        <v>1</v>
      </c>
      <c r="G43">
        <v>1</v>
      </c>
      <c r="H43">
        <v>3</v>
      </c>
      <c r="I43" t="s">
        <v>414</v>
      </c>
      <c r="J43" t="s">
        <v>415</v>
      </c>
      <c r="K43" t="s">
        <v>416</v>
      </c>
      <c r="L43">
        <v>1348</v>
      </c>
      <c r="N43">
        <v>1009</v>
      </c>
      <c r="O43" t="s">
        <v>199</v>
      </c>
      <c r="P43" t="s">
        <v>199</v>
      </c>
      <c r="Q43">
        <v>1000</v>
      </c>
      <c r="W43">
        <v>0</v>
      </c>
      <c r="X43">
        <v>-120483918</v>
      </c>
      <c r="Y43">
        <f t="shared" si="18"/>
        <v>9.4999999999999998E-3</v>
      </c>
      <c r="AA43">
        <v>35597.050000000003</v>
      </c>
      <c r="AB43">
        <v>0</v>
      </c>
      <c r="AC43">
        <v>0</v>
      </c>
      <c r="AD43">
        <v>0</v>
      </c>
      <c r="AE43">
        <v>4455.2</v>
      </c>
      <c r="AF43">
        <v>0</v>
      </c>
      <c r="AG43">
        <v>0</v>
      </c>
      <c r="AH43">
        <v>0</v>
      </c>
      <c r="AI43">
        <v>7.99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1</v>
      </c>
      <c r="AQ43">
        <v>0</v>
      </c>
      <c r="AR43">
        <v>0</v>
      </c>
      <c r="AS43" t="s">
        <v>3</v>
      </c>
      <c r="AT43">
        <v>9.4999999999999998E-3</v>
      </c>
      <c r="AU43" t="s">
        <v>3</v>
      </c>
      <c r="AV43">
        <v>0</v>
      </c>
      <c r="AW43">
        <v>2</v>
      </c>
      <c r="AX43">
        <v>143126788</v>
      </c>
      <c r="AY43">
        <v>1</v>
      </c>
      <c r="AZ43">
        <v>0</v>
      </c>
      <c r="BA43">
        <v>55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ROUND(Y43*Source!I71,9)</f>
        <v>3.8000000000000002E-4</v>
      </c>
      <c r="CY43">
        <f t="shared" si="22"/>
        <v>35597.050000000003</v>
      </c>
      <c r="CZ43">
        <f t="shared" si="23"/>
        <v>4455.2</v>
      </c>
      <c r="DA43">
        <f t="shared" si="24"/>
        <v>7.99</v>
      </c>
      <c r="DB43">
        <f t="shared" si="19"/>
        <v>42.32</v>
      </c>
      <c r="DC43">
        <f t="shared" si="20"/>
        <v>0</v>
      </c>
      <c r="DD43" t="s">
        <v>3</v>
      </c>
      <c r="DE43" t="s">
        <v>3</v>
      </c>
      <c r="DF43">
        <f t="shared" si="25"/>
        <v>13.5</v>
      </c>
      <c r="DG43">
        <f t="shared" si="26"/>
        <v>0</v>
      </c>
      <c r="DH43">
        <f t="shared" si="27"/>
        <v>0</v>
      </c>
      <c r="DI43">
        <f t="shared" si="21"/>
        <v>0</v>
      </c>
      <c r="DJ43">
        <f t="shared" si="28"/>
        <v>13.5</v>
      </c>
      <c r="DK43">
        <v>0</v>
      </c>
      <c r="DL43" t="s">
        <v>3</v>
      </c>
      <c r="DM43">
        <v>0</v>
      </c>
      <c r="DN43" t="s">
        <v>3</v>
      </c>
      <c r="DO43">
        <v>0</v>
      </c>
    </row>
    <row r="44" spans="1:119" x14ac:dyDescent="0.2">
      <c r="A44">
        <f>ROW(Source!A71)</f>
        <v>71</v>
      </c>
      <c r="B44">
        <v>143120906</v>
      </c>
      <c r="C44">
        <v>143126779</v>
      </c>
      <c r="D44">
        <v>140793309</v>
      </c>
      <c r="E44">
        <v>1</v>
      </c>
      <c r="F44">
        <v>1</v>
      </c>
      <c r="G44">
        <v>1</v>
      </c>
      <c r="H44">
        <v>3</v>
      </c>
      <c r="I44" t="s">
        <v>459</v>
      </c>
      <c r="J44" t="s">
        <v>460</v>
      </c>
      <c r="K44" t="s">
        <v>461</v>
      </c>
      <c r="L44">
        <v>1348</v>
      </c>
      <c r="N44">
        <v>1009</v>
      </c>
      <c r="O44" t="s">
        <v>199</v>
      </c>
      <c r="P44" t="s">
        <v>199</v>
      </c>
      <c r="Q44">
        <v>1000</v>
      </c>
      <c r="W44">
        <v>0</v>
      </c>
      <c r="X44">
        <v>1291003592</v>
      </c>
      <c r="Y44">
        <f t="shared" si="18"/>
        <v>0.05</v>
      </c>
      <c r="AA44">
        <v>45143.5</v>
      </c>
      <c r="AB44">
        <v>0</v>
      </c>
      <c r="AC44">
        <v>0</v>
      </c>
      <c r="AD44">
        <v>0</v>
      </c>
      <c r="AE44">
        <v>5650</v>
      </c>
      <c r="AF44">
        <v>0</v>
      </c>
      <c r="AG44">
        <v>0</v>
      </c>
      <c r="AH44">
        <v>0</v>
      </c>
      <c r="AI44">
        <v>7.99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1</v>
      </c>
      <c r="AQ44">
        <v>0</v>
      </c>
      <c r="AR44">
        <v>0</v>
      </c>
      <c r="AS44" t="s">
        <v>3</v>
      </c>
      <c r="AT44">
        <v>0.05</v>
      </c>
      <c r="AU44" t="s">
        <v>3</v>
      </c>
      <c r="AV44">
        <v>0</v>
      </c>
      <c r="AW44">
        <v>2</v>
      </c>
      <c r="AX44">
        <v>143126789</v>
      </c>
      <c r="AY44">
        <v>1</v>
      </c>
      <c r="AZ44">
        <v>0</v>
      </c>
      <c r="BA44">
        <v>56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ROUND(Y44*Source!I71,9)</f>
        <v>2E-3</v>
      </c>
      <c r="CY44">
        <f t="shared" si="22"/>
        <v>45143.5</v>
      </c>
      <c r="CZ44">
        <f t="shared" si="23"/>
        <v>5650</v>
      </c>
      <c r="DA44">
        <f t="shared" si="24"/>
        <v>7.99</v>
      </c>
      <c r="DB44">
        <f t="shared" si="19"/>
        <v>282.5</v>
      </c>
      <c r="DC44">
        <f t="shared" si="20"/>
        <v>0</v>
      </c>
      <c r="DD44" t="s">
        <v>3</v>
      </c>
      <c r="DE44" t="s">
        <v>3</v>
      </c>
      <c r="DF44">
        <f t="shared" si="25"/>
        <v>90.29</v>
      </c>
      <c r="DG44">
        <f t="shared" si="26"/>
        <v>0</v>
      </c>
      <c r="DH44">
        <f t="shared" si="27"/>
        <v>0</v>
      </c>
      <c r="DI44">
        <f t="shared" si="21"/>
        <v>0</v>
      </c>
      <c r="DJ44">
        <f t="shared" si="28"/>
        <v>90.29</v>
      </c>
      <c r="DK44">
        <v>0</v>
      </c>
      <c r="DL44" t="s">
        <v>3</v>
      </c>
      <c r="DM44">
        <v>0</v>
      </c>
      <c r="DN44" t="s">
        <v>3</v>
      </c>
      <c r="DO44">
        <v>0</v>
      </c>
    </row>
    <row r="45" spans="1:119" x14ac:dyDescent="0.2">
      <c r="A45">
        <f>ROW(Source!A71)</f>
        <v>71</v>
      </c>
      <c r="B45">
        <v>143120906</v>
      </c>
      <c r="C45">
        <v>143126779</v>
      </c>
      <c r="D45">
        <v>140796537</v>
      </c>
      <c r="E45">
        <v>1</v>
      </c>
      <c r="F45">
        <v>1</v>
      </c>
      <c r="G45">
        <v>1</v>
      </c>
      <c r="H45">
        <v>3</v>
      </c>
      <c r="I45" t="s">
        <v>462</v>
      </c>
      <c r="J45" t="s">
        <v>463</v>
      </c>
      <c r="K45" t="s">
        <v>464</v>
      </c>
      <c r="L45">
        <v>1339</v>
      </c>
      <c r="N45">
        <v>1007</v>
      </c>
      <c r="O45" t="s">
        <v>149</v>
      </c>
      <c r="P45" t="s">
        <v>149</v>
      </c>
      <c r="Q45">
        <v>1</v>
      </c>
      <c r="W45">
        <v>0</v>
      </c>
      <c r="X45">
        <v>-330517304</v>
      </c>
      <c r="Y45">
        <f t="shared" si="18"/>
        <v>0.09</v>
      </c>
      <c r="AA45">
        <v>9228.4500000000007</v>
      </c>
      <c r="AB45">
        <v>0</v>
      </c>
      <c r="AC45">
        <v>0</v>
      </c>
      <c r="AD45">
        <v>0</v>
      </c>
      <c r="AE45">
        <v>1155</v>
      </c>
      <c r="AF45">
        <v>0</v>
      </c>
      <c r="AG45">
        <v>0</v>
      </c>
      <c r="AH45">
        <v>0</v>
      </c>
      <c r="AI45">
        <v>7.99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1</v>
      </c>
      <c r="AQ45">
        <v>0</v>
      </c>
      <c r="AR45">
        <v>0</v>
      </c>
      <c r="AS45" t="s">
        <v>3</v>
      </c>
      <c r="AT45">
        <v>0.09</v>
      </c>
      <c r="AU45" t="s">
        <v>3</v>
      </c>
      <c r="AV45">
        <v>0</v>
      </c>
      <c r="AW45">
        <v>2</v>
      </c>
      <c r="AX45">
        <v>143126790</v>
      </c>
      <c r="AY45">
        <v>1</v>
      </c>
      <c r="AZ45">
        <v>0</v>
      </c>
      <c r="BA45">
        <v>57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ROUND(Y45*Source!I71,9)</f>
        <v>3.5999999999999999E-3</v>
      </c>
      <c r="CY45">
        <f t="shared" si="22"/>
        <v>9228.4500000000007</v>
      </c>
      <c r="CZ45">
        <f t="shared" si="23"/>
        <v>1155</v>
      </c>
      <c r="DA45">
        <f t="shared" si="24"/>
        <v>7.99</v>
      </c>
      <c r="DB45">
        <f t="shared" si="19"/>
        <v>103.95</v>
      </c>
      <c r="DC45">
        <f t="shared" si="20"/>
        <v>0</v>
      </c>
      <c r="DD45" t="s">
        <v>3</v>
      </c>
      <c r="DE45" t="s">
        <v>3</v>
      </c>
      <c r="DF45">
        <f t="shared" si="25"/>
        <v>33.24</v>
      </c>
      <c r="DG45">
        <f t="shared" si="26"/>
        <v>0</v>
      </c>
      <c r="DH45">
        <f t="shared" si="27"/>
        <v>0</v>
      </c>
      <c r="DI45">
        <f t="shared" si="21"/>
        <v>0</v>
      </c>
      <c r="DJ45">
        <f t="shared" si="28"/>
        <v>33.24</v>
      </c>
      <c r="DK45">
        <v>0</v>
      </c>
      <c r="DL45" t="s">
        <v>3</v>
      </c>
      <c r="DM45">
        <v>0</v>
      </c>
      <c r="DN45" t="s">
        <v>3</v>
      </c>
      <c r="DO45">
        <v>0</v>
      </c>
    </row>
    <row r="46" spans="1:119" x14ac:dyDescent="0.2">
      <c r="A46">
        <f>ROW(Source!A73)</f>
        <v>73</v>
      </c>
      <c r="B46">
        <v>143120906</v>
      </c>
      <c r="C46">
        <v>143126805</v>
      </c>
      <c r="D46">
        <v>140760001</v>
      </c>
      <c r="E46">
        <v>70</v>
      </c>
      <c r="F46">
        <v>1</v>
      </c>
      <c r="G46">
        <v>1</v>
      </c>
      <c r="H46">
        <v>1</v>
      </c>
      <c r="I46" t="s">
        <v>465</v>
      </c>
      <c r="J46" t="s">
        <v>3</v>
      </c>
      <c r="K46" t="s">
        <v>466</v>
      </c>
      <c r="L46">
        <v>1191</v>
      </c>
      <c r="N46">
        <v>1013</v>
      </c>
      <c r="O46" t="s">
        <v>374</v>
      </c>
      <c r="P46" t="s">
        <v>374</v>
      </c>
      <c r="Q46">
        <v>1</v>
      </c>
      <c r="W46">
        <v>0</v>
      </c>
      <c r="X46">
        <v>1893946532</v>
      </c>
      <c r="Y46">
        <f>((AT46*1.15)*1.2)</f>
        <v>5.7131999999999987</v>
      </c>
      <c r="AA46">
        <v>0</v>
      </c>
      <c r="AB46">
        <v>0</v>
      </c>
      <c r="AC46">
        <v>0</v>
      </c>
      <c r="AD46">
        <v>253.42</v>
      </c>
      <c r="AE46">
        <v>0</v>
      </c>
      <c r="AF46">
        <v>0</v>
      </c>
      <c r="AG46">
        <v>0</v>
      </c>
      <c r="AH46">
        <v>9.07</v>
      </c>
      <c r="AI46">
        <v>1</v>
      </c>
      <c r="AJ46">
        <v>1</v>
      </c>
      <c r="AK46">
        <v>1</v>
      </c>
      <c r="AL46">
        <v>27.94</v>
      </c>
      <c r="AN46">
        <v>0</v>
      </c>
      <c r="AO46">
        <v>1</v>
      </c>
      <c r="AP46">
        <v>1</v>
      </c>
      <c r="AQ46">
        <v>0</v>
      </c>
      <c r="AR46">
        <v>0</v>
      </c>
      <c r="AS46" t="s">
        <v>3</v>
      </c>
      <c r="AT46">
        <v>4.1399999999999997</v>
      </c>
      <c r="AU46" t="s">
        <v>17</v>
      </c>
      <c r="AV46">
        <v>1</v>
      </c>
      <c r="AW46">
        <v>2</v>
      </c>
      <c r="AX46">
        <v>143126806</v>
      </c>
      <c r="AY46">
        <v>1</v>
      </c>
      <c r="AZ46">
        <v>0</v>
      </c>
      <c r="BA46">
        <v>58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ROUND(Y46*Source!I73,9)</f>
        <v>6.8558399999999997</v>
      </c>
      <c r="CY46">
        <f>AD46</f>
        <v>253.42</v>
      </c>
      <c r="CZ46">
        <f>AH46</f>
        <v>9.07</v>
      </c>
      <c r="DA46">
        <f>AL46</f>
        <v>27.94</v>
      </c>
      <c r="DB46">
        <f>ROUND(((ROUND(AT46*CZ46,2)*1.15)*1.2),2)</f>
        <v>51.82</v>
      </c>
      <c r="DC46">
        <f>ROUND(((ROUND(AT46*AG46,2)*1.15)*1.2),2)</f>
        <v>0</v>
      </c>
      <c r="DD46" t="s">
        <v>3</v>
      </c>
      <c r="DE46" t="s">
        <v>3</v>
      </c>
      <c r="DF46">
        <f t="shared" ref="DF46:DF54" si="29">ROUND(AE46*CX46,2)</f>
        <v>0</v>
      </c>
      <c r="DG46">
        <f t="shared" si="26"/>
        <v>0</v>
      </c>
      <c r="DH46">
        <f t="shared" si="27"/>
        <v>0</v>
      </c>
      <c r="DI46">
        <f>ROUND(ROUND(AH46*CX46,2)*AL46,2)</f>
        <v>1737.31</v>
      </c>
      <c r="DJ46">
        <f>DI46</f>
        <v>1737.31</v>
      </c>
      <c r="DK46">
        <v>0</v>
      </c>
      <c r="DL46" t="s">
        <v>3</v>
      </c>
      <c r="DM46">
        <v>0</v>
      </c>
      <c r="DN46" t="s">
        <v>3</v>
      </c>
      <c r="DO46">
        <v>0</v>
      </c>
    </row>
    <row r="47" spans="1:119" x14ac:dyDescent="0.2">
      <c r="A47">
        <f>ROW(Source!A73)</f>
        <v>73</v>
      </c>
      <c r="B47">
        <v>143120906</v>
      </c>
      <c r="C47">
        <v>143126805</v>
      </c>
      <c r="D47">
        <v>140760225</v>
      </c>
      <c r="E47">
        <v>70</v>
      </c>
      <c r="F47">
        <v>1</v>
      </c>
      <c r="G47">
        <v>1</v>
      </c>
      <c r="H47">
        <v>1</v>
      </c>
      <c r="I47" t="s">
        <v>375</v>
      </c>
      <c r="J47" t="s">
        <v>3</v>
      </c>
      <c r="K47" t="s">
        <v>376</v>
      </c>
      <c r="L47">
        <v>1191</v>
      </c>
      <c r="N47">
        <v>1013</v>
      </c>
      <c r="O47" t="s">
        <v>374</v>
      </c>
      <c r="P47" t="s">
        <v>374</v>
      </c>
      <c r="Q47">
        <v>1</v>
      </c>
      <c r="W47">
        <v>0</v>
      </c>
      <c r="X47">
        <v>-1417349443</v>
      </c>
      <c r="Y47">
        <f>((AT47*1.25)*1.2)</f>
        <v>3.3899999999999997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27.94</v>
      </c>
      <c r="AL47">
        <v>1</v>
      </c>
      <c r="AN47">
        <v>0</v>
      </c>
      <c r="AO47">
        <v>1</v>
      </c>
      <c r="AP47">
        <v>1</v>
      </c>
      <c r="AQ47">
        <v>0</v>
      </c>
      <c r="AR47">
        <v>0</v>
      </c>
      <c r="AS47" t="s">
        <v>3</v>
      </c>
      <c r="AT47">
        <v>2.2599999999999998</v>
      </c>
      <c r="AU47" t="s">
        <v>16</v>
      </c>
      <c r="AV47">
        <v>2</v>
      </c>
      <c r="AW47">
        <v>2</v>
      </c>
      <c r="AX47">
        <v>143126807</v>
      </c>
      <c r="AY47">
        <v>1</v>
      </c>
      <c r="AZ47">
        <v>0</v>
      </c>
      <c r="BA47">
        <v>59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ROUND(Y47*Source!I73,9)</f>
        <v>4.0679999999999996</v>
      </c>
      <c r="CY47">
        <f>AD47</f>
        <v>0</v>
      </c>
      <c r="CZ47">
        <f>AH47</f>
        <v>0</v>
      </c>
      <c r="DA47">
        <f>AL47</f>
        <v>1</v>
      </c>
      <c r="DB47">
        <f>ROUND(((ROUND(AT47*CZ47,2)*1.25)*1.2),2)</f>
        <v>0</v>
      </c>
      <c r="DC47">
        <f>ROUND(((ROUND(AT47*AG47,2)*1.25)*1.2),2)</f>
        <v>0</v>
      </c>
      <c r="DD47" t="s">
        <v>3</v>
      </c>
      <c r="DE47" t="s">
        <v>3</v>
      </c>
      <c r="DF47">
        <f t="shared" si="29"/>
        <v>0</v>
      </c>
      <c r="DG47">
        <f t="shared" si="26"/>
        <v>0</v>
      </c>
      <c r="DH47">
        <f>ROUND(ROUND(AG47*CX47,2)*AK47,2)</f>
        <v>0</v>
      </c>
      <c r="DI47">
        <f>ROUND(AH47*CX47,2)</f>
        <v>0</v>
      </c>
      <c r="DJ47">
        <f>DI47</f>
        <v>0</v>
      </c>
      <c r="DK47">
        <v>0</v>
      </c>
      <c r="DL47" t="s">
        <v>3</v>
      </c>
      <c r="DM47">
        <v>0</v>
      </c>
      <c r="DN47" t="s">
        <v>3</v>
      </c>
      <c r="DO47">
        <v>0</v>
      </c>
    </row>
    <row r="48" spans="1:119" x14ac:dyDescent="0.2">
      <c r="A48">
        <f>ROW(Source!A73)</f>
        <v>73</v>
      </c>
      <c r="B48">
        <v>143120906</v>
      </c>
      <c r="C48">
        <v>143126805</v>
      </c>
      <c r="D48">
        <v>140922951</v>
      </c>
      <c r="E48">
        <v>1</v>
      </c>
      <c r="F48">
        <v>1</v>
      </c>
      <c r="G48">
        <v>1</v>
      </c>
      <c r="H48">
        <v>2</v>
      </c>
      <c r="I48" t="s">
        <v>381</v>
      </c>
      <c r="J48" t="s">
        <v>382</v>
      </c>
      <c r="K48" t="s">
        <v>383</v>
      </c>
      <c r="L48">
        <v>1367</v>
      </c>
      <c r="N48">
        <v>1011</v>
      </c>
      <c r="O48" t="s">
        <v>380</v>
      </c>
      <c r="P48" t="s">
        <v>380</v>
      </c>
      <c r="Q48">
        <v>1</v>
      </c>
      <c r="W48">
        <v>0</v>
      </c>
      <c r="X48">
        <v>-430484415</v>
      </c>
      <c r="Y48">
        <f>((AT48*1.25)*1.2)</f>
        <v>1.4999999999999999E-2</v>
      </c>
      <c r="AA48">
        <v>0</v>
      </c>
      <c r="AB48">
        <v>1275.17</v>
      </c>
      <c r="AC48">
        <v>377.19</v>
      </c>
      <c r="AD48">
        <v>0</v>
      </c>
      <c r="AE48">
        <v>0</v>
      </c>
      <c r="AF48">
        <v>115.4</v>
      </c>
      <c r="AG48">
        <v>13.5</v>
      </c>
      <c r="AH48">
        <v>0</v>
      </c>
      <c r="AI48">
        <v>1</v>
      </c>
      <c r="AJ48">
        <v>11.05</v>
      </c>
      <c r="AK48">
        <v>27.94</v>
      </c>
      <c r="AL48">
        <v>1</v>
      </c>
      <c r="AN48">
        <v>0</v>
      </c>
      <c r="AO48">
        <v>1</v>
      </c>
      <c r="AP48">
        <v>1</v>
      </c>
      <c r="AQ48">
        <v>0</v>
      </c>
      <c r="AR48">
        <v>0</v>
      </c>
      <c r="AS48" t="s">
        <v>3</v>
      </c>
      <c r="AT48">
        <v>0.01</v>
      </c>
      <c r="AU48" t="s">
        <v>16</v>
      </c>
      <c r="AV48">
        <v>0</v>
      </c>
      <c r="AW48">
        <v>2</v>
      </c>
      <c r="AX48">
        <v>143126808</v>
      </c>
      <c r="AY48">
        <v>1</v>
      </c>
      <c r="AZ48">
        <v>0</v>
      </c>
      <c r="BA48">
        <v>60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ROUND(Y48*Source!I73,9)</f>
        <v>1.7999999999999999E-2</v>
      </c>
      <c r="CY48">
        <f>AB48</f>
        <v>1275.17</v>
      </c>
      <c r="CZ48">
        <f>AF48</f>
        <v>115.4</v>
      </c>
      <c r="DA48">
        <f>AJ48</f>
        <v>11.05</v>
      </c>
      <c r="DB48">
        <f>ROUND(((ROUND(AT48*CZ48,2)*1.25)*1.2),2)</f>
        <v>1.73</v>
      </c>
      <c r="DC48">
        <f>ROUND(((ROUND(AT48*AG48,2)*1.25)*1.2),2)</f>
        <v>0.21</v>
      </c>
      <c r="DD48" t="s">
        <v>3</v>
      </c>
      <c r="DE48" t="s">
        <v>3</v>
      </c>
      <c r="DF48">
        <f t="shared" si="29"/>
        <v>0</v>
      </c>
      <c r="DG48">
        <f>ROUND(ROUND(AF48*CX48,2)*AJ48,2)</f>
        <v>22.98</v>
      </c>
      <c r="DH48">
        <f>ROUND(ROUND(AG48*CX48,2)*AK48,2)</f>
        <v>6.71</v>
      </c>
      <c r="DI48">
        <f>ROUND(AH48*CX48,2)</f>
        <v>0</v>
      </c>
      <c r="DJ48">
        <f>DG48</f>
        <v>22.98</v>
      </c>
      <c r="DK48">
        <v>0</v>
      </c>
      <c r="DL48" t="s">
        <v>3</v>
      </c>
      <c r="DM48">
        <v>0</v>
      </c>
      <c r="DN48" t="s">
        <v>3</v>
      </c>
      <c r="DO48">
        <v>0</v>
      </c>
    </row>
    <row r="49" spans="1:119" x14ac:dyDescent="0.2">
      <c r="A49">
        <f>ROW(Source!A73)</f>
        <v>73</v>
      </c>
      <c r="B49">
        <v>143120906</v>
      </c>
      <c r="C49">
        <v>143126805</v>
      </c>
      <c r="D49">
        <v>140923885</v>
      </c>
      <c r="E49">
        <v>1</v>
      </c>
      <c r="F49">
        <v>1</v>
      </c>
      <c r="G49">
        <v>1</v>
      </c>
      <c r="H49">
        <v>2</v>
      </c>
      <c r="I49" t="s">
        <v>387</v>
      </c>
      <c r="J49" t="s">
        <v>388</v>
      </c>
      <c r="K49" t="s">
        <v>389</v>
      </c>
      <c r="L49">
        <v>1367</v>
      </c>
      <c r="N49">
        <v>1011</v>
      </c>
      <c r="O49" t="s">
        <v>380</v>
      </c>
      <c r="P49" t="s">
        <v>380</v>
      </c>
      <c r="Q49">
        <v>1</v>
      </c>
      <c r="W49">
        <v>0</v>
      </c>
      <c r="X49">
        <v>509054691</v>
      </c>
      <c r="Y49">
        <f>((AT49*1.25)*1.2)</f>
        <v>1.4999999999999999E-2</v>
      </c>
      <c r="AA49">
        <v>0</v>
      </c>
      <c r="AB49">
        <v>726.1</v>
      </c>
      <c r="AC49">
        <v>324.10000000000002</v>
      </c>
      <c r="AD49">
        <v>0</v>
      </c>
      <c r="AE49">
        <v>0</v>
      </c>
      <c r="AF49">
        <v>65.709999999999994</v>
      </c>
      <c r="AG49">
        <v>11.6</v>
      </c>
      <c r="AH49">
        <v>0</v>
      </c>
      <c r="AI49">
        <v>1</v>
      </c>
      <c r="AJ49">
        <v>11.05</v>
      </c>
      <c r="AK49">
        <v>27.94</v>
      </c>
      <c r="AL49">
        <v>1</v>
      </c>
      <c r="AN49">
        <v>0</v>
      </c>
      <c r="AO49">
        <v>1</v>
      </c>
      <c r="AP49">
        <v>1</v>
      </c>
      <c r="AQ49">
        <v>0</v>
      </c>
      <c r="AR49">
        <v>0</v>
      </c>
      <c r="AS49" t="s">
        <v>3</v>
      </c>
      <c r="AT49">
        <v>0.01</v>
      </c>
      <c r="AU49" t="s">
        <v>16</v>
      </c>
      <c r="AV49">
        <v>0</v>
      </c>
      <c r="AW49">
        <v>2</v>
      </c>
      <c r="AX49">
        <v>143126809</v>
      </c>
      <c r="AY49">
        <v>1</v>
      </c>
      <c r="AZ49">
        <v>0</v>
      </c>
      <c r="BA49">
        <v>61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ROUND(Y49*Source!I73,9)</f>
        <v>1.7999999999999999E-2</v>
      </c>
      <c r="CY49">
        <f>AB49</f>
        <v>726.1</v>
      </c>
      <c r="CZ49">
        <f>AF49</f>
        <v>65.709999999999994</v>
      </c>
      <c r="DA49">
        <f>AJ49</f>
        <v>11.05</v>
      </c>
      <c r="DB49">
        <f>ROUND(((ROUND(AT49*CZ49,2)*1.25)*1.2),2)</f>
        <v>0.99</v>
      </c>
      <c r="DC49">
        <f>ROUND(((ROUND(AT49*AG49,2)*1.25)*1.2),2)</f>
        <v>0.18</v>
      </c>
      <c r="DD49" t="s">
        <v>3</v>
      </c>
      <c r="DE49" t="s">
        <v>3</v>
      </c>
      <c r="DF49">
        <f t="shared" si="29"/>
        <v>0</v>
      </c>
      <c r="DG49">
        <f>ROUND(ROUND(AF49*CX49,2)*AJ49,2)</f>
        <v>13.04</v>
      </c>
      <c r="DH49">
        <f>ROUND(ROUND(AG49*CX49,2)*AK49,2)</f>
        <v>5.87</v>
      </c>
      <c r="DI49">
        <f>ROUND(AH49*CX49,2)</f>
        <v>0</v>
      </c>
      <c r="DJ49">
        <f>DG49</f>
        <v>13.04</v>
      </c>
      <c r="DK49">
        <v>0</v>
      </c>
      <c r="DL49" t="s">
        <v>3</v>
      </c>
      <c r="DM49">
        <v>0</v>
      </c>
      <c r="DN49" t="s">
        <v>3</v>
      </c>
      <c r="DO49">
        <v>0</v>
      </c>
    </row>
    <row r="50" spans="1:119" x14ac:dyDescent="0.2">
      <c r="A50">
        <f>ROW(Source!A73)</f>
        <v>73</v>
      </c>
      <c r="B50">
        <v>143120906</v>
      </c>
      <c r="C50">
        <v>143126805</v>
      </c>
      <c r="D50">
        <v>140924030</v>
      </c>
      <c r="E50">
        <v>1</v>
      </c>
      <c r="F50">
        <v>1</v>
      </c>
      <c r="G50">
        <v>1</v>
      </c>
      <c r="H50">
        <v>2</v>
      </c>
      <c r="I50" t="s">
        <v>467</v>
      </c>
      <c r="J50" t="s">
        <v>468</v>
      </c>
      <c r="K50" t="s">
        <v>469</v>
      </c>
      <c r="L50">
        <v>1367</v>
      </c>
      <c r="N50">
        <v>1011</v>
      </c>
      <c r="O50" t="s">
        <v>380</v>
      </c>
      <c r="P50" t="s">
        <v>380</v>
      </c>
      <c r="Q50">
        <v>1</v>
      </c>
      <c r="W50">
        <v>0</v>
      </c>
      <c r="X50">
        <v>1573447407</v>
      </c>
      <c r="Y50">
        <f>((AT50*1.25)*1.2)</f>
        <v>3.3600000000000003</v>
      </c>
      <c r="AA50">
        <v>0</v>
      </c>
      <c r="AB50">
        <v>1106.1099999999999</v>
      </c>
      <c r="AC50">
        <v>377.19</v>
      </c>
      <c r="AD50">
        <v>0</v>
      </c>
      <c r="AE50">
        <v>0</v>
      </c>
      <c r="AF50">
        <v>100.1</v>
      </c>
      <c r="AG50">
        <v>13.5</v>
      </c>
      <c r="AH50">
        <v>0</v>
      </c>
      <c r="AI50">
        <v>1</v>
      </c>
      <c r="AJ50">
        <v>11.05</v>
      </c>
      <c r="AK50">
        <v>27.94</v>
      </c>
      <c r="AL50">
        <v>1</v>
      </c>
      <c r="AN50">
        <v>0</v>
      </c>
      <c r="AO50">
        <v>1</v>
      </c>
      <c r="AP50">
        <v>1</v>
      </c>
      <c r="AQ50">
        <v>0</v>
      </c>
      <c r="AR50">
        <v>0</v>
      </c>
      <c r="AS50" t="s">
        <v>3</v>
      </c>
      <c r="AT50">
        <v>2.2400000000000002</v>
      </c>
      <c r="AU50" t="s">
        <v>16</v>
      </c>
      <c r="AV50">
        <v>0</v>
      </c>
      <c r="AW50">
        <v>2</v>
      </c>
      <c r="AX50">
        <v>143126810</v>
      </c>
      <c r="AY50">
        <v>1</v>
      </c>
      <c r="AZ50">
        <v>0</v>
      </c>
      <c r="BA50">
        <v>62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ROUND(Y50*Source!I73,9)</f>
        <v>4.032</v>
      </c>
      <c r="CY50">
        <f>AB50</f>
        <v>1106.1099999999999</v>
      </c>
      <c r="CZ50">
        <f>AF50</f>
        <v>100.1</v>
      </c>
      <c r="DA50">
        <f>AJ50</f>
        <v>11.05</v>
      </c>
      <c r="DB50">
        <f>ROUND(((ROUND(AT50*CZ50,2)*1.25)*1.2),2)</f>
        <v>336.33</v>
      </c>
      <c r="DC50">
        <f>ROUND(((ROUND(AT50*AG50,2)*1.25)*1.2),2)</f>
        <v>45.36</v>
      </c>
      <c r="DD50" t="s">
        <v>3</v>
      </c>
      <c r="DE50" t="s">
        <v>3</v>
      </c>
      <c r="DF50">
        <f t="shared" si="29"/>
        <v>0</v>
      </c>
      <c r="DG50">
        <f>ROUND(ROUND(AF50*CX50,2)*AJ50,2)</f>
        <v>4459.78</v>
      </c>
      <c r="DH50">
        <f>ROUND(ROUND(AG50*CX50,2)*AK50,2)</f>
        <v>1520.77</v>
      </c>
      <c r="DI50">
        <f>ROUND(AH50*CX50,2)</f>
        <v>0</v>
      </c>
      <c r="DJ50">
        <f>DG50</f>
        <v>4459.78</v>
      </c>
      <c r="DK50">
        <v>0</v>
      </c>
      <c r="DL50" t="s">
        <v>3</v>
      </c>
      <c r="DM50">
        <v>0</v>
      </c>
      <c r="DN50" t="s">
        <v>3</v>
      </c>
      <c r="DO50">
        <v>0</v>
      </c>
    </row>
    <row r="51" spans="1:119" x14ac:dyDescent="0.2">
      <c r="A51">
        <f>ROW(Source!A75)</f>
        <v>75</v>
      </c>
      <c r="B51">
        <v>143120906</v>
      </c>
      <c r="C51">
        <v>143126932</v>
      </c>
      <c r="D51">
        <v>140759982</v>
      </c>
      <c r="E51">
        <v>70</v>
      </c>
      <c r="F51">
        <v>1</v>
      </c>
      <c r="G51">
        <v>1</v>
      </c>
      <c r="H51">
        <v>1</v>
      </c>
      <c r="I51" t="s">
        <v>470</v>
      </c>
      <c r="J51" t="s">
        <v>3</v>
      </c>
      <c r="K51" t="s">
        <v>471</v>
      </c>
      <c r="L51">
        <v>1191</v>
      </c>
      <c r="N51">
        <v>1013</v>
      </c>
      <c r="O51" t="s">
        <v>374</v>
      </c>
      <c r="P51" t="s">
        <v>374</v>
      </c>
      <c r="Q51">
        <v>1</v>
      </c>
      <c r="W51">
        <v>0</v>
      </c>
      <c r="X51">
        <v>-983457869</v>
      </c>
      <c r="Y51">
        <f>((AT51*1.15)*1.2)</f>
        <v>445.73999999999995</v>
      </c>
      <c r="AA51">
        <v>0</v>
      </c>
      <c r="AB51">
        <v>0</v>
      </c>
      <c r="AC51">
        <v>0</v>
      </c>
      <c r="AD51">
        <v>241.4</v>
      </c>
      <c r="AE51">
        <v>0</v>
      </c>
      <c r="AF51">
        <v>0</v>
      </c>
      <c r="AG51">
        <v>0</v>
      </c>
      <c r="AH51">
        <v>8.64</v>
      </c>
      <c r="AI51">
        <v>1</v>
      </c>
      <c r="AJ51">
        <v>1</v>
      </c>
      <c r="AK51">
        <v>1</v>
      </c>
      <c r="AL51">
        <v>27.94</v>
      </c>
      <c r="AN51">
        <v>0</v>
      </c>
      <c r="AO51">
        <v>1</v>
      </c>
      <c r="AP51">
        <v>1</v>
      </c>
      <c r="AQ51">
        <v>0</v>
      </c>
      <c r="AR51">
        <v>0</v>
      </c>
      <c r="AS51" t="s">
        <v>3</v>
      </c>
      <c r="AT51">
        <v>323</v>
      </c>
      <c r="AU51" t="s">
        <v>17</v>
      </c>
      <c r="AV51">
        <v>1</v>
      </c>
      <c r="AW51">
        <v>2</v>
      </c>
      <c r="AX51">
        <v>143126933</v>
      </c>
      <c r="AY51">
        <v>1</v>
      </c>
      <c r="AZ51">
        <v>0</v>
      </c>
      <c r="BA51">
        <v>64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ROUND(Y51*Source!I75,9)</f>
        <v>8.9147999999999996</v>
      </c>
      <c r="CY51">
        <f>AD51</f>
        <v>241.4</v>
      </c>
      <c r="CZ51">
        <f>AH51</f>
        <v>8.64</v>
      </c>
      <c r="DA51">
        <f>AL51</f>
        <v>27.94</v>
      </c>
      <c r="DB51">
        <f>ROUND(((ROUND(AT51*CZ51,2)*1.15)*1.2),2)</f>
        <v>3851.19</v>
      </c>
      <c r="DC51">
        <f>ROUND(((ROUND(AT51*AG51,2)*1.15)*1.2),2)</f>
        <v>0</v>
      </c>
      <c r="DD51" t="s">
        <v>3</v>
      </c>
      <c r="DE51" t="s">
        <v>3</v>
      </c>
      <c r="DF51">
        <f t="shared" si="29"/>
        <v>0</v>
      </c>
      <c r="DG51">
        <f>ROUND(AF51*CX51,2)</f>
        <v>0</v>
      </c>
      <c r="DH51">
        <f>ROUND(AG51*CX51,2)</f>
        <v>0</v>
      </c>
      <c r="DI51">
        <f>ROUND(ROUND(AH51*CX51,2)*AL51,2)</f>
        <v>2151.94</v>
      </c>
      <c r="DJ51">
        <f>DI51</f>
        <v>2151.94</v>
      </c>
      <c r="DK51">
        <v>0</v>
      </c>
      <c r="DL51" t="s">
        <v>3</v>
      </c>
      <c r="DM51">
        <v>0</v>
      </c>
      <c r="DN51" t="s">
        <v>3</v>
      </c>
      <c r="DO51">
        <v>0</v>
      </c>
    </row>
    <row r="52" spans="1:119" x14ac:dyDescent="0.2">
      <c r="A52">
        <f>ROW(Source!A75)</f>
        <v>75</v>
      </c>
      <c r="B52">
        <v>143120906</v>
      </c>
      <c r="C52">
        <v>143126932</v>
      </c>
      <c r="D52">
        <v>140760225</v>
      </c>
      <c r="E52">
        <v>70</v>
      </c>
      <c r="F52">
        <v>1</v>
      </c>
      <c r="G52">
        <v>1</v>
      </c>
      <c r="H52">
        <v>1</v>
      </c>
      <c r="I52" t="s">
        <v>375</v>
      </c>
      <c r="J52" t="s">
        <v>3</v>
      </c>
      <c r="K52" t="s">
        <v>376</v>
      </c>
      <c r="L52">
        <v>1191</v>
      </c>
      <c r="N52">
        <v>1013</v>
      </c>
      <c r="O52" t="s">
        <v>374</v>
      </c>
      <c r="P52" t="s">
        <v>374</v>
      </c>
      <c r="Q52">
        <v>1</v>
      </c>
      <c r="W52">
        <v>0</v>
      </c>
      <c r="X52">
        <v>-1417349443</v>
      </c>
      <c r="Y52">
        <f>((AT52*1.25)*1.2)</f>
        <v>183.285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27.94</v>
      </c>
      <c r="AL52">
        <v>1</v>
      </c>
      <c r="AN52">
        <v>0</v>
      </c>
      <c r="AO52">
        <v>1</v>
      </c>
      <c r="AP52">
        <v>1</v>
      </c>
      <c r="AQ52">
        <v>0</v>
      </c>
      <c r="AR52">
        <v>0</v>
      </c>
      <c r="AS52" t="s">
        <v>3</v>
      </c>
      <c r="AT52">
        <v>122.19</v>
      </c>
      <c r="AU52" t="s">
        <v>16</v>
      </c>
      <c r="AV52">
        <v>2</v>
      </c>
      <c r="AW52">
        <v>2</v>
      </c>
      <c r="AX52">
        <v>143126934</v>
      </c>
      <c r="AY52">
        <v>1</v>
      </c>
      <c r="AZ52">
        <v>0</v>
      </c>
      <c r="BA52">
        <v>65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ROUND(Y52*Source!I75,9)</f>
        <v>3.6657000000000002</v>
      </c>
      <c r="CY52">
        <f>AD52</f>
        <v>0</v>
      </c>
      <c r="CZ52">
        <f>AH52</f>
        <v>0</v>
      </c>
      <c r="DA52">
        <f>AL52</f>
        <v>1</v>
      </c>
      <c r="DB52">
        <f>ROUND(((ROUND(AT52*CZ52,2)*1.25)*1.2),2)</f>
        <v>0</v>
      </c>
      <c r="DC52">
        <f>ROUND(((ROUND(AT52*AG52,2)*1.25)*1.2),2)</f>
        <v>0</v>
      </c>
      <c r="DD52" t="s">
        <v>3</v>
      </c>
      <c r="DE52" t="s">
        <v>3</v>
      </c>
      <c r="DF52">
        <f t="shared" si="29"/>
        <v>0</v>
      </c>
      <c r="DG52">
        <f>ROUND(AF52*CX52,2)</f>
        <v>0</v>
      </c>
      <c r="DH52">
        <f>ROUND(ROUND(AG52*CX52,2)*AK52,2)</f>
        <v>0</v>
      </c>
      <c r="DI52">
        <f>ROUND(AH52*CX52,2)</f>
        <v>0</v>
      </c>
      <c r="DJ52">
        <f>DI52</f>
        <v>0</v>
      </c>
      <c r="DK52">
        <v>0</v>
      </c>
      <c r="DL52" t="s">
        <v>3</v>
      </c>
      <c r="DM52">
        <v>0</v>
      </c>
      <c r="DN52" t="s">
        <v>3</v>
      </c>
      <c r="DO52">
        <v>0</v>
      </c>
    </row>
    <row r="53" spans="1:119" x14ac:dyDescent="0.2">
      <c r="A53">
        <f>ROW(Source!A75)</f>
        <v>75</v>
      </c>
      <c r="B53">
        <v>143120906</v>
      </c>
      <c r="C53">
        <v>143126932</v>
      </c>
      <c r="D53">
        <v>140922951</v>
      </c>
      <c r="E53">
        <v>1</v>
      </c>
      <c r="F53">
        <v>1</v>
      </c>
      <c r="G53">
        <v>1</v>
      </c>
      <c r="H53">
        <v>2</v>
      </c>
      <c r="I53" t="s">
        <v>381</v>
      </c>
      <c r="J53" t="s">
        <v>382</v>
      </c>
      <c r="K53" t="s">
        <v>383</v>
      </c>
      <c r="L53">
        <v>1367</v>
      </c>
      <c r="N53">
        <v>1011</v>
      </c>
      <c r="O53" t="s">
        <v>380</v>
      </c>
      <c r="P53" t="s">
        <v>380</v>
      </c>
      <c r="Q53">
        <v>1</v>
      </c>
      <c r="W53">
        <v>0</v>
      </c>
      <c r="X53">
        <v>-430484415</v>
      </c>
      <c r="Y53">
        <f>((AT53*1.25)*1.2)</f>
        <v>162</v>
      </c>
      <c r="AA53">
        <v>0</v>
      </c>
      <c r="AB53">
        <v>1275.17</v>
      </c>
      <c r="AC53">
        <v>377.19</v>
      </c>
      <c r="AD53">
        <v>0</v>
      </c>
      <c r="AE53">
        <v>0</v>
      </c>
      <c r="AF53">
        <v>115.4</v>
      </c>
      <c r="AG53">
        <v>13.5</v>
      </c>
      <c r="AH53">
        <v>0</v>
      </c>
      <c r="AI53">
        <v>1</v>
      </c>
      <c r="AJ53">
        <v>11.05</v>
      </c>
      <c r="AK53">
        <v>27.94</v>
      </c>
      <c r="AL53">
        <v>1</v>
      </c>
      <c r="AN53">
        <v>0</v>
      </c>
      <c r="AO53">
        <v>1</v>
      </c>
      <c r="AP53">
        <v>1</v>
      </c>
      <c r="AQ53">
        <v>0</v>
      </c>
      <c r="AR53">
        <v>0</v>
      </c>
      <c r="AS53" t="s">
        <v>3</v>
      </c>
      <c r="AT53">
        <v>108</v>
      </c>
      <c r="AU53" t="s">
        <v>16</v>
      </c>
      <c r="AV53">
        <v>0</v>
      </c>
      <c r="AW53">
        <v>2</v>
      </c>
      <c r="AX53">
        <v>143126935</v>
      </c>
      <c r="AY53">
        <v>1</v>
      </c>
      <c r="AZ53">
        <v>0</v>
      </c>
      <c r="BA53">
        <v>66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ROUND(Y53*Source!I75,9)</f>
        <v>3.24</v>
      </c>
      <c r="CY53">
        <f>AB53</f>
        <v>1275.17</v>
      </c>
      <c r="CZ53">
        <f>AF53</f>
        <v>115.4</v>
      </c>
      <c r="DA53">
        <f>AJ53</f>
        <v>11.05</v>
      </c>
      <c r="DB53">
        <f>ROUND(((ROUND(AT53*CZ53,2)*1.25)*1.2),2)</f>
        <v>18694.8</v>
      </c>
      <c r="DC53">
        <f>ROUND(((ROUND(AT53*AG53,2)*1.25)*1.2),2)</f>
        <v>2187</v>
      </c>
      <c r="DD53" t="s">
        <v>3</v>
      </c>
      <c r="DE53" t="s">
        <v>3</v>
      </c>
      <c r="DF53">
        <f t="shared" si="29"/>
        <v>0</v>
      </c>
      <c r="DG53">
        <f>ROUND(ROUND(AF53*CX53,2)*AJ53,2)</f>
        <v>4131.6000000000004</v>
      </c>
      <c r="DH53">
        <f>ROUND(ROUND(AG53*CX53,2)*AK53,2)</f>
        <v>1222.0999999999999</v>
      </c>
      <c r="DI53">
        <f>ROUND(AH53*CX53,2)</f>
        <v>0</v>
      </c>
      <c r="DJ53">
        <f>DG53</f>
        <v>4131.6000000000004</v>
      </c>
      <c r="DK53">
        <v>0</v>
      </c>
      <c r="DL53" t="s">
        <v>3</v>
      </c>
      <c r="DM53">
        <v>0</v>
      </c>
      <c r="DN53" t="s">
        <v>3</v>
      </c>
      <c r="DO53">
        <v>0</v>
      </c>
    </row>
    <row r="54" spans="1:119" x14ac:dyDescent="0.2">
      <c r="A54">
        <f>ROW(Source!A75)</f>
        <v>75</v>
      </c>
      <c r="B54">
        <v>143120906</v>
      </c>
      <c r="C54">
        <v>143126932</v>
      </c>
      <c r="D54">
        <v>140923885</v>
      </c>
      <c r="E54">
        <v>1</v>
      </c>
      <c r="F54">
        <v>1</v>
      </c>
      <c r="G54">
        <v>1</v>
      </c>
      <c r="H54">
        <v>2</v>
      </c>
      <c r="I54" t="s">
        <v>387</v>
      </c>
      <c r="J54" t="s">
        <v>388</v>
      </c>
      <c r="K54" t="s">
        <v>389</v>
      </c>
      <c r="L54">
        <v>1367</v>
      </c>
      <c r="N54">
        <v>1011</v>
      </c>
      <c r="O54" t="s">
        <v>380</v>
      </c>
      <c r="P54" t="s">
        <v>380</v>
      </c>
      <c r="Q54">
        <v>1</v>
      </c>
      <c r="W54">
        <v>0</v>
      </c>
      <c r="X54">
        <v>509054691</v>
      </c>
      <c r="Y54">
        <f>((AT54*1.25)*1.2)</f>
        <v>21.285</v>
      </c>
      <c r="AA54">
        <v>0</v>
      </c>
      <c r="AB54">
        <v>726.1</v>
      </c>
      <c r="AC54">
        <v>324.10000000000002</v>
      </c>
      <c r="AD54">
        <v>0</v>
      </c>
      <c r="AE54">
        <v>0</v>
      </c>
      <c r="AF54">
        <v>65.709999999999994</v>
      </c>
      <c r="AG54">
        <v>11.6</v>
      </c>
      <c r="AH54">
        <v>0</v>
      </c>
      <c r="AI54">
        <v>1</v>
      </c>
      <c r="AJ54">
        <v>11.05</v>
      </c>
      <c r="AK54">
        <v>27.94</v>
      </c>
      <c r="AL54">
        <v>1</v>
      </c>
      <c r="AN54">
        <v>0</v>
      </c>
      <c r="AO54">
        <v>1</v>
      </c>
      <c r="AP54">
        <v>1</v>
      </c>
      <c r="AQ54">
        <v>0</v>
      </c>
      <c r="AR54">
        <v>0</v>
      </c>
      <c r="AS54" t="s">
        <v>3</v>
      </c>
      <c r="AT54">
        <v>14.19</v>
      </c>
      <c r="AU54" t="s">
        <v>16</v>
      </c>
      <c r="AV54">
        <v>0</v>
      </c>
      <c r="AW54">
        <v>2</v>
      </c>
      <c r="AX54">
        <v>143126936</v>
      </c>
      <c r="AY54">
        <v>1</v>
      </c>
      <c r="AZ54">
        <v>0</v>
      </c>
      <c r="BA54">
        <v>67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ROUND(Y54*Source!I75,9)</f>
        <v>0.42570000000000002</v>
      </c>
      <c r="CY54">
        <f>AB54</f>
        <v>726.1</v>
      </c>
      <c r="CZ54">
        <f>AF54</f>
        <v>65.709999999999994</v>
      </c>
      <c r="DA54">
        <f>AJ54</f>
        <v>11.05</v>
      </c>
      <c r="DB54">
        <f>ROUND(((ROUND(AT54*CZ54,2)*1.25)*1.2),2)</f>
        <v>1398.63</v>
      </c>
      <c r="DC54">
        <f>ROUND(((ROUND(AT54*AG54,2)*1.25)*1.2),2)</f>
        <v>246.9</v>
      </c>
      <c r="DD54" t="s">
        <v>3</v>
      </c>
      <c r="DE54" t="s">
        <v>3</v>
      </c>
      <c r="DF54">
        <f t="shared" si="29"/>
        <v>0</v>
      </c>
      <c r="DG54">
        <f>ROUND(ROUND(AF54*CX54,2)*AJ54,2)</f>
        <v>309.07</v>
      </c>
      <c r="DH54">
        <f>ROUND(ROUND(AG54*CX54,2)*AK54,2)</f>
        <v>138.02000000000001</v>
      </c>
      <c r="DI54">
        <f>ROUND(AH54*CX54,2)</f>
        <v>0</v>
      </c>
      <c r="DJ54">
        <f>DG54</f>
        <v>309.07</v>
      </c>
      <c r="DK54">
        <v>0</v>
      </c>
      <c r="DL54" t="s">
        <v>3</v>
      </c>
      <c r="DM54">
        <v>0</v>
      </c>
      <c r="DN54" t="s">
        <v>3</v>
      </c>
      <c r="DO54">
        <v>0</v>
      </c>
    </row>
    <row r="55" spans="1:119" x14ac:dyDescent="0.2">
      <c r="A55">
        <f>ROW(Source!A75)</f>
        <v>75</v>
      </c>
      <c r="B55">
        <v>143120906</v>
      </c>
      <c r="C55">
        <v>143126932</v>
      </c>
      <c r="D55">
        <v>140778088</v>
      </c>
      <c r="E55">
        <v>1</v>
      </c>
      <c r="F55">
        <v>1</v>
      </c>
      <c r="G55">
        <v>1</v>
      </c>
      <c r="H55">
        <v>3</v>
      </c>
      <c r="I55" t="s">
        <v>472</v>
      </c>
      <c r="J55" t="s">
        <v>473</v>
      </c>
      <c r="K55" t="s">
        <v>474</v>
      </c>
      <c r="L55">
        <v>1339</v>
      </c>
      <c r="N55">
        <v>1007</v>
      </c>
      <c r="O55" t="s">
        <v>149</v>
      </c>
      <c r="P55" t="s">
        <v>149</v>
      </c>
      <c r="Q55">
        <v>1</v>
      </c>
      <c r="W55">
        <v>0</v>
      </c>
      <c r="X55">
        <v>461598558</v>
      </c>
      <c r="Y55">
        <f>AT55</f>
        <v>9.1999999999999993</v>
      </c>
      <c r="AA55">
        <v>4153.2</v>
      </c>
      <c r="AB55">
        <v>0</v>
      </c>
      <c r="AC55">
        <v>0</v>
      </c>
      <c r="AD55">
        <v>0</v>
      </c>
      <c r="AE55">
        <v>519.79999999999995</v>
      </c>
      <c r="AF55">
        <v>0</v>
      </c>
      <c r="AG55">
        <v>0</v>
      </c>
      <c r="AH55">
        <v>0</v>
      </c>
      <c r="AI55">
        <v>7.99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9.1999999999999993</v>
      </c>
      <c r="AU55" t="s">
        <v>3</v>
      </c>
      <c r="AV55">
        <v>0</v>
      </c>
      <c r="AW55">
        <v>2</v>
      </c>
      <c r="AX55">
        <v>143126937</v>
      </c>
      <c r="AY55">
        <v>1</v>
      </c>
      <c r="AZ55">
        <v>0</v>
      </c>
      <c r="BA55">
        <v>68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ROUND(Y55*Source!I75,9)</f>
        <v>0.184</v>
      </c>
      <c r="CY55">
        <f>AA55</f>
        <v>4153.2</v>
      </c>
      <c r="CZ55">
        <f>AE55</f>
        <v>519.79999999999995</v>
      </c>
      <c r="DA55">
        <f>AI55</f>
        <v>7.99</v>
      </c>
      <c r="DB55">
        <f>ROUND(ROUND(AT55*CZ55,2),2)</f>
        <v>4782.16</v>
      </c>
      <c r="DC55">
        <f>ROUND(ROUND(AT55*AG55,2),2)</f>
        <v>0</v>
      </c>
      <c r="DD55" t="s">
        <v>3</v>
      </c>
      <c r="DE55" t="s">
        <v>3</v>
      </c>
      <c r="DF55">
        <f>ROUND(ROUND(AE55*CX55,2)*AI55,2)</f>
        <v>764.16</v>
      </c>
      <c r="DG55">
        <f>ROUND(AF55*CX55,2)</f>
        <v>0</v>
      </c>
      <c r="DH55">
        <f>ROUND(AG55*CX55,2)</f>
        <v>0</v>
      </c>
      <c r="DI55">
        <f>ROUND(AH55*CX55,2)</f>
        <v>0</v>
      </c>
      <c r="DJ55">
        <f>DF55</f>
        <v>764.16</v>
      </c>
      <c r="DK55">
        <v>0</v>
      </c>
      <c r="DL55" t="s">
        <v>3</v>
      </c>
      <c r="DM55">
        <v>0</v>
      </c>
      <c r="DN55" t="s">
        <v>3</v>
      </c>
      <c r="DO55">
        <v>0</v>
      </c>
    </row>
    <row r="56" spans="1:119" x14ac:dyDescent="0.2">
      <c r="A56">
        <f>ROW(Source!A75)</f>
        <v>75</v>
      </c>
      <c r="B56">
        <v>143120906</v>
      </c>
      <c r="C56">
        <v>143126932</v>
      </c>
      <c r="D56">
        <v>140804938</v>
      </c>
      <c r="E56">
        <v>1</v>
      </c>
      <c r="F56">
        <v>1</v>
      </c>
      <c r="G56">
        <v>1</v>
      </c>
      <c r="H56">
        <v>3</v>
      </c>
      <c r="I56" t="s">
        <v>175</v>
      </c>
      <c r="J56" t="s">
        <v>178</v>
      </c>
      <c r="K56" t="s">
        <v>176</v>
      </c>
      <c r="L56">
        <v>1346</v>
      </c>
      <c r="N56">
        <v>1009</v>
      </c>
      <c r="O56" t="s">
        <v>177</v>
      </c>
      <c r="P56" t="s">
        <v>177</v>
      </c>
      <c r="Q56">
        <v>1</v>
      </c>
      <c r="W56">
        <v>1</v>
      </c>
      <c r="X56">
        <v>-834770080</v>
      </c>
      <c r="Y56">
        <f>AT56</f>
        <v>-1930</v>
      </c>
      <c r="AA56">
        <v>60.64</v>
      </c>
      <c r="AB56">
        <v>0</v>
      </c>
      <c r="AC56">
        <v>0</v>
      </c>
      <c r="AD56">
        <v>0</v>
      </c>
      <c r="AE56">
        <v>7.59</v>
      </c>
      <c r="AF56">
        <v>0</v>
      </c>
      <c r="AG56">
        <v>0</v>
      </c>
      <c r="AH56">
        <v>0</v>
      </c>
      <c r="AI56">
        <v>7.99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-1930</v>
      </c>
      <c r="AU56" t="s">
        <v>3</v>
      </c>
      <c r="AV56">
        <v>0</v>
      </c>
      <c r="AW56">
        <v>2</v>
      </c>
      <c r="AX56">
        <v>143126939</v>
      </c>
      <c r="AY56">
        <v>1</v>
      </c>
      <c r="AZ56">
        <v>6144</v>
      </c>
      <c r="BA56">
        <v>70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ROUND(Y56*Source!I75,9)</f>
        <v>-38.6</v>
      </c>
      <c r="CY56">
        <f>AA56</f>
        <v>60.64</v>
      </c>
      <c r="CZ56">
        <f>AE56</f>
        <v>7.59</v>
      </c>
      <c r="DA56">
        <f>AI56</f>
        <v>7.99</v>
      </c>
      <c r="DB56">
        <f>ROUND(ROUND(AT56*CZ56,2),2)</f>
        <v>-14648.7</v>
      </c>
      <c r="DC56">
        <f>ROUND(ROUND(AT56*AG56,2),2)</f>
        <v>0</v>
      </c>
      <c r="DD56" t="s">
        <v>3</v>
      </c>
      <c r="DE56" t="s">
        <v>3</v>
      </c>
      <c r="DF56">
        <f>ROUND(ROUND(AE56*CX56,2)*AI56,2)</f>
        <v>-2340.83</v>
      </c>
      <c r="DG56">
        <f>ROUND(AF56*CX56,2)</f>
        <v>0</v>
      </c>
      <c r="DH56">
        <f>ROUND(AG56*CX56,2)</f>
        <v>0</v>
      </c>
      <c r="DI56">
        <f>ROUND(AH56*CX56,2)</f>
        <v>0</v>
      </c>
      <c r="DJ56">
        <f>DF56</f>
        <v>-2340.83</v>
      </c>
      <c r="DK56">
        <v>0</v>
      </c>
      <c r="DL56" t="s">
        <v>3</v>
      </c>
      <c r="DM56">
        <v>0</v>
      </c>
      <c r="DN56" t="s">
        <v>3</v>
      </c>
      <c r="DO56">
        <v>0</v>
      </c>
    </row>
    <row r="57" spans="1:119" x14ac:dyDescent="0.2">
      <c r="A57">
        <f>ROW(Source!A78)</f>
        <v>78</v>
      </c>
      <c r="B57">
        <v>143120906</v>
      </c>
      <c r="C57">
        <v>143126956</v>
      </c>
      <c r="D57">
        <v>140755439</v>
      </c>
      <c r="E57">
        <v>70</v>
      </c>
      <c r="F57">
        <v>1</v>
      </c>
      <c r="G57">
        <v>1</v>
      </c>
      <c r="H57">
        <v>1</v>
      </c>
      <c r="I57" t="s">
        <v>372</v>
      </c>
      <c r="J57" t="s">
        <v>3</v>
      </c>
      <c r="K57" t="s">
        <v>373</v>
      </c>
      <c r="L57">
        <v>1191</v>
      </c>
      <c r="N57">
        <v>1013</v>
      </c>
      <c r="O57" t="s">
        <v>374</v>
      </c>
      <c r="P57" t="s">
        <v>374</v>
      </c>
      <c r="Q57">
        <v>1</v>
      </c>
      <c r="W57">
        <v>0</v>
      </c>
      <c r="X57">
        <v>-1810713292</v>
      </c>
      <c r="Y57">
        <f>((AT57*1.15)*1.2)</f>
        <v>521.87459999999999</v>
      </c>
      <c r="AA57">
        <v>0</v>
      </c>
      <c r="AB57">
        <v>0</v>
      </c>
      <c r="AC57">
        <v>0</v>
      </c>
      <c r="AD57">
        <v>256.49</v>
      </c>
      <c r="AE57">
        <v>0</v>
      </c>
      <c r="AF57">
        <v>0</v>
      </c>
      <c r="AG57">
        <v>0</v>
      </c>
      <c r="AH57">
        <v>9.18</v>
      </c>
      <c r="AI57">
        <v>1</v>
      </c>
      <c r="AJ57">
        <v>1</v>
      </c>
      <c r="AK57">
        <v>1</v>
      </c>
      <c r="AL57">
        <v>27.94</v>
      </c>
      <c r="AN57">
        <v>0</v>
      </c>
      <c r="AO57">
        <v>1</v>
      </c>
      <c r="AP57">
        <v>1</v>
      </c>
      <c r="AQ57">
        <v>0</v>
      </c>
      <c r="AR57">
        <v>0</v>
      </c>
      <c r="AS57" t="s">
        <v>3</v>
      </c>
      <c r="AT57">
        <v>378.17</v>
      </c>
      <c r="AU57" t="s">
        <v>17</v>
      </c>
      <c r="AV57">
        <v>1</v>
      </c>
      <c r="AW57">
        <v>2</v>
      </c>
      <c r="AX57">
        <v>143126968</v>
      </c>
      <c r="AY57">
        <v>1</v>
      </c>
      <c r="AZ57">
        <v>2048</v>
      </c>
      <c r="BA57">
        <v>71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ROUND(Y57*Source!I78,9)</f>
        <v>215.53420980000001</v>
      </c>
      <c r="CY57">
        <f>AD57</f>
        <v>256.49</v>
      </c>
      <c r="CZ57">
        <f>AH57</f>
        <v>9.18</v>
      </c>
      <c r="DA57">
        <f>AL57</f>
        <v>27.94</v>
      </c>
      <c r="DB57">
        <f>ROUND(((ROUND(AT57*CZ57,2)*1.15)*1.2),2)</f>
        <v>4790.8100000000004</v>
      </c>
      <c r="DC57">
        <f>ROUND(((ROUND(AT57*AG57,2)*1.15)*1.2),2)</f>
        <v>0</v>
      </c>
      <c r="DD57" t="s">
        <v>3</v>
      </c>
      <c r="DE57" t="s">
        <v>3</v>
      </c>
      <c r="DF57">
        <f t="shared" ref="DF57:DF62" si="30">ROUND(AE57*CX57,2)</f>
        <v>0</v>
      </c>
      <c r="DG57">
        <f>ROUND(AF57*CX57,2)</f>
        <v>0</v>
      </c>
      <c r="DH57">
        <f>ROUND(AG57*CX57,2)</f>
        <v>0</v>
      </c>
      <c r="DI57">
        <f>ROUND(ROUND(AH57*CX57,2)*AL57,2)</f>
        <v>55282.080000000002</v>
      </c>
      <c r="DJ57">
        <f>DI57</f>
        <v>55282.080000000002</v>
      </c>
      <c r="DK57">
        <v>0</v>
      </c>
      <c r="DL57" t="s">
        <v>3</v>
      </c>
      <c r="DM57">
        <v>0</v>
      </c>
      <c r="DN57" t="s">
        <v>3</v>
      </c>
      <c r="DO57">
        <v>0</v>
      </c>
    </row>
    <row r="58" spans="1:119" x14ac:dyDescent="0.2">
      <c r="A58">
        <f>ROW(Source!A78)</f>
        <v>78</v>
      </c>
      <c r="B58">
        <v>143120906</v>
      </c>
      <c r="C58">
        <v>143126956</v>
      </c>
      <c r="D58">
        <v>140755491</v>
      </c>
      <c r="E58">
        <v>70</v>
      </c>
      <c r="F58">
        <v>1</v>
      </c>
      <c r="G58">
        <v>1</v>
      </c>
      <c r="H58">
        <v>1</v>
      </c>
      <c r="I58" t="s">
        <v>375</v>
      </c>
      <c r="J58" t="s">
        <v>3</v>
      </c>
      <c r="K58" t="s">
        <v>376</v>
      </c>
      <c r="L58">
        <v>1191</v>
      </c>
      <c r="N58">
        <v>1013</v>
      </c>
      <c r="O58" t="s">
        <v>374</v>
      </c>
      <c r="P58" t="s">
        <v>374</v>
      </c>
      <c r="Q58">
        <v>1</v>
      </c>
      <c r="W58">
        <v>0</v>
      </c>
      <c r="X58">
        <v>-1417349443</v>
      </c>
      <c r="Y58">
        <f>((AT58*1.25)*1.2)</f>
        <v>3.4349999999999996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27.94</v>
      </c>
      <c r="AL58">
        <v>1</v>
      </c>
      <c r="AN58">
        <v>0</v>
      </c>
      <c r="AO58">
        <v>1</v>
      </c>
      <c r="AP58">
        <v>1</v>
      </c>
      <c r="AQ58">
        <v>0</v>
      </c>
      <c r="AR58">
        <v>0</v>
      </c>
      <c r="AS58" t="s">
        <v>3</v>
      </c>
      <c r="AT58">
        <v>2.29</v>
      </c>
      <c r="AU58" t="s">
        <v>16</v>
      </c>
      <c r="AV58">
        <v>2</v>
      </c>
      <c r="AW58">
        <v>2</v>
      </c>
      <c r="AX58">
        <v>143126969</v>
      </c>
      <c r="AY58">
        <v>1</v>
      </c>
      <c r="AZ58">
        <v>2048</v>
      </c>
      <c r="BA58">
        <v>72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ROUND(Y58*Source!I78,9)</f>
        <v>1.418655</v>
      </c>
      <c r="CY58">
        <f>AD58</f>
        <v>0</v>
      </c>
      <c r="CZ58">
        <f>AH58</f>
        <v>0</v>
      </c>
      <c r="DA58">
        <f>AL58</f>
        <v>1</v>
      </c>
      <c r="DB58">
        <f>ROUND(((ROUND(AT58*CZ58,2)*1.25)*1.2),2)</f>
        <v>0</v>
      </c>
      <c r="DC58">
        <f>ROUND(((ROUND(AT58*AG58,2)*1.25)*1.2),2)</f>
        <v>0</v>
      </c>
      <c r="DD58" t="s">
        <v>3</v>
      </c>
      <c r="DE58" t="s">
        <v>3</v>
      </c>
      <c r="DF58">
        <f t="shared" si="30"/>
        <v>0</v>
      </c>
      <c r="DG58">
        <f>ROUND(AF58*CX58,2)</f>
        <v>0</v>
      </c>
      <c r="DH58">
        <f>ROUND(ROUND(AG58*CX58,2)*AK58,2)</f>
        <v>0</v>
      </c>
      <c r="DI58">
        <f t="shared" ref="DI58:DI64" si="31">ROUND(AH58*CX58,2)</f>
        <v>0</v>
      </c>
      <c r="DJ58">
        <f>DI58</f>
        <v>0</v>
      </c>
      <c r="DK58">
        <v>0</v>
      </c>
      <c r="DL58" t="s">
        <v>3</v>
      </c>
      <c r="DM58">
        <v>0</v>
      </c>
      <c r="DN58" t="s">
        <v>3</v>
      </c>
      <c r="DO58">
        <v>0</v>
      </c>
    </row>
    <row r="59" spans="1:119" x14ac:dyDescent="0.2">
      <c r="A59">
        <f>ROW(Source!A78)</f>
        <v>78</v>
      </c>
      <c r="B59">
        <v>143120906</v>
      </c>
      <c r="C59">
        <v>143126956</v>
      </c>
      <c r="D59">
        <v>140922892</v>
      </c>
      <c r="E59">
        <v>1</v>
      </c>
      <c r="F59">
        <v>1</v>
      </c>
      <c r="G59">
        <v>1</v>
      </c>
      <c r="H59">
        <v>2</v>
      </c>
      <c r="I59" t="s">
        <v>377</v>
      </c>
      <c r="J59" t="s">
        <v>378</v>
      </c>
      <c r="K59" t="s">
        <v>379</v>
      </c>
      <c r="L59">
        <v>1367</v>
      </c>
      <c r="N59">
        <v>1011</v>
      </c>
      <c r="O59" t="s">
        <v>380</v>
      </c>
      <c r="P59" t="s">
        <v>380</v>
      </c>
      <c r="Q59">
        <v>1</v>
      </c>
      <c r="W59">
        <v>0</v>
      </c>
      <c r="X59">
        <v>-1799663302</v>
      </c>
      <c r="Y59">
        <f>((AT59*1.25)*1.2)</f>
        <v>0.51</v>
      </c>
      <c r="AA59">
        <v>0</v>
      </c>
      <c r="AB59">
        <v>921.9</v>
      </c>
      <c r="AC59">
        <v>377.19</v>
      </c>
      <c r="AD59">
        <v>0</v>
      </c>
      <c r="AE59">
        <v>0</v>
      </c>
      <c r="AF59">
        <v>83.43</v>
      </c>
      <c r="AG59">
        <v>13.5</v>
      </c>
      <c r="AH59">
        <v>0</v>
      </c>
      <c r="AI59">
        <v>1</v>
      </c>
      <c r="AJ59">
        <v>11.05</v>
      </c>
      <c r="AK59">
        <v>27.94</v>
      </c>
      <c r="AL59">
        <v>1</v>
      </c>
      <c r="AN59">
        <v>0</v>
      </c>
      <c r="AO59">
        <v>1</v>
      </c>
      <c r="AP59">
        <v>1</v>
      </c>
      <c r="AQ59">
        <v>0</v>
      </c>
      <c r="AR59">
        <v>0</v>
      </c>
      <c r="AS59" t="s">
        <v>3</v>
      </c>
      <c r="AT59">
        <v>0.34</v>
      </c>
      <c r="AU59" t="s">
        <v>16</v>
      </c>
      <c r="AV59">
        <v>0</v>
      </c>
      <c r="AW59">
        <v>2</v>
      </c>
      <c r="AX59">
        <v>143126970</v>
      </c>
      <c r="AY59">
        <v>1</v>
      </c>
      <c r="AZ59">
        <v>2048</v>
      </c>
      <c r="BA59">
        <v>73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ROUND(Y59*Source!I78,9)</f>
        <v>0.21063000000000001</v>
      </c>
      <c r="CY59">
        <f>AB59</f>
        <v>921.9</v>
      </c>
      <c r="CZ59">
        <f>AF59</f>
        <v>83.43</v>
      </c>
      <c r="DA59">
        <f>AJ59</f>
        <v>11.05</v>
      </c>
      <c r="DB59">
        <f>ROUND(((ROUND(AT59*CZ59,2)*1.25)*1.2),2)</f>
        <v>42.56</v>
      </c>
      <c r="DC59">
        <f>ROUND(((ROUND(AT59*AG59,2)*1.25)*1.2),2)</f>
        <v>6.89</v>
      </c>
      <c r="DD59" t="s">
        <v>3</v>
      </c>
      <c r="DE59" t="s">
        <v>3</v>
      </c>
      <c r="DF59">
        <f t="shared" si="30"/>
        <v>0</v>
      </c>
      <c r="DG59">
        <f>ROUND(ROUND(AF59*CX59,2)*AJ59,2)</f>
        <v>194.15</v>
      </c>
      <c r="DH59">
        <f>ROUND(ROUND(AG59*CX59,2)*AK59,2)</f>
        <v>79.349999999999994</v>
      </c>
      <c r="DI59">
        <f t="shared" si="31"/>
        <v>0</v>
      </c>
      <c r="DJ59">
        <f>DG59</f>
        <v>194.15</v>
      </c>
      <c r="DK59">
        <v>0</v>
      </c>
      <c r="DL59" t="s">
        <v>3</v>
      </c>
      <c r="DM59">
        <v>0</v>
      </c>
      <c r="DN59" t="s">
        <v>3</v>
      </c>
      <c r="DO59">
        <v>0</v>
      </c>
    </row>
    <row r="60" spans="1:119" x14ac:dyDescent="0.2">
      <c r="A60">
        <f>ROW(Source!A78)</f>
        <v>78</v>
      </c>
      <c r="B60">
        <v>143120906</v>
      </c>
      <c r="C60">
        <v>143126956</v>
      </c>
      <c r="D60">
        <v>140922951</v>
      </c>
      <c r="E60">
        <v>1</v>
      </c>
      <c r="F60">
        <v>1</v>
      </c>
      <c r="G60">
        <v>1</v>
      </c>
      <c r="H60">
        <v>2</v>
      </c>
      <c r="I60" t="s">
        <v>381</v>
      </c>
      <c r="J60" t="s">
        <v>382</v>
      </c>
      <c r="K60" t="s">
        <v>383</v>
      </c>
      <c r="L60">
        <v>1367</v>
      </c>
      <c r="N60">
        <v>1011</v>
      </c>
      <c r="O60" t="s">
        <v>380</v>
      </c>
      <c r="P60" t="s">
        <v>380</v>
      </c>
      <c r="Q60">
        <v>1</v>
      </c>
      <c r="W60">
        <v>0</v>
      </c>
      <c r="X60">
        <v>-430484415</v>
      </c>
      <c r="Y60">
        <f>((AT60*1.25)*1.2)</f>
        <v>0.19500000000000001</v>
      </c>
      <c r="AA60">
        <v>0</v>
      </c>
      <c r="AB60">
        <v>1275.17</v>
      </c>
      <c r="AC60">
        <v>377.19</v>
      </c>
      <c r="AD60">
        <v>0</v>
      </c>
      <c r="AE60">
        <v>0</v>
      </c>
      <c r="AF60">
        <v>115.4</v>
      </c>
      <c r="AG60">
        <v>13.5</v>
      </c>
      <c r="AH60">
        <v>0</v>
      </c>
      <c r="AI60">
        <v>1</v>
      </c>
      <c r="AJ60">
        <v>11.05</v>
      </c>
      <c r="AK60">
        <v>27.94</v>
      </c>
      <c r="AL60">
        <v>1</v>
      </c>
      <c r="AN60">
        <v>0</v>
      </c>
      <c r="AO60">
        <v>1</v>
      </c>
      <c r="AP60">
        <v>1</v>
      </c>
      <c r="AQ60">
        <v>0</v>
      </c>
      <c r="AR60">
        <v>0</v>
      </c>
      <c r="AS60" t="s">
        <v>3</v>
      </c>
      <c r="AT60">
        <v>0.13</v>
      </c>
      <c r="AU60" t="s">
        <v>16</v>
      </c>
      <c r="AV60">
        <v>0</v>
      </c>
      <c r="AW60">
        <v>2</v>
      </c>
      <c r="AX60">
        <v>143126971</v>
      </c>
      <c r="AY60">
        <v>1</v>
      </c>
      <c r="AZ60">
        <v>2048</v>
      </c>
      <c r="BA60">
        <v>74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ROUND(Y60*Source!I78,9)</f>
        <v>8.0534999999999995E-2</v>
      </c>
      <c r="CY60">
        <f>AB60</f>
        <v>1275.17</v>
      </c>
      <c r="CZ60">
        <f>AF60</f>
        <v>115.4</v>
      </c>
      <c r="DA60">
        <f>AJ60</f>
        <v>11.05</v>
      </c>
      <c r="DB60">
        <f>ROUND(((ROUND(AT60*CZ60,2)*1.25)*1.2),2)</f>
        <v>22.5</v>
      </c>
      <c r="DC60">
        <f>ROUND(((ROUND(AT60*AG60,2)*1.25)*1.2),2)</f>
        <v>2.64</v>
      </c>
      <c r="DD60" t="s">
        <v>3</v>
      </c>
      <c r="DE60" t="s">
        <v>3</v>
      </c>
      <c r="DF60">
        <f t="shared" si="30"/>
        <v>0</v>
      </c>
      <c r="DG60">
        <f>ROUND(ROUND(AF60*CX60,2)*AJ60,2)</f>
        <v>102.65</v>
      </c>
      <c r="DH60">
        <f>ROUND(ROUND(AG60*CX60,2)*AK60,2)</f>
        <v>30.45</v>
      </c>
      <c r="DI60">
        <f t="shared" si="31"/>
        <v>0</v>
      </c>
      <c r="DJ60">
        <f>DG60</f>
        <v>102.65</v>
      </c>
      <c r="DK60">
        <v>0</v>
      </c>
      <c r="DL60" t="s">
        <v>3</v>
      </c>
      <c r="DM60">
        <v>0</v>
      </c>
      <c r="DN60" t="s">
        <v>3</v>
      </c>
      <c r="DO60">
        <v>0</v>
      </c>
    </row>
    <row r="61" spans="1:119" x14ac:dyDescent="0.2">
      <c r="A61">
        <f>ROW(Source!A78)</f>
        <v>78</v>
      </c>
      <c r="B61">
        <v>143120906</v>
      </c>
      <c r="C61">
        <v>143126956</v>
      </c>
      <c r="D61">
        <v>140923268</v>
      </c>
      <c r="E61">
        <v>1</v>
      </c>
      <c r="F61">
        <v>1</v>
      </c>
      <c r="G61">
        <v>1</v>
      </c>
      <c r="H61">
        <v>2</v>
      </c>
      <c r="I61" t="s">
        <v>384</v>
      </c>
      <c r="J61" t="s">
        <v>385</v>
      </c>
      <c r="K61" t="s">
        <v>386</v>
      </c>
      <c r="L61">
        <v>1367</v>
      </c>
      <c r="N61">
        <v>1011</v>
      </c>
      <c r="O61" t="s">
        <v>380</v>
      </c>
      <c r="P61" t="s">
        <v>380</v>
      </c>
      <c r="Q61">
        <v>1</v>
      </c>
      <c r="W61">
        <v>0</v>
      </c>
      <c r="X61">
        <v>1385328552</v>
      </c>
      <c r="Y61">
        <f>((AT61*1.25)*1.2)</f>
        <v>2.5349999999999997</v>
      </c>
      <c r="AA61">
        <v>0</v>
      </c>
      <c r="AB61">
        <v>136.91</v>
      </c>
      <c r="AC61">
        <v>281.08</v>
      </c>
      <c r="AD61">
        <v>0</v>
      </c>
      <c r="AE61">
        <v>0</v>
      </c>
      <c r="AF61">
        <v>12.39</v>
      </c>
      <c r="AG61">
        <v>10.06</v>
      </c>
      <c r="AH61">
        <v>0</v>
      </c>
      <c r="AI61">
        <v>1</v>
      </c>
      <c r="AJ61">
        <v>11.05</v>
      </c>
      <c r="AK61">
        <v>27.94</v>
      </c>
      <c r="AL61">
        <v>1</v>
      </c>
      <c r="AN61">
        <v>0</v>
      </c>
      <c r="AO61">
        <v>1</v>
      </c>
      <c r="AP61">
        <v>1</v>
      </c>
      <c r="AQ61">
        <v>0</v>
      </c>
      <c r="AR61">
        <v>0</v>
      </c>
      <c r="AS61" t="s">
        <v>3</v>
      </c>
      <c r="AT61">
        <v>1.69</v>
      </c>
      <c r="AU61" t="s">
        <v>16</v>
      </c>
      <c r="AV61">
        <v>0</v>
      </c>
      <c r="AW61">
        <v>2</v>
      </c>
      <c r="AX61">
        <v>143126972</v>
      </c>
      <c r="AY61">
        <v>1</v>
      </c>
      <c r="AZ61">
        <v>2048</v>
      </c>
      <c r="BA61">
        <v>75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ROUND(Y61*Source!I78,9)</f>
        <v>1.0469550000000001</v>
      </c>
      <c r="CY61">
        <f>AB61</f>
        <v>136.91</v>
      </c>
      <c r="CZ61">
        <f>AF61</f>
        <v>12.39</v>
      </c>
      <c r="DA61">
        <f>AJ61</f>
        <v>11.05</v>
      </c>
      <c r="DB61">
        <f>ROUND(((ROUND(AT61*CZ61,2)*1.25)*1.2),2)</f>
        <v>31.41</v>
      </c>
      <c r="DC61">
        <f>ROUND(((ROUND(AT61*AG61,2)*1.25)*1.2),2)</f>
        <v>25.5</v>
      </c>
      <c r="DD61" t="s">
        <v>3</v>
      </c>
      <c r="DE61" t="s">
        <v>3</v>
      </c>
      <c r="DF61">
        <f t="shared" si="30"/>
        <v>0</v>
      </c>
      <c r="DG61">
        <f>ROUND(ROUND(AF61*CX61,2)*AJ61,2)</f>
        <v>143.32</v>
      </c>
      <c r="DH61">
        <f>ROUND(ROUND(AG61*CX61,2)*AK61,2)</f>
        <v>294.20999999999998</v>
      </c>
      <c r="DI61">
        <f t="shared" si="31"/>
        <v>0</v>
      </c>
      <c r="DJ61">
        <f>DG61</f>
        <v>143.32</v>
      </c>
      <c r="DK61">
        <v>0</v>
      </c>
      <c r="DL61" t="s">
        <v>3</v>
      </c>
      <c r="DM61">
        <v>0</v>
      </c>
      <c r="DN61" t="s">
        <v>3</v>
      </c>
      <c r="DO61">
        <v>0</v>
      </c>
    </row>
    <row r="62" spans="1:119" x14ac:dyDescent="0.2">
      <c r="A62">
        <f>ROW(Source!A78)</f>
        <v>78</v>
      </c>
      <c r="B62">
        <v>143120906</v>
      </c>
      <c r="C62">
        <v>143126956</v>
      </c>
      <c r="D62">
        <v>140923885</v>
      </c>
      <c r="E62">
        <v>1</v>
      </c>
      <c r="F62">
        <v>1</v>
      </c>
      <c r="G62">
        <v>1</v>
      </c>
      <c r="H62">
        <v>2</v>
      </c>
      <c r="I62" t="s">
        <v>387</v>
      </c>
      <c r="J62" t="s">
        <v>388</v>
      </c>
      <c r="K62" t="s">
        <v>389</v>
      </c>
      <c r="L62">
        <v>1367</v>
      </c>
      <c r="N62">
        <v>1011</v>
      </c>
      <c r="O62" t="s">
        <v>380</v>
      </c>
      <c r="P62" t="s">
        <v>380</v>
      </c>
      <c r="Q62">
        <v>1</v>
      </c>
      <c r="W62">
        <v>0</v>
      </c>
      <c r="X62">
        <v>509054691</v>
      </c>
      <c r="Y62">
        <f>((AT62*1.25)*1.2)</f>
        <v>0.19500000000000001</v>
      </c>
      <c r="AA62">
        <v>0</v>
      </c>
      <c r="AB62">
        <v>726.1</v>
      </c>
      <c r="AC62">
        <v>324.10000000000002</v>
      </c>
      <c r="AD62">
        <v>0</v>
      </c>
      <c r="AE62">
        <v>0</v>
      </c>
      <c r="AF62">
        <v>65.709999999999994</v>
      </c>
      <c r="AG62">
        <v>11.6</v>
      </c>
      <c r="AH62">
        <v>0</v>
      </c>
      <c r="AI62">
        <v>1</v>
      </c>
      <c r="AJ62">
        <v>11.05</v>
      </c>
      <c r="AK62">
        <v>27.94</v>
      </c>
      <c r="AL62">
        <v>1</v>
      </c>
      <c r="AN62">
        <v>0</v>
      </c>
      <c r="AO62">
        <v>1</v>
      </c>
      <c r="AP62">
        <v>1</v>
      </c>
      <c r="AQ62">
        <v>0</v>
      </c>
      <c r="AR62">
        <v>0</v>
      </c>
      <c r="AS62" t="s">
        <v>3</v>
      </c>
      <c r="AT62">
        <v>0.13</v>
      </c>
      <c r="AU62" t="s">
        <v>16</v>
      </c>
      <c r="AV62">
        <v>0</v>
      </c>
      <c r="AW62">
        <v>2</v>
      </c>
      <c r="AX62">
        <v>143126973</v>
      </c>
      <c r="AY62">
        <v>1</v>
      </c>
      <c r="AZ62">
        <v>2048</v>
      </c>
      <c r="BA62">
        <v>76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ROUND(Y62*Source!I78,9)</f>
        <v>8.0534999999999995E-2</v>
      </c>
      <c r="CY62">
        <f>AB62</f>
        <v>726.1</v>
      </c>
      <c r="CZ62">
        <f>AF62</f>
        <v>65.709999999999994</v>
      </c>
      <c r="DA62">
        <f>AJ62</f>
        <v>11.05</v>
      </c>
      <c r="DB62">
        <f>ROUND(((ROUND(AT62*CZ62,2)*1.25)*1.2),2)</f>
        <v>12.81</v>
      </c>
      <c r="DC62">
        <f>ROUND(((ROUND(AT62*AG62,2)*1.25)*1.2),2)</f>
        <v>2.27</v>
      </c>
      <c r="DD62" t="s">
        <v>3</v>
      </c>
      <c r="DE62" t="s">
        <v>3</v>
      </c>
      <c r="DF62">
        <f t="shared" si="30"/>
        <v>0</v>
      </c>
      <c r="DG62">
        <f>ROUND(ROUND(AF62*CX62,2)*AJ62,2)</f>
        <v>58.45</v>
      </c>
      <c r="DH62">
        <f>ROUND(ROUND(AG62*CX62,2)*AK62,2)</f>
        <v>25.98</v>
      </c>
      <c r="DI62">
        <f t="shared" si="31"/>
        <v>0</v>
      </c>
      <c r="DJ62">
        <f>DG62</f>
        <v>58.45</v>
      </c>
      <c r="DK62">
        <v>0</v>
      </c>
      <c r="DL62" t="s">
        <v>3</v>
      </c>
      <c r="DM62">
        <v>0</v>
      </c>
      <c r="DN62" t="s">
        <v>3</v>
      </c>
      <c r="DO62">
        <v>0</v>
      </c>
    </row>
    <row r="63" spans="1:119" x14ac:dyDescent="0.2">
      <c r="A63">
        <f>ROW(Source!A78)</f>
        <v>78</v>
      </c>
      <c r="B63">
        <v>143120906</v>
      </c>
      <c r="C63">
        <v>143126956</v>
      </c>
      <c r="D63">
        <v>140772680</v>
      </c>
      <c r="E63">
        <v>1</v>
      </c>
      <c r="F63">
        <v>1</v>
      </c>
      <c r="G63">
        <v>1</v>
      </c>
      <c r="H63">
        <v>3</v>
      </c>
      <c r="I63" t="s">
        <v>390</v>
      </c>
      <c r="J63" t="s">
        <v>391</v>
      </c>
      <c r="K63" t="s">
        <v>392</v>
      </c>
      <c r="L63">
        <v>1339</v>
      </c>
      <c r="N63">
        <v>1007</v>
      </c>
      <c r="O63" t="s">
        <v>149</v>
      </c>
      <c r="P63" t="s">
        <v>149</v>
      </c>
      <c r="Q63">
        <v>1</v>
      </c>
      <c r="W63">
        <v>0</v>
      </c>
      <c r="X63">
        <v>-143474561</v>
      </c>
      <c r="Y63">
        <f>AT63</f>
        <v>0.45</v>
      </c>
      <c r="AA63">
        <v>19.5</v>
      </c>
      <c r="AB63">
        <v>0</v>
      </c>
      <c r="AC63">
        <v>0</v>
      </c>
      <c r="AD63">
        <v>0</v>
      </c>
      <c r="AE63">
        <v>2.44</v>
      </c>
      <c r="AF63">
        <v>0</v>
      </c>
      <c r="AG63">
        <v>0</v>
      </c>
      <c r="AH63">
        <v>0</v>
      </c>
      <c r="AI63">
        <v>7.99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1</v>
      </c>
      <c r="AQ63">
        <v>0</v>
      </c>
      <c r="AR63">
        <v>0</v>
      </c>
      <c r="AS63" t="s">
        <v>3</v>
      </c>
      <c r="AT63">
        <v>0.45</v>
      </c>
      <c r="AU63" t="s">
        <v>3</v>
      </c>
      <c r="AV63">
        <v>0</v>
      </c>
      <c r="AW63">
        <v>2</v>
      </c>
      <c r="AX63">
        <v>143126974</v>
      </c>
      <c r="AY63">
        <v>1</v>
      </c>
      <c r="AZ63">
        <v>0</v>
      </c>
      <c r="BA63">
        <v>77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ROUND(Y63*Source!I78,9)</f>
        <v>0.18584999999999999</v>
      </c>
      <c r="CY63">
        <f>AA63</f>
        <v>19.5</v>
      </c>
      <c r="CZ63">
        <f>AE63</f>
        <v>2.44</v>
      </c>
      <c r="DA63">
        <f>AI63</f>
        <v>7.99</v>
      </c>
      <c r="DB63">
        <f>ROUND(ROUND(AT63*CZ63,2),2)</f>
        <v>1.1000000000000001</v>
      </c>
      <c r="DC63">
        <f>ROUND(ROUND(AT63*AG63,2),2)</f>
        <v>0</v>
      </c>
      <c r="DD63" t="s">
        <v>3</v>
      </c>
      <c r="DE63" t="s">
        <v>3</v>
      </c>
      <c r="DF63">
        <f>ROUND(ROUND(AE63*CX63,2)*AI63,2)</f>
        <v>3.6</v>
      </c>
      <c r="DG63">
        <f>ROUND(AF63*CX63,2)</f>
        <v>0</v>
      </c>
      <c r="DH63">
        <f>ROUND(AG63*CX63,2)</f>
        <v>0</v>
      </c>
      <c r="DI63">
        <f t="shared" si="31"/>
        <v>0</v>
      </c>
      <c r="DJ63">
        <f>DF63</f>
        <v>3.6</v>
      </c>
      <c r="DK63">
        <v>0</v>
      </c>
      <c r="DL63" t="s">
        <v>3</v>
      </c>
      <c r="DM63">
        <v>0</v>
      </c>
      <c r="DN63" t="s">
        <v>3</v>
      </c>
      <c r="DO63">
        <v>0</v>
      </c>
    </row>
    <row r="64" spans="1:119" x14ac:dyDescent="0.2">
      <c r="A64">
        <f>ROW(Source!A78)</f>
        <v>78</v>
      </c>
      <c r="B64">
        <v>143120906</v>
      </c>
      <c r="C64">
        <v>143126956</v>
      </c>
      <c r="D64">
        <v>140778268</v>
      </c>
      <c r="E64">
        <v>1</v>
      </c>
      <c r="F64">
        <v>1</v>
      </c>
      <c r="G64">
        <v>1</v>
      </c>
      <c r="H64">
        <v>3</v>
      </c>
      <c r="I64" t="s">
        <v>393</v>
      </c>
      <c r="J64" t="s">
        <v>394</v>
      </c>
      <c r="K64" t="s">
        <v>395</v>
      </c>
      <c r="L64">
        <v>1348</v>
      </c>
      <c r="N64">
        <v>1009</v>
      </c>
      <c r="O64" t="s">
        <v>199</v>
      </c>
      <c r="P64" t="s">
        <v>199</v>
      </c>
      <c r="Q64">
        <v>1000</v>
      </c>
      <c r="W64">
        <v>0</v>
      </c>
      <c r="X64">
        <v>-1724628855</v>
      </c>
      <c r="Y64">
        <f>AT64</f>
        <v>2.1000000000000001E-2</v>
      </c>
      <c r="AA64">
        <v>52038.87</v>
      </c>
      <c r="AB64">
        <v>0</v>
      </c>
      <c r="AC64">
        <v>0</v>
      </c>
      <c r="AD64">
        <v>0</v>
      </c>
      <c r="AE64">
        <v>6513</v>
      </c>
      <c r="AF64">
        <v>0</v>
      </c>
      <c r="AG64">
        <v>0</v>
      </c>
      <c r="AH64">
        <v>0</v>
      </c>
      <c r="AI64">
        <v>7.99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1</v>
      </c>
      <c r="AQ64">
        <v>0</v>
      </c>
      <c r="AR64">
        <v>0</v>
      </c>
      <c r="AS64" t="s">
        <v>3</v>
      </c>
      <c r="AT64">
        <v>2.1000000000000001E-2</v>
      </c>
      <c r="AU64" t="s">
        <v>3</v>
      </c>
      <c r="AV64">
        <v>0</v>
      </c>
      <c r="AW64">
        <v>2</v>
      </c>
      <c r="AX64">
        <v>143126975</v>
      </c>
      <c r="AY64">
        <v>1</v>
      </c>
      <c r="AZ64">
        <v>0</v>
      </c>
      <c r="BA64">
        <v>78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ROUND(Y64*Source!I78,9)</f>
        <v>8.6730000000000002E-3</v>
      </c>
      <c r="CY64">
        <f>AA64</f>
        <v>52038.87</v>
      </c>
      <c r="CZ64">
        <f>AE64</f>
        <v>6513</v>
      </c>
      <c r="DA64">
        <f>AI64</f>
        <v>7.99</v>
      </c>
      <c r="DB64">
        <f>ROUND(ROUND(AT64*CZ64,2),2)</f>
        <v>136.77000000000001</v>
      </c>
      <c r="DC64">
        <f>ROUND(ROUND(AT64*AG64,2),2)</f>
        <v>0</v>
      </c>
      <c r="DD64" t="s">
        <v>3</v>
      </c>
      <c r="DE64" t="s">
        <v>3</v>
      </c>
      <c r="DF64">
        <f>ROUND(ROUND(AE64*CX64,2)*AI64,2)</f>
        <v>451.36</v>
      </c>
      <c r="DG64">
        <f>ROUND(AF64*CX64,2)</f>
        <v>0</v>
      </c>
      <c r="DH64">
        <f>ROUND(AG64*CX64,2)</f>
        <v>0</v>
      </c>
      <c r="DI64">
        <f t="shared" si="31"/>
        <v>0</v>
      </c>
      <c r="DJ64">
        <f>DF64</f>
        <v>451.36</v>
      </c>
      <c r="DK64">
        <v>0</v>
      </c>
      <c r="DL64" t="s">
        <v>3</v>
      </c>
      <c r="DM64">
        <v>0</v>
      </c>
      <c r="DN64" t="s">
        <v>3</v>
      </c>
      <c r="DO64">
        <v>0</v>
      </c>
    </row>
    <row r="65" spans="1:119" x14ac:dyDescent="0.2">
      <c r="A65">
        <f>ROW(Source!A83)</f>
        <v>83</v>
      </c>
      <c r="B65">
        <v>143120906</v>
      </c>
      <c r="C65">
        <v>143127046</v>
      </c>
      <c r="D65">
        <v>140759988</v>
      </c>
      <c r="E65">
        <v>70</v>
      </c>
      <c r="F65">
        <v>1</v>
      </c>
      <c r="G65">
        <v>1</v>
      </c>
      <c r="H65">
        <v>1</v>
      </c>
      <c r="I65" t="s">
        <v>475</v>
      </c>
      <c r="J65" t="s">
        <v>3</v>
      </c>
      <c r="K65" t="s">
        <v>476</v>
      </c>
      <c r="L65">
        <v>1191</v>
      </c>
      <c r="N65">
        <v>1013</v>
      </c>
      <c r="O65" t="s">
        <v>374</v>
      </c>
      <c r="P65" t="s">
        <v>374</v>
      </c>
      <c r="Q65">
        <v>1</v>
      </c>
      <c r="W65">
        <v>0</v>
      </c>
      <c r="X65">
        <v>-1759674247</v>
      </c>
      <c r="Y65">
        <f>((AT65*1.15)*1.2)</f>
        <v>58.373999999999995</v>
      </c>
      <c r="AA65">
        <v>0</v>
      </c>
      <c r="AB65">
        <v>0</v>
      </c>
      <c r="AC65">
        <v>0</v>
      </c>
      <c r="AD65">
        <v>247.55</v>
      </c>
      <c r="AE65">
        <v>0</v>
      </c>
      <c r="AF65">
        <v>0</v>
      </c>
      <c r="AG65">
        <v>0</v>
      </c>
      <c r="AH65">
        <v>8.86</v>
      </c>
      <c r="AI65">
        <v>1</v>
      </c>
      <c r="AJ65">
        <v>1</v>
      </c>
      <c r="AK65">
        <v>1</v>
      </c>
      <c r="AL65">
        <v>27.94</v>
      </c>
      <c r="AN65">
        <v>0</v>
      </c>
      <c r="AO65">
        <v>1</v>
      </c>
      <c r="AP65">
        <v>1</v>
      </c>
      <c r="AQ65">
        <v>0</v>
      </c>
      <c r="AR65">
        <v>0</v>
      </c>
      <c r="AS65" t="s">
        <v>3</v>
      </c>
      <c r="AT65">
        <v>42.3</v>
      </c>
      <c r="AU65" t="s">
        <v>17</v>
      </c>
      <c r="AV65">
        <v>1</v>
      </c>
      <c r="AW65">
        <v>2</v>
      </c>
      <c r="AX65">
        <v>143127047</v>
      </c>
      <c r="AY65">
        <v>1</v>
      </c>
      <c r="AZ65">
        <v>0</v>
      </c>
      <c r="BA65">
        <v>82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ROUND(Y65*Source!I83,9)</f>
        <v>0.87561</v>
      </c>
      <c r="CY65">
        <f>AD65</f>
        <v>247.55</v>
      </c>
      <c r="CZ65">
        <f>AH65</f>
        <v>8.86</v>
      </c>
      <c r="DA65">
        <f>AL65</f>
        <v>27.94</v>
      </c>
      <c r="DB65">
        <f>ROUND(((ROUND(AT65*CZ65,2)*1.15)*1.2),2)</f>
        <v>517.20000000000005</v>
      </c>
      <c r="DC65">
        <f>ROUND(((ROUND(AT65*AG65,2)*1.15)*1.2),2)</f>
        <v>0</v>
      </c>
      <c r="DD65" t="s">
        <v>3</v>
      </c>
      <c r="DE65" t="s">
        <v>3</v>
      </c>
      <c r="DF65">
        <f>ROUND(AE65*CX65,2)</f>
        <v>0</v>
      </c>
      <c r="DG65">
        <f>ROUND(AF65*CX65,2)</f>
        <v>0</v>
      </c>
      <c r="DH65">
        <f>ROUND(AG65*CX65,2)</f>
        <v>0</v>
      </c>
      <c r="DI65">
        <f>ROUND(ROUND(AH65*CX65,2)*AL65,2)</f>
        <v>216.81</v>
      </c>
      <c r="DJ65">
        <f>DI65</f>
        <v>216.81</v>
      </c>
      <c r="DK65">
        <v>0</v>
      </c>
      <c r="DL65" t="s">
        <v>3</v>
      </c>
      <c r="DM65">
        <v>0</v>
      </c>
      <c r="DN65" t="s">
        <v>3</v>
      </c>
      <c r="DO65">
        <v>0</v>
      </c>
    </row>
    <row r="66" spans="1:119" x14ac:dyDescent="0.2">
      <c r="A66">
        <f>ROW(Source!A83)</f>
        <v>83</v>
      </c>
      <c r="B66">
        <v>143120906</v>
      </c>
      <c r="C66">
        <v>143127046</v>
      </c>
      <c r="D66">
        <v>140760225</v>
      </c>
      <c r="E66">
        <v>70</v>
      </c>
      <c r="F66">
        <v>1</v>
      </c>
      <c r="G66">
        <v>1</v>
      </c>
      <c r="H66">
        <v>1</v>
      </c>
      <c r="I66" t="s">
        <v>375</v>
      </c>
      <c r="J66" t="s">
        <v>3</v>
      </c>
      <c r="K66" t="s">
        <v>376</v>
      </c>
      <c r="L66">
        <v>1191</v>
      </c>
      <c r="N66">
        <v>1013</v>
      </c>
      <c r="O66" t="s">
        <v>374</v>
      </c>
      <c r="P66" t="s">
        <v>374</v>
      </c>
      <c r="Q66">
        <v>1</v>
      </c>
      <c r="W66">
        <v>0</v>
      </c>
      <c r="X66">
        <v>-1417349443</v>
      </c>
      <c r="Y66">
        <f>((AT66*1.25)*1.2)</f>
        <v>3.51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27.94</v>
      </c>
      <c r="AL66">
        <v>1</v>
      </c>
      <c r="AN66">
        <v>0</v>
      </c>
      <c r="AO66">
        <v>1</v>
      </c>
      <c r="AP66">
        <v>1</v>
      </c>
      <c r="AQ66">
        <v>0</v>
      </c>
      <c r="AR66">
        <v>0</v>
      </c>
      <c r="AS66" t="s">
        <v>3</v>
      </c>
      <c r="AT66">
        <v>2.34</v>
      </c>
      <c r="AU66" t="s">
        <v>16</v>
      </c>
      <c r="AV66">
        <v>2</v>
      </c>
      <c r="AW66">
        <v>2</v>
      </c>
      <c r="AX66">
        <v>143127048</v>
      </c>
      <c r="AY66">
        <v>1</v>
      </c>
      <c r="AZ66">
        <v>0</v>
      </c>
      <c r="BA66">
        <v>83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ROUND(Y66*Source!I83,9)</f>
        <v>5.2650000000000002E-2</v>
      </c>
      <c r="CY66">
        <f>AD66</f>
        <v>0</v>
      </c>
      <c r="CZ66">
        <f>AH66</f>
        <v>0</v>
      </c>
      <c r="DA66">
        <f>AL66</f>
        <v>1</v>
      </c>
      <c r="DB66">
        <f>ROUND(((ROUND(AT66*CZ66,2)*1.25)*1.2),2)</f>
        <v>0</v>
      </c>
      <c r="DC66">
        <f>ROUND(((ROUND(AT66*AG66,2)*1.25)*1.2),2)</f>
        <v>0</v>
      </c>
      <c r="DD66" t="s">
        <v>3</v>
      </c>
      <c r="DE66" t="s">
        <v>3</v>
      </c>
      <c r="DF66">
        <f>ROUND(AE66*CX66,2)</f>
        <v>0</v>
      </c>
      <c r="DG66">
        <f>ROUND(AF66*CX66,2)</f>
        <v>0</v>
      </c>
      <c r="DH66">
        <f>ROUND(ROUND(AG66*CX66,2)*AK66,2)</f>
        <v>0</v>
      </c>
      <c r="DI66">
        <f t="shared" ref="DI66:DI71" si="32">ROUND(AH66*CX66,2)</f>
        <v>0</v>
      </c>
      <c r="DJ66">
        <f>DI66</f>
        <v>0</v>
      </c>
      <c r="DK66">
        <v>0</v>
      </c>
      <c r="DL66" t="s">
        <v>3</v>
      </c>
      <c r="DM66">
        <v>0</v>
      </c>
      <c r="DN66" t="s">
        <v>3</v>
      </c>
      <c r="DO66">
        <v>0</v>
      </c>
    </row>
    <row r="67" spans="1:119" x14ac:dyDescent="0.2">
      <c r="A67">
        <f>ROW(Source!A83)</f>
        <v>83</v>
      </c>
      <c r="B67">
        <v>143120906</v>
      </c>
      <c r="C67">
        <v>143127046</v>
      </c>
      <c r="D67">
        <v>140922893</v>
      </c>
      <c r="E67">
        <v>1</v>
      </c>
      <c r="F67">
        <v>1</v>
      </c>
      <c r="G67">
        <v>1</v>
      </c>
      <c r="H67">
        <v>2</v>
      </c>
      <c r="I67" t="s">
        <v>439</v>
      </c>
      <c r="J67" t="s">
        <v>440</v>
      </c>
      <c r="K67" t="s">
        <v>441</v>
      </c>
      <c r="L67">
        <v>1367</v>
      </c>
      <c r="N67">
        <v>1011</v>
      </c>
      <c r="O67" t="s">
        <v>380</v>
      </c>
      <c r="P67" t="s">
        <v>380</v>
      </c>
      <c r="Q67">
        <v>1</v>
      </c>
      <c r="W67">
        <v>0</v>
      </c>
      <c r="X67">
        <v>-130837057</v>
      </c>
      <c r="Y67">
        <f>((AT67*1.25)*1.2)</f>
        <v>1.0349999999999999</v>
      </c>
      <c r="AA67">
        <v>0</v>
      </c>
      <c r="AB67">
        <v>954.72</v>
      </c>
      <c r="AC67">
        <v>377.19</v>
      </c>
      <c r="AD67">
        <v>0</v>
      </c>
      <c r="AE67">
        <v>0</v>
      </c>
      <c r="AF67">
        <v>86.4</v>
      </c>
      <c r="AG67">
        <v>13.5</v>
      </c>
      <c r="AH67">
        <v>0</v>
      </c>
      <c r="AI67">
        <v>1</v>
      </c>
      <c r="AJ67">
        <v>11.05</v>
      </c>
      <c r="AK67">
        <v>27.94</v>
      </c>
      <c r="AL67">
        <v>1</v>
      </c>
      <c r="AN67">
        <v>0</v>
      </c>
      <c r="AO67">
        <v>1</v>
      </c>
      <c r="AP67">
        <v>1</v>
      </c>
      <c r="AQ67">
        <v>0</v>
      </c>
      <c r="AR67">
        <v>0</v>
      </c>
      <c r="AS67" t="s">
        <v>3</v>
      </c>
      <c r="AT67">
        <v>0.69</v>
      </c>
      <c r="AU67" t="s">
        <v>16</v>
      </c>
      <c r="AV67">
        <v>0</v>
      </c>
      <c r="AW67">
        <v>2</v>
      </c>
      <c r="AX67">
        <v>143127049</v>
      </c>
      <c r="AY67">
        <v>1</v>
      </c>
      <c r="AZ67">
        <v>0</v>
      </c>
      <c r="BA67">
        <v>84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ROUND(Y67*Source!I83,9)</f>
        <v>1.5525000000000001E-2</v>
      </c>
      <c r="CY67">
        <f>AB67</f>
        <v>954.72</v>
      </c>
      <c r="CZ67">
        <f>AF67</f>
        <v>86.4</v>
      </c>
      <c r="DA67">
        <f>AJ67</f>
        <v>11.05</v>
      </c>
      <c r="DB67">
        <f>ROUND(((ROUND(AT67*CZ67,2)*1.25)*1.2),2)</f>
        <v>89.43</v>
      </c>
      <c r="DC67">
        <f>ROUND(((ROUND(AT67*AG67,2)*1.25)*1.2),2)</f>
        <v>13.98</v>
      </c>
      <c r="DD67" t="s">
        <v>3</v>
      </c>
      <c r="DE67" t="s">
        <v>3</v>
      </c>
      <c r="DF67">
        <f>ROUND(AE67*CX67,2)</f>
        <v>0</v>
      </c>
      <c r="DG67">
        <f>ROUND(ROUND(AF67*CX67,2)*AJ67,2)</f>
        <v>14.81</v>
      </c>
      <c r="DH67">
        <f>ROUND(ROUND(AG67*CX67,2)*AK67,2)</f>
        <v>5.87</v>
      </c>
      <c r="DI67">
        <f t="shared" si="32"/>
        <v>0</v>
      </c>
      <c r="DJ67">
        <f>DG67</f>
        <v>14.81</v>
      </c>
      <c r="DK67">
        <v>0</v>
      </c>
      <c r="DL67" t="s">
        <v>3</v>
      </c>
      <c r="DM67">
        <v>0</v>
      </c>
      <c r="DN67" t="s">
        <v>3</v>
      </c>
      <c r="DO67">
        <v>0</v>
      </c>
    </row>
    <row r="68" spans="1:119" x14ac:dyDescent="0.2">
      <c r="A68">
        <f>ROW(Source!A83)</f>
        <v>83</v>
      </c>
      <c r="B68">
        <v>143120906</v>
      </c>
      <c r="C68">
        <v>143127046</v>
      </c>
      <c r="D68">
        <v>140923885</v>
      </c>
      <c r="E68">
        <v>1</v>
      </c>
      <c r="F68">
        <v>1</v>
      </c>
      <c r="G68">
        <v>1</v>
      </c>
      <c r="H68">
        <v>2</v>
      </c>
      <c r="I68" t="s">
        <v>387</v>
      </c>
      <c r="J68" t="s">
        <v>388</v>
      </c>
      <c r="K68" t="s">
        <v>389</v>
      </c>
      <c r="L68">
        <v>1367</v>
      </c>
      <c r="N68">
        <v>1011</v>
      </c>
      <c r="O68" t="s">
        <v>380</v>
      </c>
      <c r="P68" t="s">
        <v>380</v>
      </c>
      <c r="Q68">
        <v>1</v>
      </c>
      <c r="W68">
        <v>0</v>
      </c>
      <c r="X68">
        <v>509054691</v>
      </c>
      <c r="Y68">
        <f>((AT68*1.25)*1.2)</f>
        <v>2.4750000000000001</v>
      </c>
      <c r="AA68">
        <v>0</v>
      </c>
      <c r="AB68">
        <v>726.1</v>
      </c>
      <c r="AC68">
        <v>324.10000000000002</v>
      </c>
      <c r="AD68">
        <v>0</v>
      </c>
      <c r="AE68">
        <v>0</v>
      </c>
      <c r="AF68">
        <v>65.709999999999994</v>
      </c>
      <c r="AG68">
        <v>11.6</v>
      </c>
      <c r="AH68">
        <v>0</v>
      </c>
      <c r="AI68">
        <v>1</v>
      </c>
      <c r="AJ68">
        <v>11.05</v>
      </c>
      <c r="AK68">
        <v>27.94</v>
      </c>
      <c r="AL68">
        <v>1</v>
      </c>
      <c r="AN68">
        <v>0</v>
      </c>
      <c r="AO68">
        <v>1</v>
      </c>
      <c r="AP68">
        <v>1</v>
      </c>
      <c r="AQ68">
        <v>0</v>
      </c>
      <c r="AR68">
        <v>0</v>
      </c>
      <c r="AS68" t="s">
        <v>3</v>
      </c>
      <c r="AT68">
        <v>1.65</v>
      </c>
      <c r="AU68" t="s">
        <v>16</v>
      </c>
      <c r="AV68">
        <v>0</v>
      </c>
      <c r="AW68">
        <v>2</v>
      </c>
      <c r="AX68">
        <v>143127050</v>
      </c>
      <c r="AY68">
        <v>1</v>
      </c>
      <c r="AZ68">
        <v>0</v>
      </c>
      <c r="BA68">
        <v>85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ROUND(Y68*Source!I83,9)</f>
        <v>3.7124999999999998E-2</v>
      </c>
      <c r="CY68">
        <f>AB68</f>
        <v>726.1</v>
      </c>
      <c r="CZ68">
        <f>AF68</f>
        <v>65.709999999999994</v>
      </c>
      <c r="DA68">
        <f>AJ68</f>
        <v>11.05</v>
      </c>
      <c r="DB68">
        <f>ROUND(((ROUND(AT68*CZ68,2)*1.25)*1.2),2)</f>
        <v>162.63</v>
      </c>
      <c r="DC68">
        <f>ROUND(((ROUND(AT68*AG68,2)*1.25)*1.2),2)</f>
        <v>28.71</v>
      </c>
      <c r="DD68" t="s">
        <v>3</v>
      </c>
      <c r="DE68" t="s">
        <v>3</v>
      </c>
      <c r="DF68">
        <f>ROUND(AE68*CX68,2)</f>
        <v>0</v>
      </c>
      <c r="DG68">
        <f>ROUND(ROUND(AF68*CX68,2)*AJ68,2)</f>
        <v>26.96</v>
      </c>
      <c r="DH68">
        <f>ROUND(ROUND(AG68*CX68,2)*AK68,2)</f>
        <v>12.01</v>
      </c>
      <c r="DI68">
        <f t="shared" si="32"/>
        <v>0</v>
      </c>
      <c r="DJ68">
        <f>DG68</f>
        <v>26.96</v>
      </c>
      <c r="DK68">
        <v>0</v>
      </c>
      <c r="DL68" t="s">
        <v>3</v>
      </c>
      <c r="DM68">
        <v>0</v>
      </c>
      <c r="DN68" t="s">
        <v>3</v>
      </c>
      <c r="DO68">
        <v>0</v>
      </c>
    </row>
    <row r="69" spans="1:119" x14ac:dyDescent="0.2">
      <c r="A69">
        <f>ROW(Source!A83)</f>
        <v>83</v>
      </c>
      <c r="B69">
        <v>143120906</v>
      </c>
      <c r="C69">
        <v>143127046</v>
      </c>
      <c r="D69">
        <v>140778096</v>
      </c>
      <c r="E69">
        <v>1</v>
      </c>
      <c r="F69">
        <v>1</v>
      </c>
      <c r="G69">
        <v>1</v>
      </c>
      <c r="H69">
        <v>3</v>
      </c>
      <c r="I69" t="s">
        <v>477</v>
      </c>
      <c r="J69" t="s">
        <v>478</v>
      </c>
      <c r="K69" t="s">
        <v>479</v>
      </c>
      <c r="L69">
        <v>1339</v>
      </c>
      <c r="N69">
        <v>1007</v>
      </c>
      <c r="O69" t="s">
        <v>149</v>
      </c>
      <c r="P69" t="s">
        <v>149</v>
      </c>
      <c r="Q69">
        <v>1</v>
      </c>
      <c r="W69">
        <v>0</v>
      </c>
      <c r="X69">
        <v>940109158</v>
      </c>
      <c r="Y69">
        <f t="shared" ref="Y69:Y86" si="33">AT69</f>
        <v>0.75</v>
      </c>
      <c r="AA69">
        <v>3971.03</v>
      </c>
      <c r="AB69">
        <v>0</v>
      </c>
      <c r="AC69">
        <v>0</v>
      </c>
      <c r="AD69">
        <v>0</v>
      </c>
      <c r="AE69">
        <v>497</v>
      </c>
      <c r="AF69">
        <v>0</v>
      </c>
      <c r="AG69">
        <v>0</v>
      </c>
      <c r="AH69">
        <v>0</v>
      </c>
      <c r="AI69">
        <v>7.99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0.75</v>
      </c>
      <c r="AU69" t="s">
        <v>3</v>
      </c>
      <c r="AV69">
        <v>0</v>
      </c>
      <c r="AW69">
        <v>2</v>
      </c>
      <c r="AX69">
        <v>143127051</v>
      </c>
      <c r="AY69">
        <v>1</v>
      </c>
      <c r="AZ69">
        <v>0</v>
      </c>
      <c r="BA69">
        <v>86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ROUND(Y69*Source!I83,9)</f>
        <v>1.125E-2</v>
      </c>
      <c r="CY69">
        <f>AA69</f>
        <v>3971.03</v>
      </c>
      <c r="CZ69">
        <f>AE69</f>
        <v>497</v>
      </c>
      <c r="DA69">
        <f>AI69</f>
        <v>7.99</v>
      </c>
      <c r="DB69">
        <f t="shared" ref="DB69:DB86" si="34">ROUND(ROUND(AT69*CZ69,2),2)</f>
        <v>372.75</v>
      </c>
      <c r="DC69">
        <f t="shared" ref="DC69:DC86" si="35">ROUND(ROUND(AT69*AG69,2),2)</f>
        <v>0</v>
      </c>
      <c r="DD69" t="s">
        <v>3</v>
      </c>
      <c r="DE69" t="s">
        <v>3</v>
      </c>
      <c r="DF69">
        <f>ROUND(ROUND(AE69*CX69,2)*AI69,2)</f>
        <v>44.66</v>
      </c>
      <c r="DG69">
        <f>ROUND(AF69*CX69,2)</f>
        <v>0</v>
      </c>
      <c r="DH69">
        <f>ROUND(AG69*CX69,2)</f>
        <v>0</v>
      </c>
      <c r="DI69">
        <f t="shared" si="32"/>
        <v>0</v>
      </c>
      <c r="DJ69">
        <f>DF69</f>
        <v>44.66</v>
      </c>
      <c r="DK69">
        <v>0</v>
      </c>
      <c r="DL69" t="s">
        <v>3</v>
      </c>
      <c r="DM69">
        <v>0</v>
      </c>
      <c r="DN69" t="s">
        <v>3</v>
      </c>
      <c r="DO69">
        <v>0</v>
      </c>
    </row>
    <row r="70" spans="1:119" x14ac:dyDescent="0.2">
      <c r="A70">
        <f>ROW(Source!A83)</f>
        <v>83</v>
      </c>
      <c r="B70">
        <v>143120906</v>
      </c>
      <c r="C70">
        <v>143127046</v>
      </c>
      <c r="D70">
        <v>140790834</v>
      </c>
      <c r="E70">
        <v>1</v>
      </c>
      <c r="F70">
        <v>1</v>
      </c>
      <c r="G70">
        <v>1</v>
      </c>
      <c r="H70">
        <v>3</v>
      </c>
      <c r="I70" t="s">
        <v>480</v>
      </c>
      <c r="J70" t="s">
        <v>481</v>
      </c>
      <c r="K70" t="s">
        <v>482</v>
      </c>
      <c r="L70">
        <v>1348</v>
      </c>
      <c r="N70">
        <v>1009</v>
      </c>
      <c r="O70" t="s">
        <v>199</v>
      </c>
      <c r="P70" t="s">
        <v>199</v>
      </c>
      <c r="Q70">
        <v>1000</v>
      </c>
      <c r="W70">
        <v>0</v>
      </c>
      <c r="X70">
        <v>-807853778</v>
      </c>
      <c r="Y70">
        <f t="shared" si="33"/>
        <v>0.06</v>
      </c>
      <c r="AA70">
        <v>47852.11</v>
      </c>
      <c r="AB70">
        <v>0</v>
      </c>
      <c r="AC70">
        <v>0</v>
      </c>
      <c r="AD70">
        <v>0</v>
      </c>
      <c r="AE70">
        <v>5989</v>
      </c>
      <c r="AF70">
        <v>0</v>
      </c>
      <c r="AG70">
        <v>0</v>
      </c>
      <c r="AH70">
        <v>0</v>
      </c>
      <c r="AI70">
        <v>7.99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0.06</v>
      </c>
      <c r="AU70" t="s">
        <v>3</v>
      </c>
      <c r="AV70">
        <v>0</v>
      </c>
      <c r="AW70">
        <v>2</v>
      </c>
      <c r="AX70">
        <v>143127053</v>
      </c>
      <c r="AY70">
        <v>1</v>
      </c>
      <c r="AZ70">
        <v>0</v>
      </c>
      <c r="BA70">
        <v>88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ROUND(Y70*Source!I83,9)</f>
        <v>8.9999999999999998E-4</v>
      </c>
      <c r="CY70">
        <f>AA70</f>
        <v>47852.11</v>
      </c>
      <c r="CZ70">
        <f>AE70</f>
        <v>5989</v>
      </c>
      <c r="DA70">
        <f>AI70</f>
        <v>7.99</v>
      </c>
      <c r="DB70">
        <f t="shared" si="34"/>
        <v>359.34</v>
      </c>
      <c r="DC70">
        <f t="shared" si="35"/>
        <v>0</v>
      </c>
      <c r="DD70" t="s">
        <v>3</v>
      </c>
      <c r="DE70" t="s">
        <v>3</v>
      </c>
      <c r="DF70">
        <f>ROUND(ROUND(AE70*CX70,2)*AI70,2)</f>
        <v>43.07</v>
      </c>
      <c r="DG70">
        <f>ROUND(AF70*CX70,2)</f>
        <v>0</v>
      </c>
      <c r="DH70">
        <f>ROUND(AG70*CX70,2)</f>
        <v>0</v>
      </c>
      <c r="DI70">
        <f t="shared" si="32"/>
        <v>0</v>
      </c>
      <c r="DJ70">
        <f>DF70</f>
        <v>43.07</v>
      </c>
      <c r="DK70">
        <v>0</v>
      </c>
      <c r="DL70" t="s">
        <v>3</v>
      </c>
      <c r="DM70">
        <v>0</v>
      </c>
      <c r="DN70" t="s">
        <v>3</v>
      </c>
      <c r="DO70">
        <v>0</v>
      </c>
    </row>
    <row r="71" spans="1:119" x14ac:dyDescent="0.2">
      <c r="A71">
        <f>ROW(Source!A83)</f>
        <v>83</v>
      </c>
      <c r="B71">
        <v>143120906</v>
      </c>
      <c r="C71">
        <v>143127046</v>
      </c>
      <c r="D71">
        <v>140804434</v>
      </c>
      <c r="E71">
        <v>1</v>
      </c>
      <c r="F71">
        <v>1</v>
      </c>
      <c r="G71">
        <v>1</v>
      </c>
      <c r="H71">
        <v>3</v>
      </c>
      <c r="I71" t="s">
        <v>483</v>
      </c>
      <c r="J71" t="s">
        <v>484</v>
      </c>
      <c r="K71" t="s">
        <v>485</v>
      </c>
      <c r="L71">
        <v>1348</v>
      </c>
      <c r="N71">
        <v>1009</v>
      </c>
      <c r="O71" t="s">
        <v>199</v>
      </c>
      <c r="P71" t="s">
        <v>199</v>
      </c>
      <c r="Q71">
        <v>1000</v>
      </c>
      <c r="W71">
        <v>0</v>
      </c>
      <c r="X71">
        <v>2092961430</v>
      </c>
      <c r="Y71">
        <f t="shared" si="33"/>
        <v>5.0000000000000001E-3</v>
      </c>
      <c r="AA71">
        <v>62536.93</v>
      </c>
      <c r="AB71">
        <v>0</v>
      </c>
      <c r="AC71">
        <v>0</v>
      </c>
      <c r="AD71">
        <v>0</v>
      </c>
      <c r="AE71">
        <v>7826.9</v>
      </c>
      <c r="AF71">
        <v>0</v>
      </c>
      <c r="AG71">
        <v>0</v>
      </c>
      <c r="AH71">
        <v>0</v>
      </c>
      <c r="AI71">
        <v>7.99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5.0000000000000001E-3</v>
      </c>
      <c r="AU71" t="s">
        <v>3</v>
      </c>
      <c r="AV71">
        <v>0</v>
      </c>
      <c r="AW71">
        <v>2</v>
      </c>
      <c r="AX71">
        <v>143127054</v>
      </c>
      <c r="AY71">
        <v>1</v>
      </c>
      <c r="AZ71">
        <v>0</v>
      </c>
      <c r="BA71">
        <v>89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ROUND(Y71*Source!I83,9)</f>
        <v>7.4999999999999993E-5</v>
      </c>
      <c r="CY71">
        <f>AA71</f>
        <v>62536.93</v>
      </c>
      <c r="CZ71">
        <f>AE71</f>
        <v>7826.9</v>
      </c>
      <c r="DA71">
        <f>AI71</f>
        <v>7.99</v>
      </c>
      <c r="DB71">
        <f t="shared" si="34"/>
        <v>39.130000000000003</v>
      </c>
      <c r="DC71">
        <f t="shared" si="35"/>
        <v>0</v>
      </c>
      <c r="DD71" t="s">
        <v>3</v>
      </c>
      <c r="DE71" t="s">
        <v>3</v>
      </c>
      <c r="DF71">
        <f>ROUND(ROUND(AE71*CX71,2)*AI71,2)</f>
        <v>4.71</v>
      </c>
      <c r="DG71">
        <f>ROUND(AF71*CX71,2)</f>
        <v>0</v>
      </c>
      <c r="DH71">
        <f>ROUND(AG71*CX71,2)</f>
        <v>0</v>
      </c>
      <c r="DI71">
        <f t="shared" si="32"/>
        <v>0</v>
      </c>
      <c r="DJ71">
        <f>DF71</f>
        <v>4.71</v>
      </c>
      <c r="DK71">
        <v>0</v>
      </c>
      <c r="DL71" t="s">
        <v>3</v>
      </c>
      <c r="DM71">
        <v>0</v>
      </c>
      <c r="DN71" t="s">
        <v>3</v>
      </c>
      <c r="DO71">
        <v>0</v>
      </c>
    </row>
    <row r="72" spans="1:119" x14ac:dyDescent="0.2">
      <c r="A72">
        <f>ROW(Source!A85)</f>
        <v>85</v>
      </c>
      <c r="B72">
        <v>143120906</v>
      </c>
      <c r="C72">
        <v>143124077</v>
      </c>
      <c r="D72">
        <v>140755428</v>
      </c>
      <c r="E72">
        <v>70</v>
      </c>
      <c r="F72">
        <v>1</v>
      </c>
      <c r="G72">
        <v>1</v>
      </c>
      <c r="H72">
        <v>1</v>
      </c>
      <c r="I72" t="s">
        <v>486</v>
      </c>
      <c r="J72" t="s">
        <v>3</v>
      </c>
      <c r="K72" t="s">
        <v>487</v>
      </c>
      <c r="L72">
        <v>1191</v>
      </c>
      <c r="N72">
        <v>1013</v>
      </c>
      <c r="O72" t="s">
        <v>374</v>
      </c>
      <c r="P72" t="s">
        <v>374</v>
      </c>
      <c r="Q72">
        <v>1</v>
      </c>
      <c r="W72">
        <v>0</v>
      </c>
      <c r="X72">
        <v>388411409</v>
      </c>
      <c r="Y72">
        <f t="shared" si="33"/>
        <v>86.71</v>
      </c>
      <c r="AA72">
        <v>0</v>
      </c>
      <c r="AB72">
        <v>0</v>
      </c>
      <c r="AC72">
        <v>0</v>
      </c>
      <c r="AD72">
        <v>228.27</v>
      </c>
      <c r="AE72">
        <v>0</v>
      </c>
      <c r="AF72">
        <v>0</v>
      </c>
      <c r="AG72">
        <v>0</v>
      </c>
      <c r="AH72">
        <v>8.17</v>
      </c>
      <c r="AI72">
        <v>1</v>
      </c>
      <c r="AJ72">
        <v>1</v>
      </c>
      <c r="AK72">
        <v>1</v>
      </c>
      <c r="AL72">
        <v>27.94</v>
      </c>
      <c r="AN72">
        <v>0</v>
      </c>
      <c r="AO72">
        <v>1</v>
      </c>
      <c r="AP72">
        <v>1</v>
      </c>
      <c r="AQ72">
        <v>0</v>
      </c>
      <c r="AR72">
        <v>0</v>
      </c>
      <c r="AS72" t="s">
        <v>3</v>
      </c>
      <c r="AT72">
        <v>86.71</v>
      </c>
      <c r="AU72" t="s">
        <v>3</v>
      </c>
      <c r="AV72">
        <v>1</v>
      </c>
      <c r="AW72">
        <v>2</v>
      </c>
      <c r="AX72">
        <v>143124087</v>
      </c>
      <c r="AY72">
        <v>1</v>
      </c>
      <c r="AZ72">
        <v>0</v>
      </c>
      <c r="BA72">
        <v>90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ROUND(Y72*Source!I85,9)</f>
        <v>16.735029999999998</v>
      </c>
      <c r="CY72">
        <f>AD72</f>
        <v>228.27</v>
      </c>
      <c r="CZ72">
        <f>AH72</f>
        <v>8.17</v>
      </c>
      <c r="DA72">
        <f>AL72</f>
        <v>27.94</v>
      </c>
      <c r="DB72">
        <f t="shared" si="34"/>
        <v>708.42</v>
      </c>
      <c r="DC72">
        <f t="shared" si="35"/>
        <v>0</v>
      </c>
      <c r="DD72" t="s">
        <v>3</v>
      </c>
      <c r="DE72" t="s">
        <v>3</v>
      </c>
      <c r="DF72">
        <f>ROUND(AE72*CX72,2)</f>
        <v>0</v>
      </c>
      <c r="DG72">
        <f>ROUND(AF72*CX72,2)</f>
        <v>0</v>
      </c>
      <c r="DH72">
        <f>ROUND(AG72*CX72,2)</f>
        <v>0</v>
      </c>
      <c r="DI72">
        <f>ROUND(ROUND(AH72*CX72,2)*AL72,2)</f>
        <v>3820.24</v>
      </c>
      <c r="DJ72">
        <f>DI72</f>
        <v>3820.24</v>
      </c>
      <c r="DK72">
        <v>0</v>
      </c>
      <c r="DL72" t="s">
        <v>3</v>
      </c>
      <c r="DM72">
        <v>0</v>
      </c>
      <c r="DN72" t="s">
        <v>3</v>
      </c>
      <c r="DO72">
        <v>0</v>
      </c>
    </row>
    <row r="73" spans="1:119" x14ac:dyDescent="0.2">
      <c r="A73">
        <f>ROW(Source!A85)</f>
        <v>85</v>
      </c>
      <c r="B73">
        <v>143120906</v>
      </c>
      <c r="C73">
        <v>143124077</v>
      </c>
      <c r="D73">
        <v>140755491</v>
      </c>
      <c r="E73">
        <v>70</v>
      </c>
      <c r="F73">
        <v>1</v>
      </c>
      <c r="G73">
        <v>1</v>
      </c>
      <c r="H73">
        <v>1</v>
      </c>
      <c r="I73" t="s">
        <v>375</v>
      </c>
      <c r="J73" t="s">
        <v>3</v>
      </c>
      <c r="K73" t="s">
        <v>376</v>
      </c>
      <c r="L73">
        <v>1191</v>
      </c>
      <c r="N73">
        <v>1013</v>
      </c>
      <c r="O73" t="s">
        <v>374</v>
      </c>
      <c r="P73" t="s">
        <v>374</v>
      </c>
      <c r="Q73">
        <v>1</v>
      </c>
      <c r="W73">
        <v>0</v>
      </c>
      <c r="X73">
        <v>-1417349443</v>
      </c>
      <c r="Y73">
        <f t="shared" si="33"/>
        <v>0.25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27.94</v>
      </c>
      <c r="AL73">
        <v>1</v>
      </c>
      <c r="AN73">
        <v>0</v>
      </c>
      <c r="AO73">
        <v>1</v>
      </c>
      <c r="AP73">
        <v>1</v>
      </c>
      <c r="AQ73">
        <v>0</v>
      </c>
      <c r="AR73">
        <v>0</v>
      </c>
      <c r="AS73" t="s">
        <v>3</v>
      </c>
      <c r="AT73">
        <v>0.25</v>
      </c>
      <c r="AU73" t="s">
        <v>3</v>
      </c>
      <c r="AV73">
        <v>2</v>
      </c>
      <c r="AW73">
        <v>2</v>
      </c>
      <c r="AX73">
        <v>143124088</v>
      </c>
      <c r="AY73">
        <v>1</v>
      </c>
      <c r="AZ73">
        <v>0</v>
      </c>
      <c r="BA73">
        <v>91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ROUND(Y73*Source!I85,9)</f>
        <v>4.8250000000000001E-2</v>
      </c>
      <c r="CY73">
        <f>AD73</f>
        <v>0</v>
      </c>
      <c r="CZ73">
        <f>AH73</f>
        <v>0</v>
      </c>
      <c r="DA73">
        <f>AL73</f>
        <v>1</v>
      </c>
      <c r="DB73">
        <f t="shared" si="34"/>
        <v>0</v>
      </c>
      <c r="DC73">
        <f t="shared" si="35"/>
        <v>0</v>
      </c>
      <c r="DD73" t="s">
        <v>3</v>
      </c>
      <c r="DE73" t="s">
        <v>3</v>
      </c>
      <c r="DF73">
        <f>ROUND(AE73*CX73,2)</f>
        <v>0</v>
      </c>
      <c r="DG73">
        <f>ROUND(AF73*CX73,2)</f>
        <v>0</v>
      </c>
      <c r="DH73">
        <f>ROUND(ROUND(AG73*CX73,2)*AK73,2)</f>
        <v>0</v>
      </c>
      <c r="DI73">
        <f t="shared" ref="DI73:DI78" si="36">ROUND(AH73*CX73,2)</f>
        <v>0</v>
      </c>
      <c r="DJ73">
        <f>DI73</f>
        <v>0</v>
      </c>
      <c r="DK73">
        <v>0</v>
      </c>
      <c r="DL73" t="s">
        <v>3</v>
      </c>
      <c r="DM73">
        <v>0</v>
      </c>
      <c r="DN73" t="s">
        <v>3</v>
      </c>
      <c r="DO73">
        <v>0</v>
      </c>
    </row>
    <row r="74" spans="1:119" x14ac:dyDescent="0.2">
      <c r="A74">
        <f>ROW(Source!A85)</f>
        <v>85</v>
      </c>
      <c r="B74">
        <v>143120906</v>
      </c>
      <c r="C74">
        <v>143124077</v>
      </c>
      <c r="D74">
        <v>140923145</v>
      </c>
      <c r="E74">
        <v>1</v>
      </c>
      <c r="F74">
        <v>1</v>
      </c>
      <c r="G74">
        <v>1</v>
      </c>
      <c r="H74">
        <v>2</v>
      </c>
      <c r="I74" t="s">
        <v>488</v>
      </c>
      <c r="J74" t="s">
        <v>489</v>
      </c>
      <c r="K74" t="s">
        <v>490</v>
      </c>
      <c r="L74">
        <v>1367</v>
      </c>
      <c r="N74">
        <v>1011</v>
      </c>
      <c r="O74" t="s">
        <v>380</v>
      </c>
      <c r="P74" t="s">
        <v>380</v>
      </c>
      <c r="Q74">
        <v>1</v>
      </c>
      <c r="W74">
        <v>0</v>
      </c>
      <c r="X74">
        <v>1232162608</v>
      </c>
      <c r="Y74">
        <f t="shared" si="33"/>
        <v>0.18</v>
      </c>
      <c r="AA74">
        <v>0</v>
      </c>
      <c r="AB74">
        <v>345.42</v>
      </c>
      <c r="AC74">
        <v>377.19</v>
      </c>
      <c r="AD74">
        <v>0</v>
      </c>
      <c r="AE74">
        <v>0</v>
      </c>
      <c r="AF74">
        <v>31.26</v>
      </c>
      <c r="AG74">
        <v>13.5</v>
      </c>
      <c r="AH74">
        <v>0</v>
      </c>
      <c r="AI74">
        <v>1</v>
      </c>
      <c r="AJ74">
        <v>11.05</v>
      </c>
      <c r="AK74">
        <v>27.94</v>
      </c>
      <c r="AL74">
        <v>1</v>
      </c>
      <c r="AN74">
        <v>0</v>
      </c>
      <c r="AO74">
        <v>1</v>
      </c>
      <c r="AP74">
        <v>1</v>
      </c>
      <c r="AQ74">
        <v>0</v>
      </c>
      <c r="AR74">
        <v>0</v>
      </c>
      <c r="AS74" t="s">
        <v>3</v>
      </c>
      <c r="AT74">
        <v>0.18</v>
      </c>
      <c r="AU74" t="s">
        <v>3</v>
      </c>
      <c r="AV74">
        <v>0</v>
      </c>
      <c r="AW74">
        <v>2</v>
      </c>
      <c r="AX74">
        <v>143124089</v>
      </c>
      <c r="AY74">
        <v>1</v>
      </c>
      <c r="AZ74">
        <v>0</v>
      </c>
      <c r="BA74">
        <v>92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ROUND(Y74*Source!I85,9)</f>
        <v>3.474E-2</v>
      </c>
      <c r="CY74">
        <f>AB74</f>
        <v>345.42</v>
      </c>
      <c r="CZ74">
        <f>AF74</f>
        <v>31.26</v>
      </c>
      <c r="DA74">
        <f>AJ74</f>
        <v>11.05</v>
      </c>
      <c r="DB74">
        <f t="shared" si="34"/>
        <v>5.63</v>
      </c>
      <c r="DC74">
        <f t="shared" si="35"/>
        <v>2.4300000000000002</v>
      </c>
      <c r="DD74" t="s">
        <v>3</v>
      </c>
      <c r="DE74" t="s">
        <v>3</v>
      </c>
      <c r="DF74">
        <f>ROUND(AE74*CX74,2)</f>
        <v>0</v>
      </c>
      <c r="DG74">
        <f>ROUND(ROUND(AF74*CX74,2)*AJ74,2)</f>
        <v>12.04</v>
      </c>
      <c r="DH74">
        <f>ROUND(ROUND(AG74*CX74,2)*AK74,2)</f>
        <v>13.13</v>
      </c>
      <c r="DI74">
        <f t="shared" si="36"/>
        <v>0</v>
      </c>
      <c r="DJ74">
        <f>DG74</f>
        <v>12.04</v>
      </c>
      <c r="DK74">
        <v>0</v>
      </c>
      <c r="DL74" t="s">
        <v>3</v>
      </c>
      <c r="DM74">
        <v>0</v>
      </c>
      <c r="DN74" t="s">
        <v>3</v>
      </c>
      <c r="DO74">
        <v>0</v>
      </c>
    </row>
    <row r="75" spans="1:119" x14ac:dyDescent="0.2">
      <c r="A75">
        <f>ROW(Source!A85)</f>
        <v>85</v>
      </c>
      <c r="B75">
        <v>143120906</v>
      </c>
      <c r="C75">
        <v>143124077</v>
      </c>
      <c r="D75">
        <v>140923885</v>
      </c>
      <c r="E75">
        <v>1</v>
      </c>
      <c r="F75">
        <v>1</v>
      </c>
      <c r="G75">
        <v>1</v>
      </c>
      <c r="H75">
        <v>2</v>
      </c>
      <c r="I75" t="s">
        <v>387</v>
      </c>
      <c r="J75" t="s">
        <v>388</v>
      </c>
      <c r="K75" t="s">
        <v>389</v>
      </c>
      <c r="L75">
        <v>1367</v>
      </c>
      <c r="N75">
        <v>1011</v>
      </c>
      <c r="O75" t="s">
        <v>380</v>
      </c>
      <c r="P75" t="s">
        <v>380</v>
      </c>
      <c r="Q75">
        <v>1</v>
      </c>
      <c r="W75">
        <v>0</v>
      </c>
      <c r="X75">
        <v>509054691</v>
      </c>
      <c r="Y75">
        <f t="shared" si="33"/>
        <v>7.0000000000000007E-2</v>
      </c>
      <c r="AA75">
        <v>0</v>
      </c>
      <c r="AB75">
        <v>726.1</v>
      </c>
      <c r="AC75">
        <v>324.10000000000002</v>
      </c>
      <c r="AD75">
        <v>0</v>
      </c>
      <c r="AE75">
        <v>0</v>
      </c>
      <c r="AF75">
        <v>65.709999999999994</v>
      </c>
      <c r="AG75">
        <v>11.6</v>
      </c>
      <c r="AH75">
        <v>0</v>
      </c>
      <c r="AI75">
        <v>1</v>
      </c>
      <c r="AJ75">
        <v>11.05</v>
      </c>
      <c r="AK75">
        <v>27.94</v>
      </c>
      <c r="AL75">
        <v>1</v>
      </c>
      <c r="AN75">
        <v>0</v>
      </c>
      <c r="AO75">
        <v>1</v>
      </c>
      <c r="AP75">
        <v>1</v>
      </c>
      <c r="AQ75">
        <v>0</v>
      </c>
      <c r="AR75">
        <v>0</v>
      </c>
      <c r="AS75" t="s">
        <v>3</v>
      </c>
      <c r="AT75">
        <v>7.0000000000000007E-2</v>
      </c>
      <c r="AU75" t="s">
        <v>3</v>
      </c>
      <c r="AV75">
        <v>0</v>
      </c>
      <c r="AW75">
        <v>2</v>
      </c>
      <c r="AX75">
        <v>143124090</v>
      </c>
      <c r="AY75">
        <v>1</v>
      </c>
      <c r="AZ75">
        <v>0</v>
      </c>
      <c r="BA75">
        <v>93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ROUND(Y75*Source!I85,9)</f>
        <v>1.3509999999999999E-2</v>
      </c>
      <c r="CY75">
        <f>AB75</f>
        <v>726.1</v>
      </c>
      <c r="CZ75">
        <f>AF75</f>
        <v>65.709999999999994</v>
      </c>
      <c r="DA75">
        <f>AJ75</f>
        <v>11.05</v>
      </c>
      <c r="DB75">
        <f t="shared" si="34"/>
        <v>4.5999999999999996</v>
      </c>
      <c r="DC75">
        <f t="shared" si="35"/>
        <v>0.81</v>
      </c>
      <c r="DD75" t="s">
        <v>3</v>
      </c>
      <c r="DE75" t="s">
        <v>3</v>
      </c>
      <c r="DF75">
        <f>ROUND(AE75*CX75,2)</f>
        <v>0</v>
      </c>
      <c r="DG75">
        <f>ROUND(ROUND(AF75*CX75,2)*AJ75,2)</f>
        <v>9.83</v>
      </c>
      <c r="DH75">
        <f>ROUND(ROUND(AG75*CX75,2)*AK75,2)</f>
        <v>4.47</v>
      </c>
      <c r="DI75">
        <f t="shared" si="36"/>
        <v>0</v>
      </c>
      <c r="DJ75">
        <f>DG75</f>
        <v>9.83</v>
      </c>
      <c r="DK75">
        <v>0</v>
      </c>
      <c r="DL75" t="s">
        <v>3</v>
      </c>
      <c r="DM75">
        <v>0</v>
      </c>
      <c r="DN75" t="s">
        <v>3</v>
      </c>
      <c r="DO75">
        <v>0</v>
      </c>
    </row>
    <row r="76" spans="1:119" x14ac:dyDescent="0.2">
      <c r="A76">
        <f>ROW(Source!A85)</f>
        <v>85</v>
      </c>
      <c r="B76">
        <v>143120906</v>
      </c>
      <c r="C76">
        <v>143124077</v>
      </c>
      <c r="D76">
        <v>140775118</v>
      </c>
      <c r="E76">
        <v>1</v>
      </c>
      <c r="F76">
        <v>1</v>
      </c>
      <c r="G76">
        <v>1</v>
      </c>
      <c r="H76">
        <v>3</v>
      </c>
      <c r="I76" t="s">
        <v>404</v>
      </c>
      <c r="J76" t="s">
        <v>405</v>
      </c>
      <c r="K76" t="s">
        <v>406</v>
      </c>
      <c r="L76">
        <v>1348</v>
      </c>
      <c r="N76">
        <v>1009</v>
      </c>
      <c r="O76" t="s">
        <v>199</v>
      </c>
      <c r="P76" t="s">
        <v>199</v>
      </c>
      <c r="Q76">
        <v>1000</v>
      </c>
      <c r="W76">
        <v>0</v>
      </c>
      <c r="X76">
        <v>-45966985</v>
      </c>
      <c r="Y76">
        <f t="shared" si="33"/>
        <v>1E-3</v>
      </c>
      <c r="AA76">
        <v>95704.22</v>
      </c>
      <c r="AB76">
        <v>0</v>
      </c>
      <c r="AC76">
        <v>0</v>
      </c>
      <c r="AD76">
        <v>0</v>
      </c>
      <c r="AE76">
        <v>11978</v>
      </c>
      <c r="AF76">
        <v>0</v>
      </c>
      <c r="AG76">
        <v>0</v>
      </c>
      <c r="AH76">
        <v>0</v>
      </c>
      <c r="AI76">
        <v>7.99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1E-3</v>
      </c>
      <c r="AU76" t="s">
        <v>3</v>
      </c>
      <c r="AV76">
        <v>0</v>
      </c>
      <c r="AW76">
        <v>2</v>
      </c>
      <c r="AX76">
        <v>143124091</v>
      </c>
      <c r="AY76">
        <v>1</v>
      </c>
      <c r="AZ76">
        <v>0</v>
      </c>
      <c r="BA76">
        <v>94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ROUND(Y76*Source!I85,9)</f>
        <v>1.93E-4</v>
      </c>
      <c r="CY76">
        <f>AA76</f>
        <v>95704.22</v>
      </c>
      <c r="CZ76">
        <f>AE76</f>
        <v>11978</v>
      </c>
      <c r="DA76">
        <f>AI76</f>
        <v>7.99</v>
      </c>
      <c r="DB76">
        <f t="shared" si="34"/>
        <v>11.98</v>
      </c>
      <c r="DC76">
        <f t="shared" si="35"/>
        <v>0</v>
      </c>
      <c r="DD76" t="s">
        <v>3</v>
      </c>
      <c r="DE76" t="s">
        <v>3</v>
      </c>
      <c r="DF76">
        <f>ROUND(ROUND(AE76*CX76,2)*AI76,2)</f>
        <v>18.46</v>
      </c>
      <c r="DG76">
        <f>ROUND(AF76*CX76,2)</f>
        <v>0</v>
      </c>
      <c r="DH76">
        <f>ROUND(AG76*CX76,2)</f>
        <v>0</v>
      </c>
      <c r="DI76">
        <f t="shared" si="36"/>
        <v>0</v>
      </c>
      <c r="DJ76">
        <f>DF76</f>
        <v>18.46</v>
      </c>
      <c r="DK76">
        <v>0</v>
      </c>
      <c r="DL76" t="s">
        <v>3</v>
      </c>
      <c r="DM76">
        <v>0</v>
      </c>
      <c r="DN76" t="s">
        <v>3</v>
      </c>
      <c r="DO76">
        <v>0</v>
      </c>
    </row>
    <row r="77" spans="1:119" x14ac:dyDescent="0.2">
      <c r="A77">
        <f>ROW(Source!A85)</f>
        <v>85</v>
      </c>
      <c r="B77">
        <v>143120906</v>
      </c>
      <c r="C77">
        <v>143124077</v>
      </c>
      <c r="D77">
        <v>140790834</v>
      </c>
      <c r="E77">
        <v>1</v>
      </c>
      <c r="F77">
        <v>1</v>
      </c>
      <c r="G77">
        <v>1</v>
      </c>
      <c r="H77">
        <v>3</v>
      </c>
      <c r="I77" t="s">
        <v>480</v>
      </c>
      <c r="J77" t="s">
        <v>481</v>
      </c>
      <c r="K77" t="s">
        <v>482</v>
      </c>
      <c r="L77">
        <v>1348</v>
      </c>
      <c r="N77">
        <v>1009</v>
      </c>
      <c r="O77" t="s">
        <v>199</v>
      </c>
      <c r="P77" t="s">
        <v>199</v>
      </c>
      <c r="Q77">
        <v>1000</v>
      </c>
      <c r="W77">
        <v>0</v>
      </c>
      <c r="X77">
        <v>-807853778</v>
      </c>
      <c r="Y77">
        <f t="shared" si="33"/>
        <v>0.11700000000000001</v>
      </c>
      <c r="AA77">
        <v>47852.11</v>
      </c>
      <c r="AB77">
        <v>0</v>
      </c>
      <c r="AC77">
        <v>0</v>
      </c>
      <c r="AD77">
        <v>0</v>
      </c>
      <c r="AE77">
        <v>5989</v>
      </c>
      <c r="AF77">
        <v>0</v>
      </c>
      <c r="AG77">
        <v>0</v>
      </c>
      <c r="AH77">
        <v>0</v>
      </c>
      <c r="AI77">
        <v>7.99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0.11700000000000001</v>
      </c>
      <c r="AU77" t="s">
        <v>3</v>
      </c>
      <c r="AV77">
        <v>0</v>
      </c>
      <c r="AW77">
        <v>2</v>
      </c>
      <c r="AX77">
        <v>143124092</v>
      </c>
      <c r="AY77">
        <v>1</v>
      </c>
      <c r="AZ77">
        <v>0</v>
      </c>
      <c r="BA77">
        <v>95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ROUND(Y77*Source!I85,9)</f>
        <v>2.2581E-2</v>
      </c>
      <c r="CY77">
        <f>AA77</f>
        <v>47852.11</v>
      </c>
      <c r="CZ77">
        <f>AE77</f>
        <v>5989</v>
      </c>
      <c r="DA77">
        <f>AI77</f>
        <v>7.99</v>
      </c>
      <c r="DB77">
        <f t="shared" si="34"/>
        <v>700.71</v>
      </c>
      <c r="DC77">
        <f t="shared" si="35"/>
        <v>0</v>
      </c>
      <c r="DD77" t="s">
        <v>3</v>
      </c>
      <c r="DE77" t="s">
        <v>3</v>
      </c>
      <c r="DF77">
        <f>ROUND(ROUND(AE77*CX77,2)*AI77,2)</f>
        <v>1080.57</v>
      </c>
      <c r="DG77">
        <f>ROUND(AF77*CX77,2)</f>
        <v>0</v>
      </c>
      <c r="DH77">
        <f>ROUND(AG77*CX77,2)</f>
        <v>0</v>
      </c>
      <c r="DI77">
        <f t="shared" si="36"/>
        <v>0</v>
      </c>
      <c r="DJ77">
        <f>DF77</f>
        <v>1080.57</v>
      </c>
      <c r="DK77">
        <v>0</v>
      </c>
      <c r="DL77" t="s">
        <v>3</v>
      </c>
      <c r="DM77">
        <v>0</v>
      </c>
      <c r="DN77" t="s">
        <v>3</v>
      </c>
      <c r="DO77">
        <v>0</v>
      </c>
    </row>
    <row r="78" spans="1:119" x14ac:dyDescent="0.2">
      <c r="A78">
        <f>ROW(Source!A85)</f>
        <v>85</v>
      </c>
      <c r="B78">
        <v>143120906</v>
      </c>
      <c r="C78">
        <v>143124077</v>
      </c>
      <c r="D78">
        <v>140792324</v>
      </c>
      <c r="E78">
        <v>1</v>
      </c>
      <c r="F78">
        <v>1</v>
      </c>
      <c r="G78">
        <v>1</v>
      </c>
      <c r="H78">
        <v>3</v>
      </c>
      <c r="I78" t="s">
        <v>491</v>
      </c>
      <c r="J78" t="s">
        <v>492</v>
      </c>
      <c r="K78" t="s">
        <v>493</v>
      </c>
      <c r="L78">
        <v>1348</v>
      </c>
      <c r="N78">
        <v>1009</v>
      </c>
      <c r="O78" t="s">
        <v>199</v>
      </c>
      <c r="P78" t="s">
        <v>199</v>
      </c>
      <c r="Q78">
        <v>1000</v>
      </c>
      <c r="W78">
        <v>0</v>
      </c>
      <c r="X78">
        <v>660354419</v>
      </c>
      <c r="Y78">
        <f t="shared" si="33"/>
        <v>6.0000000000000001E-3</v>
      </c>
      <c r="AA78">
        <v>64103.77</v>
      </c>
      <c r="AB78">
        <v>0</v>
      </c>
      <c r="AC78">
        <v>0</v>
      </c>
      <c r="AD78">
        <v>0</v>
      </c>
      <c r="AE78">
        <v>8023</v>
      </c>
      <c r="AF78">
        <v>0</v>
      </c>
      <c r="AG78">
        <v>0</v>
      </c>
      <c r="AH78">
        <v>0</v>
      </c>
      <c r="AI78">
        <v>7.99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6.0000000000000001E-3</v>
      </c>
      <c r="AU78" t="s">
        <v>3</v>
      </c>
      <c r="AV78">
        <v>0</v>
      </c>
      <c r="AW78">
        <v>2</v>
      </c>
      <c r="AX78">
        <v>143124093</v>
      </c>
      <c r="AY78">
        <v>1</v>
      </c>
      <c r="AZ78">
        <v>0</v>
      </c>
      <c r="BA78">
        <v>96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ROUND(Y78*Source!I85,9)</f>
        <v>1.158E-3</v>
      </c>
      <c r="CY78">
        <f>AA78</f>
        <v>64103.77</v>
      </c>
      <c r="CZ78">
        <f>AE78</f>
        <v>8023</v>
      </c>
      <c r="DA78">
        <f>AI78</f>
        <v>7.99</v>
      </c>
      <c r="DB78">
        <f t="shared" si="34"/>
        <v>48.14</v>
      </c>
      <c r="DC78">
        <f t="shared" si="35"/>
        <v>0</v>
      </c>
      <c r="DD78" t="s">
        <v>3</v>
      </c>
      <c r="DE78" t="s">
        <v>3</v>
      </c>
      <c r="DF78">
        <f>ROUND(ROUND(AE78*CX78,2)*AI78,2)</f>
        <v>74.23</v>
      </c>
      <c r="DG78">
        <f>ROUND(AF78*CX78,2)</f>
        <v>0</v>
      </c>
      <c r="DH78">
        <f>ROUND(AG78*CX78,2)</f>
        <v>0</v>
      </c>
      <c r="DI78">
        <f t="shared" si="36"/>
        <v>0</v>
      </c>
      <c r="DJ78">
        <f>DF78</f>
        <v>74.23</v>
      </c>
      <c r="DK78">
        <v>0</v>
      </c>
      <c r="DL78" t="s">
        <v>3</v>
      </c>
      <c r="DM78">
        <v>0</v>
      </c>
      <c r="DN78" t="s">
        <v>3</v>
      </c>
      <c r="DO78">
        <v>0</v>
      </c>
    </row>
    <row r="79" spans="1:119" x14ac:dyDescent="0.2">
      <c r="A79">
        <f>ROW(Source!A88)</f>
        <v>88</v>
      </c>
      <c r="B79">
        <v>143120906</v>
      </c>
      <c r="C79">
        <v>143124049</v>
      </c>
      <c r="D79">
        <v>140759979</v>
      </c>
      <c r="E79">
        <v>70</v>
      </c>
      <c r="F79">
        <v>1</v>
      </c>
      <c r="G79">
        <v>1</v>
      </c>
      <c r="H79">
        <v>1</v>
      </c>
      <c r="I79" t="s">
        <v>494</v>
      </c>
      <c r="J79" t="s">
        <v>3</v>
      </c>
      <c r="K79" t="s">
        <v>495</v>
      </c>
      <c r="L79">
        <v>1191</v>
      </c>
      <c r="N79">
        <v>1013</v>
      </c>
      <c r="O79" t="s">
        <v>374</v>
      </c>
      <c r="P79" t="s">
        <v>374</v>
      </c>
      <c r="Q79">
        <v>1</v>
      </c>
      <c r="W79">
        <v>0</v>
      </c>
      <c r="X79">
        <v>1049124552</v>
      </c>
      <c r="Y79">
        <f t="shared" si="33"/>
        <v>36.799999999999997</v>
      </c>
      <c r="AA79">
        <v>0</v>
      </c>
      <c r="AB79">
        <v>0</v>
      </c>
      <c r="AC79">
        <v>0</v>
      </c>
      <c r="AD79">
        <v>238.33</v>
      </c>
      <c r="AE79">
        <v>0</v>
      </c>
      <c r="AF79">
        <v>0</v>
      </c>
      <c r="AG79">
        <v>0</v>
      </c>
      <c r="AH79">
        <v>8.5299999999999994</v>
      </c>
      <c r="AI79">
        <v>1</v>
      </c>
      <c r="AJ79">
        <v>1</v>
      </c>
      <c r="AK79">
        <v>1</v>
      </c>
      <c r="AL79">
        <v>27.94</v>
      </c>
      <c r="AN79">
        <v>0</v>
      </c>
      <c r="AO79">
        <v>1</v>
      </c>
      <c r="AP79">
        <v>1</v>
      </c>
      <c r="AQ79">
        <v>0</v>
      </c>
      <c r="AR79">
        <v>0</v>
      </c>
      <c r="AS79" t="s">
        <v>3</v>
      </c>
      <c r="AT79">
        <v>36.799999999999997</v>
      </c>
      <c r="AU79" t="s">
        <v>3</v>
      </c>
      <c r="AV79">
        <v>1</v>
      </c>
      <c r="AW79">
        <v>2</v>
      </c>
      <c r="AX79">
        <v>143127203</v>
      </c>
      <c r="AY79">
        <v>1</v>
      </c>
      <c r="AZ79">
        <v>0</v>
      </c>
      <c r="BA79">
        <v>99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ROUND(Y79*Source!I88,9)</f>
        <v>5.1520000000000001</v>
      </c>
      <c r="CY79">
        <f>AD79</f>
        <v>238.33</v>
      </c>
      <c r="CZ79">
        <f>AH79</f>
        <v>8.5299999999999994</v>
      </c>
      <c r="DA79">
        <f>AL79</f>
        <v>27.94</v>
      </c>
      <c r="DB79">
        <f t="shared" si="34"/>
        <v>313.89999999999998</v>
      </c>
      <c r="DC79">
        <f t="shared" si="35"/>
        <v>0</v>
      </c>
      <c r="DD79" t="s">
        <v>3</v>
      </c>
      <c r="DE79" t="s">
        <v>3</v>
      </c>
      <c r="DF79">
        <f>ROUND(AE79*CX79,2)</f>
        <v>0</v>
      </c>
      <c r="DG79">
        <f>ROUND(AF79*CX79,2)</f>
        <v>0</v>
      </c>
      <c r="DH79">
        <f>ROUND(AG79*CX79,2)</f>
        <v>0</v>
      </c>
      <c r="DI79">
        <f>ROUND(ROUND(AH79*CX79,2)*AL79,2)</f>
        <v>1227.96</v>
      </c>
      <c r="DJ79">
        <f>DI79</f>
        <v>1227.96</v>
      </c>
      <c r="DK79">
        <v>0</v>
      </c>
      <c r="DL79" t="s">
        <v>3</v>
      </c>
      <c r="DM79">
        <v>0</v>
      </c>
      <c r="DN79" t="s">
        <v>3</v>
      </c>
      <c r="DO79">
        <v>0</v>
      </c>
    </row>
    <row r="80" spans="1:119" x14ac:dyDescent="0.2">
      <c r="A80">
        <f>ROW(Source!A88)</f>
        <v>88</v>
      </c>
      <c r="B80">
        <v>143120906</v>
      </c>
      <c r="C80">
        <v>143124049</v>
      </c>
      <c r="D80">
        <v>140760225</v>
      </c>
      <c r="E80">
        <v>70</v>
      </c>
      <c r="F80">
        <v>1</v>
      </c>
      <c r="G80">
        <v>1</v>
      </c>
      <c r="H80">
        <v>1</v>
      </c>
      <c r="I80" t="s">
        <v>375</v>
      </c>
      <c r="J80" t="s">
        <v>3</v>
      </c>
      <c r="K80" t="s">
        <v>376</v>
      </c>
      <c r="L80">
        <v>1191</v>
      </c>
      <c r="N80">
        <v>1013</v>
      </c>
      <c r="O80" t="s">
        <v>374</v>
      </c>
      <c r="P80" t="s">
        <v>374</v>
      </c>
      <c r="Q80">
        <v>1</v>
      </c>
      <c r="W80">
        <v>0</v>
      </c>
      <c r="X80">
        <v>-1417349443</v>
      </c>
      <c r="Y80">
        <f t="shared" si="33"/>
        <v>0.13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1</v>
      </c>
      <c r="AJ80">
        <v>1</v>
      </c>
      <c r="AK80">
        <v>27.94</v>
      </c>
      <c r="AL80">
        <v>1</v>
      </c>
      <c r="AN80">
        <v>0</v>
      </c>
      <c r="AO80">
        <v>1</v>
      </c>
      <c r="AP80">
        <v>1</v>
      </c>
      <c r="AQ80">
        <v>0</v>
      </c>
      <c r="AR80">
        <v>0</v>
      </c>
      <c r="AS80" t="s">
        <v>3</v>
      </c>
      <c r="AT80">
        <v>0.13</v>
      </c>
      <c r="AU80" t="s">
        <v>3</v>
      </c>
      <c r="AV80">
        <v>2</v>
      </c>
      <c r="AW80">
        <v>2</v>
      </c>
      <c r="AX80">
        <v>143127204</v>
      </c>
      <c r="AY80">
        <v>1</v>
      </c>
      <c r="AZ80">
        <v>0</v>
      </c>
      <c r="BA80">
        <v>100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ROUND(Y80*Source!I88,9)</f>
        <v>1.8200000000000001E-2</v>
      </c>
      <c r="CY80">
        <f>AD80</f>
        <v>0</v>
      </c>
      <c r="CZ80">
        <f>AH80</f>
        <v>0</v>
      </c>
      <c r="DA80">
        <f>AL80</f>
        <v>1</v>
      </c>
      <c r="DB80">
        <f t="shared" si="34"/>
        <v>0</v>
      </c>
      <c r="DC80">
        <f t="shared" si="35"/>
        <v>0</v>
      </c>
      <c r="DD80" t="s">
        <v>3</v>
      </c>
      <c r="DE80" t="s">
        <v>3</v>
      </c>
      <c r="DF80">
        <f>ROUND(AE80*CX80,2)</f>
        <v>0</v>
      </c>
      <c r="DG80">
        <f>ROUND(AF80*CX80,2)</f>
        <v>0</v>
      </c>
      <c r="DH80">
        <f>ROUND(ROUND(AG80*CX80,2)*AK80,2)</f>
        <v>0</v>
      </c>
      <c r="DI80">
        <f>ROUND(AH80*CX80,2)</f>
        <v>0</v>
      </c>
      <c r="DJ80">
        <f>DI80</f>
        <v>0</v>
      </c>
      <c r="DK80">
        <v>0</v>
      </c>
      <c r="DL80" t="s">
        <v>3</v>
      </c>
      <c r="DM80">
        <v>0</v>
      </c>
      <c r="DN80" t="s">
        <v>3</v>
      </c>
      <c r="DO80">
        <v>0</v>
      </c>
    </row>
    <row r="81" spans="1:119" x14ac:dyDescent="0.2">
      <c r="A81">
        <f>ROW(Source!A88)</f>
        <v>88</v>
      </c>
      <c r="B81">
        <v>143120906</v>
      </c>
      <c r="C81">
        <v>143124049</v>
      </c>
      <c r="D81">
        <v>140923885</v>
      </c>
      <c r="E81">
        <v>1</v>
      </c>
      <c r="F81">
        <v>1</v>
      </c>
      <c r="G81">
        <v>1</v>
      </c>
      <c r="H81">
        <v>2</v>
      </c>
      <c r="I81" t="s">
        <v>387</v>
      </c>
      <c r="J81" t="s">
        <v>388</v>
      </c>
      <c r="K81" t="s">
        <v>389</v>
      </c>
      <c r="L81">
        <v>1367</v>
      </c>
      <c r="N81">
        <v>1011</v>
      </c>
      <c r="O81" t="s">
        <v>380</v>
      </c>
      <c r="P81" t="s">
        <v>380</v>
      </c>
      <c r="Q81">
        <v>1</v>
      </c>
      <c r="W81">
        <v>0</v>
      </c>
      <c r="X81">
        <v>509054691</v>
      </c>
      <c r="Y81">
        <f t="shared" si="33"/>
        <v>0.13</v>
      </c>
      <c r="AA81">
        <v>0</v>
      </c>
      <c r="AB81">
        <v>726.1</v>
      </c>
      <c r="AC81">
        <v>324.10000000000002</v>
      </c>
      <c r="AD81">
        <v>0</v>
      </c>
      <c r="AE81">
        <v>0</v>
      </c>
      <c r="AF81">
        <v>65.709999999999994</v>
      </c>
      <c r="AG81">
        <v>11.6</v>
      </c>
      <c r="AH81">
        <v>0</v>
      </c>
      <c r="AI81">
        <v>1</v>
      </c>
      <c r="AJ81">
        <v>11.05</v>
      </c>
      <c r="AK81">
        <v>27.94</v>
      </c>
      <c r="AL81">
        <v>1</v>
      </c>
      <c r="AN81">
        <v>0</v>
      </c>
      <c r="AO81">
        <v>1</v>
      </c>
      <c r="AP81">
        <v>1</v>
      </c>
      <c r="AQ81">
        <v>0</v>
      </c>
      <c r="AR81">
        <v>0</v>
      </c>
      <c r="AS81" t="s">
        <v>3</v>
      </c>
      <c r="AT81">
        <v>0.13</v>
      </c>
      <c r="AU81" t="s">
        <v>3</v>
      </c>
      <c r="AV81">
        <v>0</v>
      </c>
      <c r="AW81">
        <v>2</v>
      </c>
      <c r="AX81">
        <v>143127205</v>
      </c>
      <c r="AY81">
        <v>1</v>
      </c>
      <c r="AZ81">
        <v>0</v>
      </c>
      <c r="BA81">
        <v>101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ROUND(Y81*Source!I88,9)</f>
        <v>1.8200000000000001E-2</v>
      </c>
      <c r="CY81">
        <f>AB81</f>
        <v>726.1</v>
      </c>
      <c r="CZ81">
        <f>AF81</f>
        <v>65.709999999999994</v>
      </c>
      <c r="DA81">
        <f>AJ81</f>
        <v>11.05</v>
      </c>
      <c r="DB81">
        <f t="shared" si="34"/>
        <v>8.5399999999999991</v>
      </c>
      <c r="DC81">
        <f t="shared" si="35"/>
        <v>1.51</v>
      </c>
      <c r="DD81" t="s">
        <v>3</v>
      </c>
      <c r="DE81" t="s">
        <v>3</v>
      </c>
      <c r="DF81">
        <f>ROUND(AE81*CX81,2)</f>
        <v>0</v>
      </c>
      <c r="DG81">
        <f>ROUND(ROUND(AF81*CX81,2)*AJ81,2)</f>
        <v>13.26</v>
      </c>
      <c r="DH81">
        <f>ROUND(ROUND(AG81*CX81,2)*AK81,2)</f>
        <v>5.87</v>
      </c>
      <c r="DI81">
        <f>ROUND(AH81*CX81,2)</f>
        <v>0</v>
      </c>
      <c r="DJ81">
        <f>DG81</f>
        <v>13.26</v>
      </c>
      <c r="DK81">
        <v>0</v>
      </c>
      <c r="DL81" t="s">
        <v>3</v>
      </c>
      <c r="DM81">
        <v>0</v>
      </c>
      <c r="DN81" t="s">
        <v>3</v>
      </c>
      <c r="DO81">
        <v>0</v>
      </c>
    </row>
    <row r="82" spans="1:119" x14ac:dyDescent="0.2">
      <c r="A82">
        <f>ROW(Source!A88)</f>
        <v>88</v>
      </c>
      <c r="B82">
        <v>143120906</v>
      </c>
      <c r="C82">
        <v>143124049</v>
      </c>
      <c r="D82">
        <v>140792339</v>
      </c>
      <c r="E82">
        <v>1</v>
      </c>
      <c r="F82">
        <v>1</v>
      </c>
      <c r="G82">
        <v>1</v>
      </c>
      <c r="H82">
        <v>3</v>
      </c>
      <c r="I82" t="s">
        <v>414</v>
      </c>
      <c r="J82" t="s">
        <v>415</v>
      </c>
      <c r="K82" t="s">
        <v>416</v>
      </c>
      <c r="L82">
        <v>1348</v>
      </c>
      <c r="N82">
        <v>1009</v>
      </c>
      <c r="O82" t="s">
        <v>199</v>
      </c>
      <c r="P82" t="s">
        <v>199</v>
      </c>
      <c r="Q82">
        <v>1000</v>
      </c>
      <c r="W82">
        <v>0</v>
      </c>
      <c r="X82">
        <v>-120483918</v>
      </c>
      <c r="Y82">
        <f t="shared" si="33"/>
        <v>5.0000000000000001E-4</v>
      </c>
      <c r="AA82">
        <v>35597.050000000003</v>
      </c>
      <c r="AB82">
        <v>0</v>
      </c>
      <c r="AC82">
        <v>0</v>
      </c>
      <c r="AD82">
        <v>0</v>
      </c>
      <c r="AE82">
        <v>4455.2</v>
      </c>
      <c r="AF82">
        <v>0</v>
      </c>
      <c r="AG82">
        <v>0</v>
      </c>
      <c r="AH82">
        <v>0</v>
      </c>
      <c r="AI82">
        <v>7.99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1</v>
      </c>
      <c r="AQ82">
        <v>0</v>
      </c>
      <c r="AR82">
        <v>0</v>
      </c>
      <c r="AS82" t="s">
        <v>3</v>
      </c>
      <c r="AT82">
        <v>5.0000000000000001E-4</v>
      </c>
      <c r="AU82" t="s">
        <v>3</v>
      </c>
      <c r="AV82">
        <v>0</v>
      </c>
      <c r="AW82">
        <v>2</v>
      </c>
      <c r="AX82">
        <v>143127207</v>
      </c>
      <c r="AY82">
        <v>1</v>
      </c>
      <c r="AZ82">
        <v>0</v>
      </c>
      <c r="BA82">
        <v>103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ROUND(Y82*Source!I88,9)</f>
        <v>6.9999999999999994E-5</v>
      </c>
      <c r="CY82">
        <f>AA82</f>
        <v>35597.050000000003</v>
      </c>
      <c r="CZ82">
        <f>AE82</f>
        <v>4455.2</v>
      </c>
      <c r="DA82">
        <f>AI82</f>
        <v>7.99</v>
      </c>
      <c r="DB82">
        <f t="shared" si="34"/>
        <v>2.23</v>
      </c>
      <c r="DC82">
        <f t="shared" si="35"/>
        <v>0</v>
      </c>
      <c r="DD82" t="s">
        <v>3</v>
      </c>
      <c r="DE82" t="s">
        <v>3</v>
      </c>
      <c r="DF82">
        <f>ROUND(ROUND(AE82*CX82,2)*AI82,2)</f>
        <v>2.48</v>
      </c>
      <c r="DG82">
        <f>ROUND(AF82*CX82,2)</f>
        <v>0</v>
      </c>
      <c r="DH82">
        <f>ROUND(AG82*CX82,2)</f>
        <v>0</v>
      </c>
      <c r="DI82">
        <f>ROUND(AH82*CX82,2)</f>
        <v>0</v>
      </c>
      <c r="DJ82">
        <f>DF82</f>
        <v>2.48</v>
      </c>
      <c r="DK82">
        <v>0</v>
      </c>
      <c r="DL82" t="s">
        <v>3</v>
      </c>
      <c r="DM82">
        <v>0</v>
      </c>
      <c r="DN82" t="s">
        <v>3</v>
      </c>
      <c r="DO82">
        <v>0</v>
      </c>
    </row>
    <row r="83" spans="1:119" x14ac:dyDescent="0.2">
      <c r="A83">
        <f>ROW(Source!A90)</f>
        <v>90</v>
      </c>
      <c r="B83">
        <v>143120906</v>
      </c>
      <c r="C83">
        <v>143124056</v>
      </c>
      <c r="D83">
        <v>140759979</v>
      </c>
      <c r="E83">
        <v>70</v>
      </c>
      <c r="F83">
        <v>1</v>
      </c>
      <c r="G83">
        <v>1</v>
      </c>
      <c r="H83">
        <v>1</v>
      </c>
      <c r="I83" t="s">
        <v>494</v>
      </c>
      <c r="J83" t="s">
        <v>3</v>
      </c>
      <c r="K83" t="s">
        <v>495</v>
      </c>
      <c r="L83">
        <v>1191</v>
      </c>
      <c r="N83">
        <v>1013</v>
      </c>
      <c r="O83" t="s">
        <v>374</v>
      </c>
      <c r="P83" t="s">
        <v>374</v>
      </c>
      <c r="Q83">
        <v>1</v>
      </c>
      <c r="W83">
        <v>0</v>
      </c>
      <c r="X83">
        <v>1049124552</v>
      </c>
      <c r="Y83">
        <f t="shared" si="33"/>
        <v>53.6</v>
      </c>
      <c r="AA83">
        <v>0</v>
      </c>
      <c r="AB83">
        <v>0</v>
      </c>
      <c r="AC83">
        <v>0</v>
      </c>
      <c r="AD83">
        <v>238.33</v>
      </c>
      <c r="AE83">
        <v>0</v>
      </c>
      <c r="AF83">
        <v>0</v>
      </c>
      <c r="AG83">
        <v>0</v>
      </c>
      <c r="AH83">
        <v>8.5299999999999994</v>
      </c>
      <c r="AI83">
        <v>1</v>
      </c>
      <c r="AJ83">
        <v>1</v>
      </c>
      <c r="AK83">
        <v>1</v>
      </c>
      <c r="AL83">
        <v>27.94</v>
      </c>
      <c r="AN83">
        <v>0</v>
      </c>
      <c r="AO83">
        <v>1</v>
      </c>
      <c r="AP83">
        <v>1</v>
      </c>
      <c r="AQ83">
        <v>0</v>
      </c>
      <c r="AR83">
        <v>0</v>
      </c>
      <c r="AS83" t="s">
        <v>3</v>
      </c>
      <c r="AT83">
        <v>53.6</v>
      </c>
      <c r="AU83" t="s">
        <v>3</v>
      </c>
      <c r="AV83">
        <v>1</v>
      </c>
      <c r="AW83">
        <v>2</v>
      </c>
      <c r="AX83">
        <v>143124057</v>
      </c>
      <c r="AY83">
        <v>1</v>
      </c>
      <c r="AZ83">
        <v>0</v>
      </c>
      <c r="BA83">
        <v>104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ROUND(Y83*Source!I90,9)</f>
        <v>2.1440000000000001</v>
      </c>
      <c r="CY83">
        <f>AD83</f>
        <v>238.33</v>
      </c>
      <c r="CZ83">
        <f>AH83</f>
        <v>8.5299999999999994</v>
      </c>
      <c r="DA83">
        <f>AL83</f>
        <v>27.94</v>
      </c>
      <c r="DB83">
        <f t="shared" si="34"/>
        <v>457.21</v>
      </c>
      <c r="DC83">
        <f t="shared" si="35"/>
        <v>0</v>
      </c>
      <c r="DD83" t="s">
        <v>3</v>
      </c>
      <c r="DE83" t="s">
        <v>3</v>
      </c>
      <c r="DF83">
        <f>ROUND(AE83*CX83,2)</f>
        <v>0</v>
      </c>
      <c r="DG83">
        <f>ROUND(AF83*CX83,2)</f>
        <v>0</v>
      </c>
      <c r="DH83">
        <f>ROUND(AG83*CX83,2)</f>
        <v>0</v>
      </c>
      <c r="DI83">
        <f>ROUND(ROUND(AH83*CX83,2)*AL83,2)</f>
        <v>511.02</v>
      </c>
      <c r="DJ83">
        <f>DI83</f>
        <v>511.02</v>
      </c>
      <c r="DK83">
        <v>0</v>
      </c>
      <c r="DL83" t="s">
        <v>3</v>
      </c>
      <c r="DM83">
        <v>0</v>
      </c>
      <c r="DN83" t="s">
        <v>3</v>
      </c>
      <c r="DO83">
        <v>0</v>
      </c>
    </row>
    <row r="84" spans="1:119" x14ac:dyDescent="0.2">
      <c r="A84">
        <f>ROW(Source!A90)</f>
        <v>90</v>
      </c>
      <c r="B84">
        <v>143120906</v>
      </c>
      <c r="C84">
        <v>143124056</v>
      </c>
      <c r="D84">
        <v>140760225</v>
      </c>
      <c r="E84">
        <v>70</v>
      </c>
      <c r="F84">
        <v>1</v>
      </c>
      <c r="G84">
        <v>1</v>
      </c>
      <c r="H84">
        <v>1</v>
      </c>
      <c r="I84" t="s">
        <v>375</v>
      </c>
      <c r="J84" t="s">
        <v>3</v>
      </c>
      <c r="K84" t="s">
        <v>376</v>
      </c>
      <c r="L84">
        <v>1191</v>
      </c>
      <c r="N84">
        <v>1013</v>
      </c>
      <c r="O84" t="s">
        <v>374</v>
      </c>
      <c r="P84" t="s">
        <v>374</v>
      </c>
      <c r="Q84">
        <v>1</v>
      </c>
      <c r="W84">
        <v>0</v>
      </c>
      <c r="X84">
        <v>-1417349443</v>
      </c>
      <c r="Y84">
        <f t="shared" si="33"/>
        <v>0.08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1</v>
      </c>
      <c r="AJ84">
        <v>1</v>
      </c>
      <c r="AK84">
        <v>27.94</v>
      </c>
      <c r="AL84">
        <v>1</v>
      </c>
      <c r="AN84">
        <v>0</v>
      </c>
      <c r="AO84">
        <v>1</v>
      </c>
      <c r="AP84">
        <v>1</v>
      </c>
      <c r="AQ84">
        <v>0</v>
      </c>
      <c r="AR84">
        <v>0</v>
      </c>
      <c r="AS84" t="s">
        <v>3</v>
      </c>
      <c r="AT84">
        <v>0.08</v>
      </c>
      <c r="AU84" t="s">
        <v>3</v>
      </c>
      <c r="AV84">
        <v>2</v>
      </c>
      <c r="AW84">
        <v>2</v>
      </c>
      <c r="AX84">
        <v>143124058</v>
      </c>
      <c r="AY84">
        <v>1</v>
      </c>
      <c r="AZ84">
        <v>0</v>
      </c>
      <c r="BA84">
        <v>105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ROUND(Y84*Source!I90,9)</f>
        <v>3.2000000000000002E-3</v>
      </c>
      <c r="CY84">
        <f>AD84</f>
        <v>0</v>
      </c>
      <c r="CZ84">
        <f>AH84</f>
        <v>0</v>
      </c>
      <c r="DA84">
        <f>AL84</f>
        <v>1</v>
      </c>
      <c r="DB84">
        <f t="shared" si="34"/>
        <v>0</v>
      </c>
      <c r="DC84">
        <f t="shared" si="35"/>
        <v>0</v>
      </c>
      <c r="DD84" t="s">
        <v>3</v>
      </c>
      <c r="DE84" t="s">
        <v>3</v>
      </c>
      <c r="DF84">
        <f>ROUND(AE84*CX84,2)</f>
        <v>0</v>
      </c>
      <c r="DG84">
        <f>ROUND(AF84*CX84,2)</f>
        <v>0</v>
      </c>
      <c r="DH84">
        <f>ROUND(ROUND(AG84*CX84,2)*AK84,2)</f>
        <v>0</v>
      </c>
      <c r="DI84">
        <f>ROUND(AH84*CX84,2)</f>
        <v>0</v>
      </c>
      <c r="DJ84">
        <f>DI84</f>
        <v>0</v>
      </c>
      <c r="DK84">
        <v>0</v>
      </c>
      <c r="DL84" t="s">
        <v>3</v>
      </c>
      <c r="DM84">
        <v>0</v>
      </c>
      <c r="DN84" t="s">
        <v>3</v>
      </c>
      <c r="DO84">
        <v>0</v>
      </c>
    </row>
    <row r="85" spans="1:119" x14ac:dyDescent="0.2">
      <c r="A85">
        <f>ROW(Source!A90)</f>
        <v>90</v>
      </c>
      <c r="B85">
        <v>143120906</v>
      </c>
      <c r="C85">
        <v>143124056</v>
      </c>
      <c r="D85">
        <v>140923885</v>
      </c>
      <c r="E85">
        <v>1</v>
      </c>
      <c r="F85">
        <v>1</v>
      </c>
      <c r="G85">
        <v>1</v>
      </c>
      <c r="H85">
        <v>2</v>
      </c>
      <c r="I85" t="s">
        <v>387</v>
      </c>
      <c r="J85" t="s">
        <v>388</v>
      </c>
      <c r="K85" t="s">
        <v>389</v>
      </c>
      <c r="L85">
        <v>1367</v>
      </c>
      <c r="N85">
        <v>1011</v>
      </c>
      <c r="O85" t="s">
        <v>380</v>
      </c>
      <c r="P85" t="s">
        <v>380</v>
      </c>
      <c r="Q85">
        <v>1</v>
      </c>
      <c r="W85">
        <v>0</v>
      </c>
      <c r="X85">
        <v>509054691</v>
      </c>
      <c r="Y85">
        <f t="shared" si="33"/>
        <v>0.08</v>
      </c>
      <c r="AA85">
        <v>0</v>
      </c>
      <c r="AB85">
        <v>726.1</v>
      </c>
      <c r="AC85">
        <v>324.10000000000002</v>
      </c>
      <c r="AD85">
        <v>0</v>
      </c>
      <c r="AE85">
        <v>0</v>
      </c>
      <c r="AF85">
        <v>65.709999999999994</v>
      </c>
      <c r="AG85">
        <v>11.6</v>
      </c>
      <c r="AH85">
        <v>0</v>
      </c>
      <c r="AI85">
        <v>1</v>
      </c>
      <c r="AJ85">
        <v>11.05</v>
      </c>
      <c r="AK85">
        <v>27.94</v>
      </c>
      <c r="AL85">
        <v>1</v>
      </c>
      <c r="AN85">
        <v>0</v>
      </c>
      <c r="AO85">
        <v>1</v>
      </c>
      <c r="AP85">
        <v>1</v>
      </c>
      <c r="AQ85">
        <v>0</v>
      </c>
      <c r="AR85">
        <v>0</v>
      </c>
      <c r="AS85" t="s">
        <v>3</v>
      </c>
      <c r="AT85">
        <v>0.08</v>
      </c>
      <c r="AU85" t="s">
        <v>3</v>
      </c>
      <c r="AV85">
        <v>0</v>
      </c>
      <c r="AW85">
        <v>2</v>
      </c>
      <c r="AX85">
        <v>143124059</v>
      </c>
      <c r="AY85">
        <v>1</v>
      </c>
      <c r="AZ85">
        <v>0</v>
      </c>
      <c r="BA85">
        <v>106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ROUND(Y85*Source!I90,9)</f>
        <v>3.2000000000000002E-3</v>
      </c>
      <c r="CY85">
        <f>AB85</f>
        <v>726.1</v>
      </c>
      <c r="CZ85">
        <f>AF85</f>
        <v>65.709999999999994</v>
      </c>
      <c r="DA85">
        <f>AJ85</f>
        <v>11.05</v>
      </c>
      <c r="DB85">
        <f t="shared" si="34"/>
        <v>5.26</v>
      </c>
      <c r="DC85">
        <f t="shared" si="35"/>
        <v>0.93</v>
      </c>
      <c r="DD85" t="s">
        <v>3</v>
      </c>
      <c r="DE85" t="s">
        <v>3</v>
      </c>
      <c r="DF85">
        <f>ROUND(AE85*CX85,2)</f>
        <v>0</v>
      </c>
      <c r="DG85">
        <f>ROUND(ROUND(AF85*CX85,2)*AJ85,2)</f>
        <v>2.3199999999999998</v>
      </c>
      <c r="DH85">
        <f>ROUND(ROUND(AG85*CX85,2)*AK85,2)</f>
        <v>1.1200000000000001</v>
      </c>
      <c r="DI85">
        <f>ROUND(AH85*CX85,2)</f>
        <v>0</v>
      </c>
      <c r="DJ85">
        <f>DG85</f>
        <v>2.3199999999999998</v>
      </c>
      <c r="DK85">
        <v>0</v>
      </c>
      <c r="DL85" t="s">
        <v>3</v>
      </c>
      <c r="DM85">
        <v>0</v>
      </c>
      <c r="DN85" t="s">
        <v>3</v>
      </c>
      <c r="DO85">
        <v>0</v>
      </c>
    </row>
    <row r="86" spans="1:119" x14ac:dyDescent="0.2">
      <c r="A86">
        <f>ROW(Source!A90)</f>
        <v>90</v>
      </c>
      <c r="B86">
        <v>143120906</v>
      </c>
      <c r="C86">
        <v>143124056</v>
      </c>
      <c r="D86">
        <v>140775019</v>
      </c>
      <c r="E86">
        <v>1</v>
      </c>
      <c r="F86">
        <v>1</v>
      </c>
      <c r="G86">
        <v>1</v>
      </c>
      <c r="H86">
        <v>3</v>
      </c>
      <c r="I86" t="s">
        <v>496</v>
      </c>
      <c r="J86" t="s">
        <v>497</v>
      </c>
      <c r="K86" t="s">
        <v>498</v>
      </c>
      <c r="L86">
        <v>1348</v>
      </c>
      <c r="N86">
        <v>1009</v>
      </c>
      <c r="O86" t="s">
        <v>199</v>
      </c>
      <c r="P86" t="s">
        <v>199</v>
      </c>
      <c r="Q86">
        <v>1000</v>
      </c>
      <c r="W86">
        <v>0</v>
      </c>
      <c r="X86">
        <v>1049486920</v>
      </c>
      <c r="Y86">
        <f t="shared" si="33"/>
        <v>0.01</v>
      </c>
      <c r="AA86">
        <v>132255.99</v>
      </c>
      <c r="AB86">
        <v>0</v>
      </c>
      <c r="AC86">
        <v>0</v>
      </c>
      <c r="AD86">
        <v>0</v>
      </c>
      <c r="AE86">
        <v>16552.689999999999</v>
      </c>
      <c r="AF86">
        <v>0</v>
      </c>
      <c r="AG86">
        <v>0</v>
      </c>
      <c r="AH86">
        <v>0</v>
      </c>
      <c r="AI86">
        <v>7.99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1</v>
      </c>
      <c r="AQ86">
        <v>0</v>
      </c>
      <c r="AR86">
        <v>0</v>
      </c>
      <c r="AS86" t="s">
        <v>3</v>
      </c>
      <c r="AT86">
        <v>0.01</v>
      </c>
      <c r="AU86" t="s">
        <v>3</v>
      </c>
      <c r="AV86">
        <v>0</v>
      </c>
      <c r="AW86">
        <v>2</v>
      </c>
      <c r="AX86">
        <v>143124060</v>
      </c>
      <c r="AY86">
        <v>1</v>
      </c>
      <c r="AZ86">
        <v>0</v>
      </c>
      <c r="BA86">
        <v>107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ROUND(Y86*Source!I90,9)</f>
        <v>4.0000000000000002E-4</v>
      </c>
      <c r="CY86">
        <f>AA86</f>
        <v>132255.99</v>
      </c>
      <c r="CZ86">
        <f>AE86</f>
        <v>16552.689999999999</v>
      </c>
      <c r="DA86">
        <f>AI86</f>
        <v>7.99</v>
      </c>
      <c r="DB86">
        <f t="shared" si="34"/>
        <v>165.53</v>
      </c>
      <c r="DC86">
        <f t="shared" si="35"/>
        <v>0</v>
      </c>
      <c r="DD86" t="s">
        <v>3</v>
      </c>
      <c r="DE86" t="s">
        <v>3</v>
      </c>
      <c r="DF86">
        <f>ROUND(ROUND(AE86*CX86,2)*AI86,2)</f>
        <v>52.89</v>
      </c>
      <c r="DG86">
        <f>ROUND(AF86*CX86,2)</f>
        <v>0</v>
      </c>
      <c r="DH86">
        <f>ROUND(AG86*CX86,2)</f>
        <v>0</v>
      </c>
      <c r="DI86">
        <f>ROUND(AH86*CX86,2)</f>
        <v>0</v>
      </c>
      <c r="DJ86">
        <f>DF86</f>
        <v>52.89</v>
      </c>
      <c r="DK86">
        <v>0</v>
      </c>
      <c r="DL86" t="s">
        <v>3</v>
      </c>
      <c r="DM86">
        <v>0</v>
      </c>
      <c r="DN86" t="s">
        <v>3</v>
      </c>
      <c r="DO86">
        <v>0</v>
      </c>
    </row>
    <row r="87" spans="1:119" x14ac:dyDescent="0.2">
      <c r="A87">
        <f>ROW(Source!A92)</f>
        <v>92</v>
      </c>
      <c r="B87">
        <v>143120906</v>
      </c>
      <c r="C87">
        <v>143124334</v>
      </c>
      <c r="D87">
        <v>140759979</v>
      </c>
      <c r="E87">
        <v>70</v>
      </c>
      <c r="F87">
        <v>1</v>
      </c>
      <c r="G87">
        <v>1</v>
      </c>
      <c r="H87">
        <v>1</v>
      </c>
      <c r="I87" t="s">
        <v>494</v>
      </c>
      <c r="J87" t="s">
        <v>3</v>
      </c>
      <c r="K87" t="s">
        <v>495</v>
      </c>
      <c r="L87">
        <v>1191</v>
      </c>
      <c r="N87">
        <v>1013</v>
      </c>
      <c r="O87" t="s">
        <v>374</v>
      </c>
      <c r="P87" t="s">
        <v>374</v>
      </c>
      <c r="Q87">
        <v>1</v>
      </c>
      <c r="W87">
        <v>0</v>
      </c>
      <c r="X87">
        <v>1049124552</v>
      </c>
      <c r="Y87">
        <f>((AT87*1.15)*1.2)</f>
        <v>1.2419999999999998</v>
      </c>
      <c r="AA87">
        <v>0</v>
      </c>
      <c r="AB87">
        <v>0</v>
      </c>
      <c r="AC87">
        <v>0</v>
      </c>
      <c r="AD87">
        <v>238.33</v>
      </c>
      <c r="AE87">
        <v>0</v>
      </c>
      <c r="AF87">
        <v>0</v>
      </c>
      <c r="AG87">
        <v>0</v>
      </c>
      <c r="AH87">
        <v>8.5299999999999994</v>
      </c>
      <c r="AI87">
        <v>1</v>
      </c>
      <c r="AJ87">
        <v>1</v>
      </c>
      <c r="AK87">
        <v>1</v>
      </c>
      <c r="AL87">
        <v>27.94</v>
      </c>
      <c r="AN87">
        <v>0</v>
      </c>
      <c r="AO87">
        <v>1</v>
      </c>
      <c r="AP87">
        <v>1</v>
      </c>
      <c r="AQ87">
        <v>0</v>
      </c>
      <c r="AR87">
        <v>0</v>
      </c>
      <c r="AS87" t="s">
        <v>3</v>
      </c>
      <c r="AT87">
        <v>0.9</v>
      </c>
      <c r="AU87" t="s">
        <v>17</v>
      </c>
      <c r="AV87">
        <v>1</v>
      </c>
      <c r="AW87">
        <v>2</v>
      </c>
      <c r="AX87">
        <v>143124335</v>
      </c>
      <c r="AY87">
        <v>1</v>
      </c>
      <c r="AZ87">
        <v>2048</v>
      </c>
      <c r="BA87">
        <v>110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ROUND(Y87*Source!I92,9)</f>
        <v>31.9194</v>
      </c>
      <c r="CY87">
        <f>AD87</f>
        <v>238.33</v>
      </c>
      <c r="CZ87">
        <f>AH87</f>
        <v>8.5299999999999994</v>
      </c>
      <c r="DA87">
        <f>AL87</f>
        <v>27.94</v>
      </c>
      <c r="DB87">
        <f>ROUND(((ROUND(AT87*CZ87,2)*1.15)*1.2),2)</f>
        <v>10.6</v>
      </c>
      <c r="DC87">
        <f>ROUND(((ROUND(AT87*AG87,2)*1.15)*1.2),2)</f>
        <v>0</v>
      </c>
      <c r="DD87" t="s">
        <v>3</v>
      </c>
      <c r="DE87" t="s">
        <v>3</v>
      </c>
      <c r="DF87">
        <f t="shared" ref="DF87:DF95" si="37">ROUND(AE87*CX87,2)</f>
        <v>0</v>
      </c>
      <c r="DG87">
        <f>ROUND(AF87*CX87,2)</f>
        <v>0</v>
      </c>
      <c r="DH87">
        <f>ROUND(AG87*CX87,2)</f>
        <v>0</v>
      </c>
      <c r="DI87">
        <f>ROUND(ROUND(AH87*CX87,2)*AL87,2)</f>
        <v>7607.22</v>
      </c>
      <c r="DJ87">
        <f>DI87</f>
        <v>7607.22</v>
      </c>
      <c r="DK87">
        <v>0</v>
      </c>
      <c r="DL87" t="s">
        <v>3</v>
      </c>
      <c r="DM87">
        <v>0</v>
      </c>
      <c r="DN87" t="s">
        <v>3</v>
      </c>
      <c r="DO87">
        <v>0</v>
      </c>
    </row>
    <row r="88" spans="1:119" x14ac:dyDescent="0.2">
      <c r="A88">
        <f>ROW(Source!A93)</f>
        <v>93</v>
      </c>
      <c r="B88">
        <v>143120906</v>
      </c>
      <c r="C88">
        <v>143124336</v>
      </c>
      <c r="D88">
        <v>140759979</v>
      </c>
      <c r="E88">
        <v>70</v>
      </c>
      <c r="F88">
        <v>1</v>
      </c>
      <c r="G88">
        <v>1</v>
      </c>
      <c r="H88">
        <v>1</v>
      </c>
      <c r="I88" t="s">
        <v>494</v>
      </c>
      <c r="J88" t="s">
        <v>3</v>
      </c>
      <c r="K88" t="s">
        <v>495</v>
      </c>
      <c r="L88">
        <v>1191</v>
      </c>
      <c r="N88">
        <v>1013</v>
      </c>
      <c r="O88" t="s">
        <v>374</v>
      </c>
      <c r="P88" t="s">
        <v>374</v>
      </c>
      <c r="Q88">
        <v>1</v>
      </c>
      <c r="W88">
        <v>0</v>
      </c>
      <c r="X88">
        <v>1049124552</v>
      </c>
      <c r="Y88">
        <f>((AT88*1.15)*1.2)</f>
        <v>9.6600000000000005E-2</v>
      </c>
      <c r="AA88">
        <v>0</v>
      </c>
      <c r="AB88">
        <v>0</v>
      </c>
      <c r="AC88">
        <v>0</v>
      </c>
      <c r="AD88">
        <v>238.33</v>
      </c>
      <c r="AE88">
        <v>0</v>
      </c>
      <c r="AF88">
        <v>0</v>
      </c>
      <c r="AG88">
        <v>0</v>
      </c>
      <c r="AH88">
        <v>8.5299999999999994</v>
      </c>
      <c r="AI88">
        <v>1</v>
      </c>
      <c r="AJ88">
        <v>1</v>
      </c>
      <c r="AK88">
        <v>1</v>
      </c>
      <c r="AL88">
        <v>27.94</v>
      </c>
      <c r="AN88">
        <v>0</v>
      </c>
      <c r="AO88">
        <v>1</v>
      </c>
      <c r="AP88">
        <v>1</v>
      </c>
      <c r="AQ88">
        <v>0</v>
      </c>
      <c r="AR88">
        <v>0</v>
      </c>
      <c r="AS88" t="s">
        <v>3</v>
      </c>
      <c r="AT88">
        <v>7.0000000000000007E-2</v>
      </c>
      <c r="AU88" t="s">
        <v>17</v>
      </c>
      <c r="AV88">
        <v>1</v>
      </c>
      <c r="AW88">
        <v>2</v>
      </c>
      <c r="AX88">
        <v>143124337</v>
      </c>
      <c r="AY88">
        <v>1</v>
      </c>
      <c r="AZ88">
        <v>2048</v>
      </c>
      <c r="BA88">
        <v>111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ROUND(Y88*Source!I93,9)</f>
        <v>2.4826199999999998</v>
      </c>
      <c r="CY88">
        <f>AD88</f>
        <v>238.33</v>
      </c>
      <c r="CZ88">
        <f>AH88</f>
        <v>8.5299999999999994</v>
      </c>
      <c r="DA88">
        <f>AL88</f>
        <v>27.94</v>
      </c>
      <c r="DB88">
        <f>ROUND(((ROUND(AT88*CZ88,2)*1.15)*1.2),2)</f>
        <v>0.83</v>
      </c>
      <c r="DC88">
        <f>ROUND(((ROUND(AT88*AG88,2)*1.15)*1.2),2)</f>
        <v>0</v>
      </c>
      <c r="DD88" t="s">
        <v>3</v>
      </c>
      <c r="DE88" t="s">
        <v>3</v>
      </c>
      <c r="DF88">
        <f t="shared" si="37"/>
        <v>0</v>
      </c>
      <c r="DG88">
        <f>ROUND(AF88*CX88,2)</f>
        <v>0</v>
      </c>
      <c r="DH88">
        <f>ROUND(AG88*CX88,2)</f>
        <v>0</v>
      </c>
      <c r="DI88">
        <f>ROUND(ROUND(AH88*CX88,2)*AL88,2)</f>
        <v>591.77</v>
      </c>
      <c r="DJ88">
        <f>DI88</f>
        <v>591.77</v>
      </c>
      <c r="DK88">
        <v>0</v>
      </c>
      <c r="DL88" t="s">
        <v>3</v>
      </c>
      <c r="DM88">
        <v>0</v>
      </c>
      <c r="DN88" t="s">
        <v>3</v>
      </c>
      <c r="DO88">
        <v>0</v>
      </c>
    </row>
    <row r="89" spans="1:119" x14ac:dyDescent="0.2">
      <c r="A89">
        <f>ROW(Source!A93)</f>
        <v>93</v>
      </c>
      <c r="B89">
        <v>143120906</v>
      </c>
      <c r="C89">
        <v>143124336</v>
      </c>
      <c r="D89">
        <v>140924755</v>
      </c>
      <c r="E89">
        <v>1</v>
      </c>
      <c r="F89">
        <v>1</v>
      </c>
      <c r="G89">
        <v>1</v>
      </c>
      <c r="H89">
        <v>2</v>
      </c>
      <c r="I89" t="s">
        <v>499</v>
      </c>
      <c r="J89" t="s">
        <v>500</v>
      </c>
      <c r="K89" t="s">
        <v>501</v>
      </c>
      <c r="L89">
        <v>1367</v>
      </c>
      <c r="N89">
        <v>1011</v>
      </c>
      <c r="O89" t="s">
        <v>380</v>
      </c>
      <c r="P89" t="s">
        <v>380</v>
      </c>
      <c r="Q89">
        <v>1</v>
      </c>
      <c r="W89">
        <v>0</v>
      </c>
      <c r="X89">
        <v>893954064</v>
      </c>
      <c r="Y89">
        <f>((AT89*1.25)*1.2)</f>
        <v>0.15</v>
      </c>
      <c r="AA89">
        <v>0</v>
      </c>
      <c r="AB89">
        <v>36.35</v>
      </c>
      <c r="AC89">
        <v>0</v>
      </c>
      <c r="AD89">
        <v>0</v>
      </c>
      <c r="AE89">
        <v>0</v>
      </c>
      <c r="AF89">
        <v>3.29</v>
      </c>
      <c r="AG89">
        <v>0</v>
      </c>
      <c r="AH89">
        <v>0</v>
      </c>
      <c r="AI89">
        <v>1</v>
      </c>
      <c r="AJ89">
        <v>11.05</v>
      </c>
      <c r="AK89">
        <v>27.94</v>
      </c>
      <c r="AL89">
        <v>1</v>
      </c>
      <c r="AN89">
        <v>0</v>
      </c>
      <c r="AO89">
        <v>1</v>
      </c>
      <c r="AP89">
        <v>1</v>
      </c>
      <c r="AQ89">
        <v>0</v>
      </c>
      <c r="AR89">
        <v>0</v>
      </c>
      <c r="AS89" t="s">
        <v>3</v>
      </c>
      <c r="AT89">
        <v>0.1</v>
      </c>
      <c r="AU89" t="s">
        <v>16</v>
      </c>
      <c r="AV89">
        <v>0</v>
      </c>
      <c r="AW89">
        <v>2</v>
      </c>
      <c r="AX89">
        <v>143124338</v>
      </c>
      <c r="AY89">
        <v>1</v>
      </c>
      <c r="AZ89">
        <v>2048</v>
      </c>
      <c r="BA89">
        <v>112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ROUND(Y89*Source!I93,9)</f>
        <v>3.855</v>
      </c>
      <c r="CY89">
        <f>AB89</f>
        <v>36.35</v>
      </c>
      <c r="CZ89">
        <f>AF89</f>
        <v>3.29</v>
      </c>
      <c r="DA89">
        <f>AJ89</f>
        <v>11.05</v>
      </c>
      <c r="DB89">
        <f>ROUND(((ROUND(AT89*CZ89,2)*1.25)*1.2),2)</f>
        <v>0.5</v>
      </c>
      <c r="DC89">
        <f>ROUND(((ROUND(AT89*AG89,2)*1.25)*1.2),2)</f>
        <v>0</v>
      </c>
      <c r="DD89" t="s">
        <v>3</v>
      </c>
      <c r="DE89" t="s">
        <v>3</v>
      </c>
      <c r="DF89">
        <f t="shared" si="37"/>
        <v>0</v>
      </c>
      <c r="DG89">
        <f>ROUND(ROUND(AF89*CX89,2)*AJ89,2)</f>
        <v>140.11000000000001</v>
      </c>
      <c r="DH89">
        <f>ROUND(ROUND(AG89*CX89,2)*AK89,2)</f>
        <v>0</v>
      </c>
      <c r="DI89">
        <f>ROUND(AH89*CX89,2)</f>
        <v>0</v>
      </c>
      <c r="DJ89">
        <f>DG89</f>
        <v>140.11000000000001</v>
      </c>
      <c r="DK89">
        <v>0</v>
      </c>
      <c r="DL89" t="s">
        <v>3</v>
      </c>
      <c r="DM89">
        <v>0</v>
      </c>
      <c r="DN89" t="s">
        <v>3</v>
      </c>
      <c r="DO89">
        <v>0</v>
      </c>
    </row>
    <row r="90" spans="1:119" x14ac:dyDescent="0.2">
      <c r="A90">
        <f>ROW(Source!A94)</f>
        <v>94</v>
      </c>
      <c r="B90">
        <v>143120906</v>
      </c>
      <c r="C90">
        <v>143124339</v>
      </c>
      <c r="D90">
        <v>140760060</v>
      </c>
      <c r="E90">
        <v>70</v>
      </c>
      <c r="F90">
        <v>1</v>
      </c>
      <c r="G90">
        <v>1</v>
      </c>
      <c r="H90">
        <v>1</v>
      </c>
      <c r="I90" t="s">
        <v>502</v>
      </c>
      <c r="J90" t="s">
        <v>3</v>
      </c>
      <c r="K90" t="s">
        <v>503</v>
      </c>
      <c r="L90">
        <v>1191</v>
      </c>
      <c r="N90">
        <v>1013</v>
      </c>
      <c r="O90" t="s">
        <v>374</v>
      </c>
      <c r="P90" t="s">
        <v>374</v>
      </c>
      <c r="Q90">
        <v>1</v>
      </c>
      <c r="W90">
        <v>0</v>
      </c>
      <c r="X90">
        <v>-981676222</v>
      </c>
      <c r="Y90">
        <f>(((AT90*1.15)*1.2)*1.1)</f>
        <v>8.0605799999999981</v>
      </c>
      <c r="AA90">
        <v>0</v>
      </c>
      <c r="AB90">
        <v>0</v>
      </c>
      <c r="AC90">
        <v>0</v>
      </c>
      <c r="AD90">
        <v>297.56</v>
      </c>
      <c r="AE90">
        <v>0</v>
      </c>
      <c r="AF90">
        <v>0</v>
      </c>
      <c r="AG90">
        <v>0</v>
      </c>
      <c r="AH90">
        <v>10.65</v>
      </c>
      <c r="AI90">
        <v>1</v>
      </c>
      <c r="AJ90">
        <v>1</v>
      </c>
      <c r="AK90">
        <v>1</v>
      </c>
      <c r="AL90">
        <v>27.94</v>
      </c>
      <c r="AN90">
        <v>0</v>
      </c>
      <c r="AO90">
        <v>1</v>
      </c>
      <c r="AP90">
        <v>1</v>
      </c>
      <c r="AQ90">
        <v>0</v>
      </c>
      <c r="AR90">
        <v>0</v>
      </c>
      <c r="AS90" t="s">
        <v>3</v>
      </c>
      <c r="AT90">
        <v>5.31</v>
      </c>
      <c r="AU90" t="s">
        <v>256</v>
      </c>
      <c r="AV90">
        <v>1</v>
      </c>
      <c r="AW90">
        <v>2</v>
      </c>
      <c r="AX90">
        <v>143124340</v>
      </c>
      <c r="AY90">
        <v>1</v>
      </c>
      <c r="AZ90">
        <v>0</v>
      </c>
      <c r="BA90">
        <v>113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ROUND(Y90*Source!I94,9)</f>
        <v>2.0715690599999999</v>
      </c>
      <c r="CY90">
        <f>AD90</f>
        <v>297.56</v>
      </c>
      <c r="CZ90">
        <f>AH90</f>
        <v>10.65</v>
      </c>
      <c r="DA90">
        <f>AL90</f>
        <v>27.94</v>
      </c>
      <c r="DB90">
        <f>ROUND((((ROUND(AT90*CZ90,2)*1.15)*1.2)*1.1),2)</f>
        <v>85.84</v>
      </c>
      <c r="DC90">
        <f>ROUND((((ROUND(AT90*AG90,2)*1.15)*1.2)*1.1),2)</f>
        <v>0</v>
      </c>
      <c r="DD90" t="s">
        <v>3</v>
      </c>
      <c r="DE90" t="s">
        <v>3</v>
      </c>
      <c r="DF90">
        <f t="shared" si="37"/>
        <v>0</v>
      </c>
      <c r="DG90">
        <f>ROUND(AF90*CX90,2)</f>
        <v>0</v>
      </c>
      <c r="DH90">
        <f>ROUND(AG90*CX90,2)</f>
        <v>0</v>
      </c>
      <c r="DI90">
        <f>ROUND(ROUND(AH90*CX90,2)*AL90,2)</f>
        <v>616.36</v>
      </c>
      <c r="DJ90">
        <f>DI90</f>
        <v>616.36</v>
      </c>
      <c r="DK90">
        <v>0</v>
      </c>
      <c r="DL90" t="s">
        <v>3</v>
      </c>
      <c r="DM90">
        <v>0</v>
      </c>
      <c r="DN90" t="s">
        <v>3</v>
      </c>
      <c r="DO90">
        <v>0</v>
      </c>
    </row>
    <row r="91" spans="1:119" x14ac:dyDescent="0.2">
      <c r="A91">
        <f>ROW(Source!A94)</f>
        <v>94</v>
      </c>
      <c r="B91">
        <v>143120906</v>
      </c>
      <c r="C91">
        <v>143124339</v>
      </c>
      <c r="D91">
        <v>140760225</v>
      </c>
      <c r="E91">
        <v>70</v>
      </c>
      <c r="F91">
        <v>1</v>
      </c>
      <c r="G91">
        <v>1</v>
      </c>
      <c r="H91">
        <v>1</v>
      </c>
      <c r="I91" t="s">
        <v>375</v>
      </c>
      <c r="J91" t="s">
        <v>3</v>
      </c>
      <c r="K91" t="s">
        <v>376</v>
      </c>
      <c r="L91">
        <v>1191</v>
      </c>
      <c r="N91">
        <v>1013</v>
      </c>
      <c r="O91" t="s">
        <v>374</v>
      </c>
      <c r="P91" t="s">
        <v>374</v>
      </c>
      <c r="Q91">
        <v>1</v>
      </c>
      <c r="W91">
        <v>0</v>
      </c>
      <c r="X91">
        <v>-1417349443</v>
      </c>
      <c r="Y91">
        <f>((AT91*1.25)*1.2)</f>
        <v>0.03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1</v>
      </c>
      <c r="AJ91">
        <v>1</v>
      </c>
      <c r="AK91">
        <v>27.94</v>
      </c>
      <c r="AL91">
        <v>1</v>
      </c>
      <c r="AN91">
        <v>0</v>
      </c>
      <c r="AO91">
        <v>1</v>
      </c>
      <c r="AP91">
        <v>1</v>
      </c>
      <c r="AQ91">
        <v>0</v>
      </c>
      <c r="AR91">
        <v>0</v>
      </c>
      <c r="AS91" t="s">
        <v>3</v>
      </c>
      <c r="AT91">
        <v>0.02</v>
      </c>
      <c r="AU91" t="s">
        <v>16</v>
      </c>
      <c r="AV91">
        <v>2</v>
      </c>
      <c r="AW91">
        <v>2</v>
      </c>
      <c r="AX91">
        <v>143124341</v>
      </c>
      <c r="AY91">
        <v>1</v>
      </c>
      <c r="AZ91">
        <v>2048</v>
      </c>
      <c r="BA91">
        <v>114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ROUND(Y91*Source!I94,9)</f>
        <v>7.7099999999999998E-3</v>
      </c>
      <c r="CY91">
        <f>AD91</f>
        <v>0</v>
      </c>
      <c r="CZ91">
        <f>AH91</f>
        <v>0</v>
      </c>
      <c r="DA91">
        <f>AL91</f>
        <v>1</v>
      </c>
      <c r="DB91">
        <f>ROUND(((ROUND(AT91*CZ91,2)*1.25)*1.2),2)</f>
        <v>0</v>
      </c>
      <c r="DC91">
        <f>ROUND(((ROUND(AT91*AG91,2)*1.25)*1.2),2)</f>
        <v>0</v>
      </c>
      <c r="DD91" t="s">
        <v>3</v>
      </c>
      <c r="DE91" t="s">
        <v>3</v>
      </c>
      <c r="DF91">
        <f t="shared" si="37"/>
        <v>0</v>
      </c>
      <c r="DG91">
        <f>ROUND(AF91*CX91,2)</f>
        <v>0</v>
      </c>
      <c r="DH91">
        <f>ROUND(ROUND(AG91*CX91,2)*AK91,2)</f>
        <v>0</v>
      </c>
      <c r="DI91">
        <f t="shared" ref="DI91:DI97" si="38">ROUND(AH91*CX91,2)</f>
        <v>0</v>
      </c>
      <c r="DJ91">
        <f>DI91</f>
        <v>0</v>
      </c>
      <c r="DK91">
        <v>0</v>
      </c>
      <c r="DL91" t="s">
        <v>3</v>
      </c>
      <c r="DM91">
        <v>0</v>
      </c>
      <c r="DN91" t="s">
        <v>3</v>
      </c>
      <c r="DO91">
        <v>0</v>
      </c>
    </row>
    <row r="92" spans="1:119" x14ac:dyDescent="0.2">
      <c r="A92">
        <f>ROW(Source!A94)</f>
        <v>94</v>
      </c>
      <c r="B92">
        <v>143120906</v>
      </c>
      <c r="C92">
        <v>143124339</v>
      </c>
      <c r="D92">
        <v>140923086</v>
      </c>
      <c r="E92">
        <v>1</v>
      </c>
      <c r="F92">
        <v>1</v>
      </c>
      <c r="G92">
        <v>1</v>
      </c>
      <c r="H92">
        <v>2</v>
      </c>
      <c r="I92" t="s">
        <v>450</v>
      </c>
      <c r="J92" t="s">
        <v>451</v>
      </c>
      <c r="K92" t="s">
        <v>452</v>
      </c>
      <c r="L92">
        <v>1367</v>
      </c>
      <c r="N92">
        <v>1011</v>
      </c>
      <c r="O92" t="s">
        <v>380</v>
      </c>
      <c r="P92" t="s">
        <v>380</v>
      </c>
      <c r="Q92">
        <v>1</v>
      </c>
      <c r="W92">
        <v>0</v>
      </c>
      <c r="X92">
        <v>208619310</v>
      </c>
      <c r="Y92">
        <f>((AT92*1.25)*1.2)</f>
        <v>1.4999999999999999E-2</v>
      </c>
      <c r="AA92">
        <v>0</v>
      </c>
      <c r="AB92">
        <v>18.79</v>
      </c>
      <c r="AC92">
        <v>0</v>
      </c>
      <c r="AD92">
        <v>0</v>
      </c>
      <c r="AE92">
        <v>0</v>
      </c>
      <c r="AF92">
        <v>1.7</v>
      </c>
      <c r="AG92">
        <v>0</v>
      </c>
      <c r="AH92">
        <v>0</v>
      </c>
      <c r="AI92">
        <v>1</v>
      </c>
      <c r="AJ92">
        <v>11.05</v>
      </c>
      <c r="AK92">
        <v>27.94</v>
      </c>
      <c r="AL92">
        <v>1</v>
      </c>
      <c r="AN92">
        <v>0</v>
      </c>
      <c r="AO92">
        <v>1</v>
      </c>
      <c r="AP92">
        <v>1</v>
      </c>
      <c r="AQ92">
        <v>0</v>
      </c>
      <c r="AR92">
        <v>0</v>
      </c>
      <c r="AS92" t="s">
        <v>3</v>
      </c>
      <c r="AT92">
        <v>0.01</v>
      </c>
      <c r="AU92" t="s">
        <v>16</v>
      </c>
      <c r="AV92">
        <v>0</v>
      </c>
      <c r="AW92">
        <v>2</v>
      </c>
      <c r="AX92">
        <v>143124342</v>
      </c>
      <c r="AY92">
        <v>1</v>
      </c>
      <c r="AZ92">
        <v>2048</v>
      </c>
      <c r="BA92">
        <v>115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ROUND(Y92*Source!I94,9)</f>
        <v>3.8549999999999999E-3</v>
      </c>
      <c r="CY92">
        <f>AB92</f>
        <v>18.79</v>
      </c>
      <c r="CZ92">
        <f>AF92</f>
        <v>1.7</v>
      </c>
      <c r="DA92">
        <f>AJ92</f>
        <v>11.05</v>
      </c>
      <c r="DB92">
        <f>ROUND(((ROUND(AT92*CZ92,2)*1.25)*1.2),2)</f>
        <v>0.03</v>
      </c>
      <c r="DC92">
        <f>ROUND(((ROUND(AT92*AG92,2)*1.25)*1.2),2)</f>
        <v>0</v>
      </c>
      <c r="DD92" t="s">
        <v>3</v>
      </c>
      <c r="DE92" t="s">
        <v>3</v>
      </c>
      <c r="DF92">
        <f t="shared" si="37"/>
        <v>0</v>
      </c>
      <c r="DG92">
        <f>ROUND(ROUND(AF92*CX92,2)*AJ92,2)</f>
        <v>0.11</v>
      </c>
      <c r="DH92">
        <f>ROUND(ROUND(AG92*CX92,2)*AK92,2)</f>
        <v>0</v>
      </c>
      <c r="DI92">
        <f t="shared" si="38"/>
        <v>0</v>
      </c>
      <c r="DJ92">
        <f>DG92</f>
        <v>0.11</v>
      </c>
      <c r="DK92">
        <v>0</v>
      </c>
      <c r="DL92" t="s">
        <v>3</v>
      </c>
      <c r="DM92">
        <v>0</v>
      </c>
      <c r="DN92" t="s">
        <v>3</v>
      </c>
      <c r="DO92">
        <v>0</v>
      </c>
    </row>
    <row r="93" spans="1:119" x14ac:dyDescent="0.2">
      <c r="A93">
        <f>ROW(Source!A94)</f>
        <v>94</v>
      </c>
      <c r="B93">
        <v>143120906</v>
      </c>
      <c r="C93">
        <v>143124339</v>
      </c>
      <c r="D93">
        <v>140923105</v>
      </c>
      <c r="E93">
        <v>1</v>
      </c>
      <c r="F93">
        <v>1</v>
      </c>
      <c r="G93">
        <v>1</v>
      </c>
      <c r="H93">
        <v>2</v>
      </c>
      <c r="I93" t="s">
        <v>504</v>
      </c>
      <c r="J93" t="s">
        <v>505</v>
      </c>
      <c r="K93" t="s">
        <v>506</v>
      </c>
      <c r="L93">
        <v>1367</v>
      </c>
      <c r="N93">
        <v>1011</v>
      </c>
      <c r="O93" t="s">
        <v>380</v>
      </c>
      <c r="P93" t="s">
        <v>380</v>
      </c>
      <c r="Q93">
        <v>1</v>
      </c>
      <c r="W93">
        <v>0</v>
      </c>
      <c r="X93">
        <v>-896236776</v>
      </c>
      <c r="Y93">
        <f>((AT93*1.25)*1.2)</f>
        <v>1.4999999999999999E-2</v>
      </c>
      <c r="AA93">
        <v>0</v>
      </c>
      <c r="AB93">
        <v>994.39</v>
      </c>
      <c r="AC93">
        <v>281.08</v>
      </c>
      <c r="AD93">
        <v>0</v>
      </c>
      <c r="AE93">
        <v>0</v>
      </c>
      <c r="AF93">
        <v>89.99</v>
      </c>
      <c r="AG93">
        <v>10.06</v>
      </c>
      <c r="AH93">
        <v>0</v>
      </c>
      <c r="AI93">
        <v>1</v>
      </c>
      <c r="AJ93">
        <v>11.05</v>
      </c>
      <c r="AK93">
        <v>27.94</v>
      </c>
      <c r="AL93">
        <v>1</v>
      </c>
      <c r="AN93">
        <v>0</v>
      </c>
      <c r="AO93">
        <v>1</v>
      </c>
      <c r="AP93">
        <v>1</v>
      </c>
      <c r="AQ93">
        <v>0</v>
      </c>
      <c r="AR93">
        <v>0</v>
      </c>
      <c r="AS93" t="s">
        <v>3</v>
      </c>
      <c r="AT93">
        <v>0.01</v>
      </c>
      <c r="AU93" t="s">
        <v>16</v>
      </c>
      <c r="AV93">
        <v>0</v>
      </c>
      <c r="AW93">
        <v>2</v>
      </c>
      <c r="AX93">
        <v>143124343</v>
      </c>
      <c r="AY93">
        <v>1</v>
      </c>
      <c r="AZ93">
        <v>2048</v>
      </c>
      <c r="BA93">
        <v>116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ROUND(Y93*Source!I94,9)</f>
        <v>3.8549999999999999E-3</v>
      </c>
      <c r="CY93">
        <f>AB93</f>
        <v>994.39</v>
      </c>
      <c r="CZ93">
        <f>AF93</f>
        <v>89.99</v>
      </c>
      <c r="DA93">
        <f>AJ93</f>
        <v>11.05</v>
      </c>
      <c r="DB93">
        <f>ROUND(((ROUND(AT93*CZ93,2)*1.25)*1.2),2)</f>
        <v>1.35</v>
      </c>
      <c r="DC93">
        <f>ROUND(((ROUND(AT93*AG93,2)*1.25)*1.2),2)</f>
        <v>0.15</v>
      </c>
      <c r="DD93" t="s">
        <v>3</v>
      </c>
      <c r="DE93" t="s">
        <v>3</v>
      </c>
      <c r="DF93">
        <f t="shared" si="37"/>
        <v>0</v>
      </c>
      <c r="DG93">
        <f>ROUND(ROUND(AF93*CX93,2)*AJ93,2)</f>
        <v>3.87</v>
      </c>
      <c r="DH93">
        <f>ROUND(ROUND(AG93*CX93,2)*AK93,2)</f>
        <v>1.1200000000000001</v>
      </c>
      <c r="DI93">
        <f t="shared" si="38"/>
        <v>0</v>
      </c>
      <c r="DJ93">
        <f>DG93</f>
        <v>3.87</v>
      </c>
      <c r="DK93">
        <v>0</v>
      </c>
      <c r="DL93" t="s">
        <v>3</v>
      </c>
      <c r="DM93">
        <v>0</v>
      </c>
      <c r="DN93" t="s">
        <v>3</v>
      </c>
      <c r="DO93">
        <v>0</v>
      </c>
    </row>
    <row r="94" spans="1:119" x14ac:dyDescent="0.2">
      <c r="A94">
        <f>ROW(Source!A94)</f>
        <v>94</v>
      </c>
      <c r="B94">
        <v>143120906</v>
      </c>
      <c r="C94">
        <v>143124339</v>
      </c>
      <c r="D94">
        <v>140923885</v>
      </c>
      <c r="E94">
        <v>1</v>
      </c>
      <c r="F94">
        <v>1</v>
      </c>
      <c r="G94">
        <v>1</v>
      </c>
      <c r="H94">
        <v>2</v>
      </c>
      <c r="I94" t="s">
        <v>387</v>
      </c>
      <c r="J94" t="s">
        <v>388</v>
      </c>
      <c r="K94" t="s">
        <v>389</v>
      </c>
      <c r="L94">
        <v>1367</v>
      </c>
      <c r="N94">
        <v>1011</v>
      </c>
      <c r="O94" t="s">
        <v>380</v>
      </c>
      <c r="P94" t="s">
        <v>380</v>
      </c>
      <c r="Q94">
        <v>1</v>
      </c>
      <c r="W94">
        <v>0</v>
      </c>
      <c r="X94">
        <v>509054691</v>
      </c>
      <c r="Y94">
        <f>((AT94*1.25)*1.2)</f>
        <v>1.4999999999999999E-2</v>
      </c>
      <c r="AA94">
        <v>0</v>
      </c>
      <c r="AB94">
        <v>726.1</v>
      </c>
      <c r="AC94">
        <v>324.10000000000002</v>
      </c>
      <c r="AD94">
        <v>0</v>
      </c>
      <c r="AE94">
        <v>0</v>
      </c>
      <c r="AF94">
        <v>65.709999999999994</v>
      </c>
      <c r="AG94">
        <v>11.6</v>
      </c>
      <c r="AH94">
        <v>0</v>
      </c>
      <c r="AI94">
        <v>1</v>
      </c>
      <c r="AJ94">
        <v>11.05</v>
      </c>
      <c r="AK94">
        <v>27.94</v>
      </c>
      <c r="AL94">
        <v>1</v>
      </c>
      <c r="AN94">
        <v>0</v>
      </c>
      <c r="AO94">
        <v>1</v>
      </c>
      <c r="AP94">
        <v>1</v>
      </c>
      <c r="AQ94">
        <v>0</v>
      </c>
      <c r="AR94">
        <v>0</v>
      </c>
      <c r="AS94" t="s">
        <v>3</v>
      </c>
      <c r="AT94">
        <v>0.01</v>
      </c>
      <c r="AU94" t="s">
        <v>16</v>
      </c>
      <c r="AV94">
        <v>0</v>
      </c>
      <c r="AW94">
        <v>2</v>
      </c>
      <c r="AX94">
        <v>143124344</v>
      </c>
      <c r="AY94">
        <v>1</v>
      </c>
      <c r="AZ94">
        <v>2048</v>
      </c>
      <c r="BA94">
        <v>117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ROUND(Y94*Source!I94,9)</f>
        <v>3.8549999999999999E-3</v>
      </c>
      <c r="CY94">
        <f>AB94</f>
        <v>726.1</v>
      </c>
      <c r="CZ94">
        <f>AF94</f>
        <v>65.709999999999994</v>
      </c>
      <c r="DA94">
        <f>AJ94</f>
        <v>11.05</v>
      </c>
      <c r="DB94">
        <f>ROUND(((ROUND(AT94*CZ94,2)*1.25)*1.2),2)</f>
        <v>0.99</v>
      </c>
      <c r="DC94">
        <f>ROUND(((ROUND(AT94*AG94,2)*1.25)*1.2),2)</f>
        <v>0.18</v>
      </c>
      <c r="DD94" t="s">
        <v>3</v>
      </c>
      <c r="DE94" t="s">
        <v>3</v>
      </c>
      <c r="DF94">
        <f t="shared" si="37"/>
        <v>0</v>
      </c>
      <c r="DG94">
        <f>ROUND(ROUND(AF94*CX94,2)*AJ94,2)</f>
        <v>2.76</v>
      </c>
      <c r="DH94">
        <f>ROUND(ROUND(AG94*CX94,2)*AK94,2)</f>
        <v>1.1200000000000001</v>
      </c>
      <c r="DI94">
        <f t="shared" si="38"/>
        <v>0</v>
      </c>
      <c r="DJ94">
        <f>DG94</f>
        <v>2.76</v>
      </c>
      <c r="DK94">
        <v>0</v>
      </c>
      <c r="DL94" t="s">
        <v>3</v>
      </c>
      <c r="DM94">
        <v>0</v>
      </c>
      <c r="DN94" t="s">
        <v>3</v>
      </c>
      <c r="DO94">
        <v>0</v>
      </c>
    </row>
    <row r="95" spans="1:119" x14ac:dyDescent="0.2">
      <c r="A95">
        <f>ROW(Source!A94)</f>
        <v>94</v>
      </c>
      <c r="B95">
        <v>143120906</v>
      </c>
      <c r="C95">
        <v>143124339</v>
      </c>
      <c r="D95">
        <v>140924526</v>
      </c>
      <c r="E95">
        <v>1</v>
      </c>
      <c r="F95">
        <v>1</v>
      </c>
      <c r="G95">
        <v>1</v>
      </c>
      <c r="H95">
        <v>2</v>
      </c>
      <c r="I95" t="s">
        <v>507</v>
      </c>
      <c r="J95" t="s">
        <v>508</v>
      </c>
      <c r="K95" t="s">
        <v>509</v>
      </c>
      <c r="L95">
        <v>1367</v>
      </c>
      <c r="N95">
        <v>1011</v>
      </c>
      <c r="O95" t="s">
        <v>380</v>
      </c>
      <c r="P95" t="s">
        <v>380</v>
      </c>
      <c r="Q95">
        <v>1</v>
      </c>
      <c r="W95">
        <v>0</v>
      </c>
      <c r="X95">
        <v>-1745017968</v>
      </c>
      <c r="Y95">
        <f>((AT95*1.25)*1.2)</f>
        <v>1.6800000000000002</v>
      </c>
      <c r="AA95">
        <v>0</v>
      </c>
      <c r="AB95">
        <v>75.36</v>
      </c>
      <c r="AC95">
        <v>0</v>
      </c>
      <c r="AD95">
        <v>0</v>
      </c>
      <c r="AE95">
        <v>0</v>
      </c>
      <c r="AF95">
        <v>6.82</v>
      </c>
      <c r="AG95">
        <v>0</v>
      </c>
      <c r="AH95">
        <v>0</v>
      </c>
      <c r="AI95">
        <v>1</v>
      </c>
      <c r="AJ95">
        <v>11.05</v>
      </c>
      <c r="AK95">
        <v>27.94</v>
      </c>
      <c r="AL95">
        <v>1</v>
      </c>
      <c r="AN95">
        <v>0</v>
      </c>
      <c r="AO95">
        <v>1</v>
      </c>
      <c r="AP95">
        <v>1</v>
      </c>
      <c r="AQ95">
        <v>0</v>
      </c>
      <c r="AR95">
        <v>0</v>
      </c>
      <c r="AS95" t="s">
        <v>3</v>
      </c>
      <c r="AT95">
        <v>1.1200000000000001</v>
      </c>
      <c r="AU95" t="s">
        <v>16</v>
      </c>
      <c r="AV95">
        <v>0</v>
      </c>
      <c r="AW95">
        <v>2</v>
      </c>
      <c r="AX95">
        <v>143124345</v>
      </c>
      <c r="AY95">
        <v>1</v>
      </c>
      <c r="AZ95">
        <v>2048</v>
      </c>
      <c r="BA95">
        <v>118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ROUND(Y95*Source!I94,9)</f>
        <v>0.43175999999999998</v>
      </c>
      <c r="CY95">
        <f>AB95</f>
        <v>75.36</v>
      </c>
      <c r="CZ95">
        <f>AF95</f>
        <v>6.82</v>
      </c>
      <c r="DA95">
        <f>AJ95</f>
        <v>11.05</v>
      </c>
      <c r="DB95">
        <f>ROUND(((ROUND(AT95*CZ95,2)*1.25)*1.2),2)</f>
        <v>11.46</v>
      </c>
      <c r="DC95">
        <f>ROUND(((ROUND(AT95*AG95,2)*1.25)*1.2),2)</f>
        <v>0</v>
      </c>
      <c r="DD95" t="s">
        <v>3</v>
      </c>
      <c r="DE95" t="s">
        <v>3</v>
      </c>
      <c r="DF95">
        <f t="shared" si="37"/>
        <v>0</v>
      </c>
      <c r="DG95">
        <f>ROUND(ROUND(AF95*CX95,2)*AJ95,2)</f>
        <v>32.49</v>
      </c>
      <c r="DH95">
        <f>ROUND(ROUND(AG95*CX95,2)*AK95,2)</f>
        <v>0</v>
      </c>
      <c r="DI95">
        <f t="shared" si="38"/>
        <v>0</v>
      </c>
      <c r="DJ95">
        <f>DG95</f>
        <v>32.49</v>
      </c>
      <c r="DK95">
        <v>0</v>
      </c>
      <c r="DL95" t="s">
        <v>3</v>
      </c>
      <c r="DM95">
        <v>0</v>
      </c>
      <c r="DN95" t="s">
        <v>3</v>
      </c>
      <c r="DO95">
        <v>0</v>
      </c>
    </row>
    <row r="96" spans="1:119" x14ac:dyDescent="0.2">
      <c r="A96">
        <f>ROW(Source!A94)</f>
        <v>94</v>
      </c>
      <c r="B96">
        <v>143120906</v>
      </c>
      <c r="C96">
        <v>143124339</v>
      </c>
      <c r="D96">
        <v>140804058</v>
      </c>
      <c r="E96">
        <v>1</v>
      </c>
      <c r="F96">
        <v>1</v>
      </c>
      <c r="G96">
        <v>1</v>
      </c>
      <c r="H96">
        <v>3</v>
      </c>
      <c r="I96" t="s">
        <v>420</v>
      </c>
      <c r="J96" t="s">
        <v>421</v>
      </c>
      <c r="K96" t="s">
        <v>422</v>
      </c>
      <c r="L96">
        <v>1348</v>
      </c>
      <c r="N96">
        <v>1009</v>
      </c>
      <c r="O96" t="s">
        <v>199</v>
      </c>
      <c r="P96" t="s">
        <v>199</v>
      </c>
      <c r="Q96">
        <v>1000</v>
      </c>
      <c r="W96">
        <v>0</v>
      </c>
      <c r="X96">
        <v>264248573</v>
      </c>
      <c r="Y96">
        <f>AT96</f>
        <v>8.9999999999999993E-3</v>
      </c>
      <c r="AA96">
        <v>124803.8</v>
      </c>
      <c r="AB96">
        <v>0</v>
      </c>
      <c r="AC96">
        <v>0</v>
      </c>
      <c r="AD96">
        <v>0</v>
      </c>
      <c r="AE96">
        <v>15620</v>
      </c>
      <c r="AF96">
        <v>0</v>
      </c>
      <c r="AG96">
        <v>0</v>
      </c>
      <c r="AH96">
        <v>0</v>
      </c>
      <c r="AI96">
        <v>7.99</v>
      </c>
      <c r="AJ96">
        <v>1</v>
      </c>
      <c r="AK96">
        <v>1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8.9999999999999993E-3</v>
      </c>
      <c r="AU96" t="s">
        <v>3</v>
      </c>
      <c r="AV96">
        <v>0</v>
      </c>
      <c r="AW96">
        <v>2</v>
      </c>
      <c r="AX96">
        <v>143124346</v>
      </c>
      <c r="AY96">
        <v>1</v>
      </c>
      <c r="AZ96">
        <v>0</v>
      </c>
      <c r="BA96">
        <v>119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ROUND(Y96*Source!I94,9)</f>
        <v>2.313E-3</v>
      </c>
      <c r="CY96">
        <f>AA96</f>
        <v>124803.8</v>
      </c>
      <c r="CZ96">
        <f>AE96</f>
        <v>15620</v>
      </c>
      <c r="DA96">
        <f>AI96</f>
        <v>7.99</v>
      </c>
      <c r="DB96">
        <f>ROUND(ROUND(AT96*CZ96,2),2)</f>
        <v>140.58000000000001</v>
      </c>
      <c r="DC96">
        <f>ROUND(ROUND(AT96*AG96,2),2)</f>
        <v>0</v>
      </c>
      <c r="DD96" t="s">
        <v>3</v>
      </c>
      <c r="DE96" t="s">
        <v>3</v>
      </c>
      <c r="DF96">
        <f>ROUND(ROUND(AE96*CX96,2)*AI96,2)</f>
        <v>288.68</v>
      </c>
      <c r="DG96">
        <f>ROUND(AF96*CX96,2)</f>
        <v>0</v>
      </c>
      <c r="DH96">
        <f>ROUND(AG96*CX96,2)</f>
        <v>0</v>
      </c>
      <c r="DI96">
        <f t="shared" si="38"/>
        <v>0</v>
      </c>
      <c r="DJ96">
        <f>DF96</f>
        <v>288.68</v>
      </c>
      <c r="DK96">
        <v>0</v>
      </c>
      <c r="DL96" t="s">
        <v>3</v>
      </c>
      <c r="DM96">
        <v>0</v>
      </c>
      <c r="DN96" t="s">
        <v>3</v>
      </c>
      <c r="DO96">
        <v>0</v>
      </c>
    </row>
    <row r="97" spans="1:119" x14ac:dyDescent="0.2">
      <c r="A97">
        <f>ROW(Source!A94)</f>
        <v>94</v>
      </c>
      <c r="B97">
        <v>143120906</v>
      </c>
      <c r="C97">
        <v>143124339</v>
      </c>
      <c r="D97">
        <v>140805125</v>
      </c>
      <c r="E97">
        <v>1</v>
      </c>
      <c r="F97">
        <v>1</v>
      </c>
      <c r="G97">
        <v>1</v>
      </c>
      <c r="H97">
        <v>3</v>
      </c>
      <c r="I97" t="s">
        <v>510</v>
      </c>
      <c r="J97" t="s">
        <v>511</v>
      </c>
      <c r="K97" t="s">
        <v>512</v>
      </c>
      <c r="L97">
        <v>1348</v>
      </c>
      <c r="N97">
        <v>1009</v>
      </c>
      <c r="O97" t="s">
        <v>199</v>
      </c>
      <c r="P97" t="s">
        <v>199</v>
      </c>
      <c r="Q97">
        <v>1000</v>
      </c>
      <c r="W97">
        <v>0</v>
      </c>
      <c r="X97">
        <v>151166323</v>
      </c>
      <c r="Y97">
        <f>AT97</f>
        <v>1.5E-3</v>
      </c>
      <c r="AA97">
        <v>61043.6</v>
      </c>
      <c r="AB97">
        <v>0</v>
      </c>
      <c r="AC97">
        <v>0</v>
      </c>
      <c r="AD97">
        <v>0</v>
      </c>
      <c r="AE97">
        <v>7640</v>
      </c>
      <c r="AF97">
        <v>0</v>
      </c>
      <c r="AG97">
        <v>0</v>
      </c>
      <c r="AH97">
        <v>0</v>
      </c>
      <c r="AI97">
        <v>7.99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1.5E-3</v>
      </c>
      <c r="AU97" t="s">
        <v>3</v>
      </c>
      <c r="AV97">
        <v>0</v>
      </c>
      <c r="AW97">
        <v>2</v>
      </c>
      <c r="AX97">
        <v>143124347</v>
      </c>
      <c r="AY97">
        <v>1</v>
      </c>
      <c r="AZ97">
        <v>0</v>
      </c>
      <c r="BA97">
        <v>120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ROUND(Y97*Source!I94,9)</f>
        <v>3.8549999999999999E-4</v>
      </c>
      <c r="CY97">
        <f>AA97</f>
        <v>61043.6</v>
      </c>
      <c r="CZ97">
        <f>AE97</f>
        <v>7640</v>
      </c>
      <c r="DA97">
        <f>AI97</f>
        <v>7.99</v>
      </c>
      <c r="DB97">
        <f>ROUND(ROUND(AT97*CZ97,2),2)</f>
        <v>11.46</v>
      </c>
      <c r="DC97">
        <f>ROUND(ROUND(AT97*AG97,2),2)</f>
        <v>0</v>
      </c>
      <c r="DD97" t="s">
        <v>3</v>
      </c>
      <c r="DE97" t="s">
        <v>3</v>
      </c>
      <c r="DF97">
        <f>ROUND(ROUND(AE97*CX97,2)*AI97,2)</f>
        <v>23.57</v>
      </c>
      <c r="DG97">
        <f>ROUND(AF97*CX97,2)</f>
        <v>0</v>
      </c>
      <c r="DH97">
        <f>ROUND(AG97*CX97,2)</f>
        <v>0</v>
      </c>
      <c r="DI97">
        <f t="shared" si="38"/>
        <v>0</v>
      </c>
      <c r="DJ97">
        <f>DF97</f>
        <v>23.57</v>
      </c>
      <c r="DK97">
        <v>0</v>
      </c>
      <c r="DL97" t="s">
        <v>3</v>
      </c>
      <c r="DM97">
        <v>0</v>
      </c>
      <c r="DN97" t="s">
        <v>3</v>
      </c>
      <c r="DO97">
        <v>0</v>
      </c>
    </row>
    <row r="98" spans="1:119" x14ac:dyDescent="0.2">
      <c r="A98">
        <f>ROW(Source!A95)</f>
        <v>95</v>
      </c>
      <c r="B98">
        <v>143120906</v>
      </c>
      <c r="C98">
        <v>143124425</v>
      </c>
      <c r="D98">
        <v>140760001</v>
      </c>
      <c r="E98">
        <v>70</v>
      </c>
      <c r="F98">
        <v>1</v>
      </c>
      <c r="G98">
        <v>1</v>
      </c>
      <c r="H98">
        <v>1</v>
      </c>
      <c r="I98" t="s">
        <v>465</v>
      </c>
      <c r="J98" t="s">
        <v>3</v>
      </c>
      <c r="K98" t="s">
        <v>466</v>
      </c>
      <c r="L98">
        <v>1191</v>
      </c>
      <c r="N98">
        <v>1013</v>
      </c>
      <c r="O98" t="s">
        <v>374</v>
      </c>
      <c r="P98" t="s">
        <v>374</v>
      </c>
      <c r="Q98">
        <v>1</v>
      </c>
      <c r="W98">
        <v>0</v>
      </c>
      <c r="X98">
        <v>1893946532</v>
      </c>
      <c r="Y98">
        <f>(((AT98*1.15)*1.2)*1.1*2)</f>
        <v>7.52928</v>
      </c>
      <c r="AA98">
        <v>0</v>
      </c>
      <c r="AB98">
        <v>0</v>
      </c>
      <c r="AC98">
        <v>0</v>
      </c>
      <c r="AD98">
        <v>253.42</v>
      </c>
      <c r="AE98">
        <v>0</v>
      </c>
      <c r="AF98">
        <v>0</v>
      </c>
      <c r="AG98">
        <v>0</v>
      </c>
      <c r="AH98">
        <v>9.07</v>
      </c>
      <c r="AI98">
        <v>1</v>
      </c>
      <c r="AJ98">
        <v>1</v>
      </c>
      <c r="AK98">
        <v>1</v>
      </c>
      <c r="AL98">
        <v>27.94</v>
      </c>
      <c r="AN98">
        <v>0</v>
      </c>
      <c r="AO98">
        <v>1</v>
      </c>
      <c r="AP98">
        <v>1</v>
      </c>
      <c r="AQ98">
        <v>0</v>
      </c>
      <c r="AR98">
        <v>0</v>
      </c>
      <c r="AS98" t="s">
        <v>3</v>
      </c>
      <c r="AT98">
        <v>2.48</v>
      </c>
      <c r="AU98" t="s">
        <v>264</v>
      </c>
      <c r="AV98">
        <v>1</v>
      </c>
      <c r="AW98">
        <v>2</v>
      </c>
      <c r="AX98">
        <v>143124426</v>
      </c>
      <c r="AY98">
        <v>1</v>
      </c>
      <c r="AZ98">
        <v>2048</v>
      </c>
      <c r="BA98">
        <v>121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ROUND(Y98*Source!I95,9)</f>
        <v>1.93502496</v>
      </c>
      <c r="CY98">
        <f>AD98</f>
        <v>253.42</v>
      </c>
      <c r="CZ98">
        <f>AH98</f>
        <v>9.07</v>
      </c>
      <c r="DA98">
        <f>AL98</f>
        <v>27.94</v>
      </c>
      <c r="DB98">
        <f>ROUND((((ROUND(AT98*CZ98,2)*1.15)*1.2)*1.1*2),2)</f>
        <v>68.28</v>
      </c>
      <c r="DC98">
        <f>ROUND((((ROUND(AT98*AG98,2)*1.15)*1.2)*1.1*2),2)</f>
        <v>0</v>
      </c>
      <c r="DD98" t="s">
        <v>3</v>
      </c>
      <c r="DE98" t="s">
        <v>3</v>
      </c>
      <c r="DF98">
        <f t="shared" ref="DF98:DF103" si="39">ROUND(AE98*CX98,2)</f>
        <v>0</v>
      </c>
      <c r="DG98">
        <f>ROUND(AF98*CX98,2)</f>
        <v>0</v>
      </c>
      <c r="DH98">
        <f>ROUND(AG98*CX98,2)</f>
        <v>0</v>
      </c>
      <c r="DI98">
        <f>ROUND(ROUND(AH98*CX98,2)*AL98,2)</f>
        <v>490.35</v>
      </c>
      <c r="DJ98">
        <f>DI98</f>
        <v>490.35</v>
      </c>
      <c r="DK98">
        <v>0</v>
      </c>
      <c r="DL98" t="s">
        <v>3</v>
      </c>
      <c r="DM98">
        <v>0</v>
      </c>
      <c r="DN98" t="s">
        <v>3</v>
      </c>
      <c r="DO98">
        <v>0</v>
      </c>
    </row>
    <row r="99" spans="1:119" x14ac:dyDescent="0.2">
      <c r="A99">
        <f>ROW(Source!A95)</f>
        <v>95</v>
      </c>
      <c r="B99">
        <v>143120906</v>
      </c>
      <c r="C99">
        <v>143124425</v>
      </c>
      <c r="D99">
        <v>140760225</v>
      </c>
      <c r="E99">
        <v>70</v>
      </c>
      <c r="F99">
        <v>1</v>
      </c>
      <c r="G99">
        <v>1</v>
      </c>
      <c r="H99">
        <v>1</v>
      </c>
      <c r="I99" t="s">
        <v>375</v>
      </c>
      <c r="J99" t="s">
        <v>3</v>
      </c>
      <c r="K99" t="s">
        <v>376</v>
      </c>
      <c r="L99">
        <v>1191</v>
      </c>
      <c r="N99">
        <v>1013</v>
      </c>
      <c r="O99" t="s">
        <v>374</v>
      </c>
      <c r="P99" t="s">
        <v>374</v>
      </c>
      <c r="Q99">
        <v>1</v>
      </c>
      <c r="W99">
        <v>0</v>
      </c>
      <c r="X99">
        <v>-1417349443</v>
      </c>
      <c r="Y99">
        <f>((AT99*1.25)*1.2*2)</f>
        <v>0.06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1</v>
      </c>
      <c r="AJ99">
        <v>1</v>
      </c>
      <c r="AK99">
        <v>27.94</v>
      </c>
      <c r="AL99">
        <v>1</v>
      </c>
      <c r="AN99">
        <v>0</v>
      </c>
      <c r="AO99">
        <v>1</v>
      </c>
      <c r="AP99">
        <v>1</v>
      </c>
      <c r="AQ99">
        <v>0</v>
      </c>
      <c r="AR99">
        <v>0</v>
      </c>
      <c r="AS99" t="s">
        <v>3</v>
      </c>
      <c r="AT99">
        <v>0.02</v>
      </c>
      <c r="AU99" t="s">
        <v>263</v>
      </c>
      <c r="AV99">
        <v>2</v>
      </c>
      <c r="AW99">
        <v>2</v>
      </c>
      <c r="AX99">
        <v>143124427</v>
      </c>
      <c r="AY99">
        <v>1</v>
      </c>
      <c r="AZ99">
        <v>2048</v>
      </c>
      <c r="BA99">
        <v>122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ROUND(Y99*Source!I95,9)</f>
        <v>1.542E-2</v>
      </c>
      <c r="CY99">
        <f>AD99</f>
        <v>0</v>
      </c>
      <c r="CZ99">
        <f>AH99</f>
        <v>0</v>
      </c>
      <c r="DA99">
        <f>AL99</f>
        <v>1</v>
      </c>
      <c r="DB99">
        <f>ROUND(((ROUND(AT99*CZ99,2)*1.25)*1.2*2),2)</f>
        <v>0</v>
      </c>
      <c r="DC99">
        <f>ROUND(((ROUND(AT99*AG99,2)*1.25)*1.2*2),2)</f>
        <v>0</v>
      </c>
      <c r="DD99" t="s">
        <v>3</v>
      </c>
      <c r="DE99" t="s">
        <v>3</v>
      </c>
      <c r="DF99">
        <f t="shared" si="39"/>
        <v>0</v>
      </c>
      <c r="DG99">
        <f>ROUND(AF99*CX99,2)</f>
        <v>0</v>
      </c>
      <c r="DH99">
        <f>ROUND(ROUND(AG99*CX99,2)*AK99,2)</f>
        <v>0</v>
      </c>
      <c r="DI99">
        <f t="shared" ref="DI99:DI106" si="40">ROUND(AH99*CX99,2)</f>
        <v>0</v>
      </c>
      <c r="DJ99">
        <f>DI99</f>
        <v>0</v>
      </c>
      <c r="DK99">
        <v>0</v>
      </c>
      <c r="DL99" t="s">
        <v>3</v>
      </c>
      <c r="DM99">
        <v>0</v>
      </c>
      <c r="DN99" t="s">
        <v>3</v>
      </c>
      <c r="DO99">
        <v>0</v>
      </c>
    </row>
    <row r="100" spans="1:119" x14ac:dyDescent="0.2">
      <c r="A100">
        <f>ROW(Source!A95)</f>
        <v>95</v>
      </c>
      <c r="B100">
        <v>143120906</v>
      </c>
      <c r="C100">
        <v>143124425</v>
      </c>
      <c r="D100">
        <v>140923086</v>
      </c>
      <c r="E100">
        <v>1</v>
      </c>
      <c r="F100">
        <v>1</v>
      </c>
      <c r="G100">
        <v>1</v>
      </c>
      <c r="H100">
        <v>2</v>
      </c>
      <c r="I100" t="s">
        <v>450</v>
      </c>
      <c r="J100" t="s">
        <v>451</v>
      </c>
      <c r="K100" t="s">
        <v>452</v>
      </c>
      <c r="L100">
        <v>1367</v>
      </c>
      <c r="N100">
        <v>1011</v>
      </c>
      <c r="O100" t="s">
        <v>380</v>
      </c>
      <c r="P100" t="s">
        <v>380</v>
      </c>
      <c r="Q100">
        <v>1</v>
      </c>
      <c r="W100">
        <v>0</v>
      </c>
      <c r="X100">
        <v>208619310</v>
      </c>
      <c r="Y100">
        <f>((AT100*1.25)*1.2*2)</f>
        <v>0.03</v>
      </c>
      <c r="AA100">
        <v>0</v>
      </c>
      <c r="AB100">
        <v>18.79</v>
      </c>
      <c r="AC100">
        <v>0</v>
      </c>
      <c r="AD100">
        <v>0</v>
      </c>
      <c r="AE100">
        <v>0</v>
      </c>
      <c r="AF100">
        <v>1.7</v>
      </c>
      <c r="AG100">
        <v>0</v>
      </c>
      <c r="AH100">
        <v>0</v>
      </c>
      <c r="AI100">
        <v>1</v>
      </c>
      <c r="AJ100">
        <v>11.05</v>
      </c>
      <c r="AK100">
        <v>27.94</v>
      </c>
      <c r="AL100">
        <v>1</v>
      </c>
      <c r="AN100">
        <v>0</v>
      </c>
      <c r="AO100">
        <v>1</v>
      </c>
      <c r="AP100">
        <v>1</v>
      </c>
      <c r="AQ100">
        <v>0</v>
      </c>
      <c r="AR100">
        <v>0</v>
      </c>
      <c r="AS100" t="s">
        <v>3</v>
      </c>
      <c r="AT100">
        <v>0.01</v>
      </c>
      <c r="AU100" t="s">
        <v>263</v>
      </c>
      <c r="AV100">
        <v>0</v>
      </c>
      <c r="AW100">
        <v>2</v>
      </c>
      <c r="AX100">
        <v>143124428</v>
      </c>
      <c r="AY100">
        <v>1</v>
      </c>
      <c r="AZ100">
        <v>2048</v>
      </c>
      <c r="BA100">
        <v>123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ROUND(Y100*Source!I95,9)</f>
        <v>7.7099999999999998E-3</v>
      </c>
      <c r="CY100">
        <f>AB100</f>
        <v>18.79</v>
      </c>
      <c r="CZ100">
        <f>AF100</f>
        <v>1.7</v>
      </c>
      <c r="DA100">
        <f>AJ100</f>
        <v>11.05</v>
      </c>
      <c r="DB100">
        <f>ROUND(((ROUND(AT100*CZ100,2)*1.25)*1.2*2),2)</f>
        <v>0.06</v>
      </c>
      <c r="DC100">
        <f>ROUND(((ROUND(AT100*AG100,2)*1.25)*1.2*2),2)</f>
        <v>0</v>
      </c>
      <c r="DD100" t="s">
        <v>3</v>
      </c>
      <c r="DE100" t="s">
        <v>3</v>
      </c>
      <c r="DF100">
        <f t="shared" si="39"/>
        <v>0</v>
      </c>
      <c r="DG100">
        <f>ROUND(ROUND(AF100*CX100,2)*AJ100,2)</f>
        <v>0.11</v>
      </c>
      <c r="DH100">
        <f>ROUND(ROUND(AG100*CX100,2)*AK100,2)</f>
        <v>0</v>
      </c>
      <c r="DI100">
        <f t="shared" si="40"/>
        <v>0</v>
      </c>
      <c r="DJ100">
        <f>DG100</f>
        <v>0.11</v>
      </c>
      <c r="DK100">
        <v>0</v>
      </c>
      <c r="DL100" t="s">
        <v>3</v>
      </c>
      <c r="DM100">
        <v>0</v>
      </c>
      <c r="DN100" t="s">
        <v>3</v>
      </c>
      <c r="DO100">
        <v>0</v>
      </c>
    </row>
    <row r="101" spans="1:119" x14ac:dyDescent="0.2">
      <c r="A101">
        <f>ROW(Source!A95)</f>
        <v>95</v>
      </c>
      <c r="B101">
        <v>143120906</v>
      </c>
      <c r="C101">
        <v>143124425</v>
      </c>
      <c r="D101">
        <v>140923105</v>
      </c>
      <c r="E101">
        <v>1</v>
      </c>
      <c r="F101">
        <v>1</v>
      </c>
      <c r="G101">
        <v>1</v>
      </c>
      <c r="H101">
        <v>2</v>
      </c>
      <c r="I101" t="s">
        <v>504</v>
      </c>
      <c r="J101" t="s">
        <v>505</v>
      </c>
      <c r="K101" t="s">
        <v>506</v>
      </c>
      <c r="L101">
        <v>1367</v>
      </c>
      <c r="N101">
        <v>1011</v>
      </c>
      <c r="O101" t="s">
        <v>380</v>
      </c>
      <c r="P101" t="s">
        <v>380</v>
      </c>
      <c r="Q101">
        <v>1</v>
      </c>
      <c r="W101">
        <v>0</v>
      </c>
      <c r="X101">
        <v>-896236776</v>
      </c>
      <c r="Y101">
        <f>((AT101*1.25)*1.2*2)</f>
        <v>0.03</v>
      </c>
      <c r="AA101">
        <v>0</v>
      </c>
      <c r="AB101">
        <v>994.39</v>
      </c>
      <c r="AC101">
        <v>281.08</v>
      </c>
      <c r="AD101">
        <v>0</v>
      </c>
      <c r="AE101">
        <v>0</v>
      </c>
      <c r="AF101">
        <v>89.99</v>
      </c>
      <c r="AG101">
        <v>10.06</v>
      </c>
      <c r="AH101">
        <v>0</v>
      </c>
      <c r="AI101">
        <v>1</v>
      </c>
      <c r="AJ101">
        <v>11.05</v>
      </c>
      <c r="AK101">
        <v>27.94</v>
      </c>
      <c r="AL101">
        <v>1</v>
      </c>
      <c r="AN101">
        <v>0</v>
      </c>
      <c r="AO101">
        <v>1</v>
      </c>
      <c r="AP101">
        <v>1</v>
      </c>
      <c r="AQ101">
        <v>0</v>
      </c>
      <c r="AR101">
        <v>0</v>
      </c>
      <c r="AS101" t="s">
        <v>3</v>
      </c>
      <c r="AT101">
        <v>0.01</v>
      </c>
      <c r="AU101" t="s">
        <v>263</v>
      </c>
      <c r="AV101">
        <v>0</v>
      </c>
      <c r="AW101">
        <v>2</v>
      </c>
      <c r="AX101">
        <v>143124429</v>
      </c>
      <c r="AY101">
        <v>1</v>
      </c>
      <c r="AZ101">
        <v>2048</v>
      </c>
      <c r="BA101">
        <v>124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ROUND(Y101*Source!I95,9)</f>
        <v>7.7099999999999998E-3</v>
      </c>
      <c r="CY101">
        <f>AB101</f>
        <v>994.39</v>
      </c>
      <c r="CZ101">
        <f>AF101</f>
        <v>89.99</v>
      </c>
      <c r="DA101">
        <f>AJ101</f>
        <v>11.05</v>
      </c>
      <c r="DB101">
        <f>ROUND(((ROUND(AT101*CZ101,2)*1.25)*1.2*2),2)</f>
        <v>2.7</v>
      </c>
      <c r="DC101">
        <f>ROUND(((ROUND(AT101*AG101,2)*1.25)*1.2*2),2)</f>
        <v>0.3</v>
      </c>
      <c r="DD101" t="s">
        <v>3</v>
      </c>
      <c r="DE101" t="s">
        <v>3</v>
      </c>
      <c r="DF101">
        <f t="shared" si="39"/>
        <v>0</v>
      </c>
      <c r="DG101">
        <f>ROUND(ROUND(AF101*CX101,2)*AJ101,2)</f>
        <v>7.62</v>
      </c>
      <c r="DH101">
        <f>ROUND(ROUND(AG101*CX101,2)*AK101,2)</f>
        <v>2.2400000000000002</v>
      </c>
      <c r="DI101">
        <f t="shared" si="40"/>
        <v>0</v>
      </c>
      <c r="DJ101">
        <f>DG101</f>
        <v>7.62</v>
      </c>
      <c r="DK101">
        <v>0</v>
      </c>
      <c r="DL101" t="s">
        <v>3</v>
      </c>
      <c r="DM101">
        <v>0</v>
      </c>
      <c r="DN101" t="s">
        <v>3</v>
      </c>
      <c r="DO101">
        <v>0</v>
      </c>
    </row>
    <row r="102" spans="1:119" x14ac:dyDescent="0.2">
      <c r="A102">
        <f>ROW(Source!A95)</f>
        <v>95</v>
      </c>
      <c r="B102">
        <v>143120906</v>
      </c>
      <c r="C102">
        <v>143124425</v>
      </c>
      <c r="D102">
        <v>140923885</v>
      </c>
      <c r="E102">
        <v>1</v>
      </c>
      <c r="F102">
        <v>1</v>
      </c>
      <c r="G102">
        <v>1</v>
      </c>
      <c r="H102">
        <v>2</v>
      </c>
      <c r="I102" t="s">
        <v>387</v>
      </c>
      <c r="J102" t="s">
        <v>388</v>
      </c>
      <c r="K102" t="s">
        <v>389</v>
      </c>
      <c r="L102">
        <v>1367</v>
      </c>
      <c r="N102">
        <v>1011</v>
      </c>
      <c r="O102" t="s">
        <v>380</v>
      </c>
      <c r="P102" t="s">
        <v>380</v>
      </c>
      <c r="Q102">
        <v>1</v>
      </c>
      <c r="W102">
        <v>0</v>
      </c>
      <c r="X102">
        <v>509054691</v>
      </c>
      <c r="Y102">
        <f>((AT102*1.25)*1.2*2)</f>
        <v>0.03</v>
      </c>
      <c r="AA102">
        <v>0</v>
      </c>
      <c r="AB102">
        <v>726.1</v>
      </c>
      <c r="AC102">
        <v>324.10000000000002</v>
      </c>
      <c r="AD102">
        <v>0</v>
      </c>
      <c r="AE102">
        <v>0</v>
      </c>
      <c r="AF102">
        <v>65.709999999999994</v>
      </c>
      <c r="AG102">
        <v>11.6</v>
      </c>
      <c r="AH102">
        <v>0</v>
      </c>
      <c r="AI102">
        <v>1</v>
      </c>
      <c r="AJ102">
        <v>11.05</v>
      </c>
      <c r="AK102">
        <v>27.94</v>
      </c>
      <c r="AL102">
        <v>1</v>
      </c>
      <c r="AN102">
        <v>0</v>
      </c>
      <c r="AO102">
        <v>1</v>
      </c>
      <c r="AP102">
        <v>1</v>
      </c>
      <c r="AQ102">
        <v>0</v>
      </c>
      <c r="AR102">
        <v>0</v>
      </c>
      <c r="AS102" t="s">
        <v>3</v>
      </c>
      <c r="AT102">
        <v>0.01</v>
      </c>
      <c r="AU102" t="s">
        <v>263</v>
      </c>
      <c r="AV102">
        <v>0</v>
      </c>
      <c r="AW102">
        <v>2</v>
      </c>
      <c r="AX102">
        <v>143124430</v>
      </c>
      <c r="AY102">
        <v>1</v>
      </c>
      <c r="AZ102">
        <v>2048</v>
      </c>
      <c r="BA102">
        <v>125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ROUND(Y102*Source!I95,9)</f>
        <v>7.7099999999999998E-3</v>
      </c>
      <c r="CY102">
        <f>AB102</f>
        <v>726.1</v>
      </c>
      <c r="CZ102">
        <f>AF102</f>
        <v>65.709999999999994</v>
      </c>
      <c r="DA102">
        <f>AJ102</f>
        <v>11.05</v>
      </c>
      <c r="DB102">
        <f>ROUND(((ROUND(AT102*CZ102,2)*1.25)*1.2*2),2)</f>
        <v>1.98</v>
      </c>
      <c r="DC102">
        <f>ROUND(((ROUND(AT102*AG102,2)*1.25)*1.2*2),2)</f>
        <v>0.36</v>
      </c>
      <c r="DD102" t="s">
        <v>3</v>
      </c>
      <c r="DE102" t="s">
        <v>3</v>
      </c>
      <c r="DF102">
        <f t="shared" si="39"/>
        <v>0</v>
      </c>
      <c r="DG102">
        <f>ROUND(ROUND(AF102*CX102,2)*AJ102,2)</f>
        <v>5.64</v>
      </c>
      <c r="DH102">
        <f>ROUND(ROUND(AG102*CX102,2)*AK102,2)</f>
        <v>2.5099999999999998</v>
      </c>
      <c r="DI102">
        <f t="shared" si="40"/>
        <v>0</v>
      </c>
      <c r="DJ102">
        <f>DG102</f>
        <v>5.64</v>
      </c>
      <c r="DK102">
        <v>0</v>
      </c>
      <c r="DL102" t="s">
        <v>3</v>
      </c>
      <c r="DM102">
        <v>0</v>
      </c>
      <c r="DN102" t="s">
        <v>3</v>
      </c>
      <c r="DO102">
        <v>0</v>
      </c>
    </row>
    <row r="103" spans="1:119" x14ac:dyDescent="0.2">
      <c r="A103">
        <f>ROW(Source!A95)</f>
        <v>95</v>
      </c>
      <c r="B103">
        <v>143120906</v>
      </c>
      <c r="C103">
        <v>143124425</v>
      </c>
      <c r="D103">
        <v>140924526</v>
      </c>
      <c r="E103">
        <v>1</v>
      </c>
      <c r="F103">
        <v>1</v>
      </c>
      <c r="G103">
        <v>1</v>
      </c>
      <c r="H103">
        <v>2</v>
      </c>
      <c r="I103" t="s">
        <v>507</v>
      </c>
      <c r="J103" t="s">
        <v>508</v>
      </c>
      <c r="K103" t="s">
        <v>509</v>
      </c>
      <c r="L103">
        <v>1367</v>
      </c>
      <c r="N103">
        <v>1011</v>
      </c>
      <c r="O103" t="s">
        <v>380</v>
      </c>
      <c r="P103" t="s">
        <v>380</v>
      </c>
      <c r="Q103">
        <v>1</v>
      </c>
      <c r="W103">
        <v>0</v>
      </c>
      <c r="X103">
        <v>-1745017968</v>
      </c>
      <c r="Y103">
        <f>((AT103*1.25)*1.2*2)</f>
        <v>3.3600000000000003</v>
      </c>
      <c r="AA103">
        <v>0</v>
      </c>
      <c r="AB103">
        <v>75.36</v>
      </c>
      <c r="AC103">
        <v>0</v>
      </c>
      <c r="AD103">
        <v>0</v>
      </c>
      <c r="AE103">
        <v>0</v>
      </c>
      <c r="AF103">
        <v>6.82</v>
      </c>
      <c r="AG103">
        <v>0</v>
      </c>
      <c r="AH103">
        <v>0</v>
      </c>
      <c r="AI103">
        <v>1</v>
      </c>
      <c r="AJ103">
        <v>11.05</v>
      </c>
      <c r="AK103">
        <v>27.94</v>
      </c>
      <c r="AL103">
        <v>1</v>
      </c>
      <c r="AN103">
        <v>0</v>
      </c>
      <c r="AO103">
        <v>1</v>
      </c>
      <c r="AP103">
        <v>1</v>
      </c>
      <c r="AQ103">
        <v>0</v>
      </c>
      <c r="AR103">
        <v>0</v>
      </c>
      <c r="AS103" t="s">
        <v>3</v>
      </c>
      <c r="AT103">
        <v>1.1200000000000001</v>
      </c>
      <c r="AU103" t="s">
        <v>263</v>
      </c>
      <c r="AV103">
        <v>0</v>
      </c>
      <c r="AW103">
        <v>2</v>
      </c>
      <c r="AX103">
        <v>143124431</v>
      </c>
      <c r="AY103">
        <v>1</v>
      </c>
      <c r="AZ103">
        <v>2048</v>
      </c>
      <c r="BA103">
        <v>126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ROUND(Y103*Source!I95,9)</f>
        <v>0.86351999999999995</v>
      </c>
      <c r="CY103">
        <f>AB103</f>
        <v>75.36</v>
      </c>
      <c r="CZ103">
        <f>AF103</f>
        <v>6.82</v>
      </c>
      <c r="DA103">
        <f>AJ103</f>
        <v>11.05</v>
      </c>
      <c r="DB103">
        <f>ROUND(((ROUND(AT103*CZ103,2)*1.25)*1.2*2),2)</f>
        <v>22.92</v>
      </c>
      <c r="DC103">
        <f>ROUND(((ROUND(AT103*AG103,2)*1.25)*1.2*2),2)</f>
        <v>0</v>
      </c>
      <c r="DD103" t="s">
        <v>3</v>
      </c>
      <c r="DE103" t="s">
        <v>3</v>
      </c>
      <c r="DF103">
        <f t="shared" si="39"/>
        <v>0</v>
      </c>
      <c r="DG103">
        <f>ROUND(ROUND(AF103*CX103,2)*AJ103,2)</f>
        <v>65.08</v>
      </c>
      <c r="DH103">
        <f>ROUND(ROUND(AG103*CX103,2)*AK103,2)</f>
        <v>0</v>
      </c>
      <c r="DI103">
        <f t="shared" si="40"/>
        <v>0</v>
      </c>
      <c r="DJ103">
        <f>DG103</f>
        <v>65.08</v>
      </c>
      <c r="DK103">
        <v>0</v>
      </c>
      <c r="DL103" t="s">
        <v>3</v>
      </c>
      <c r="DM103">
        <v>0</v>
      </c>
      <c r="DN103" t="s">
        <v>3</v>
      </c>
      <c r="DO103">
        <v>0</v>
      </c>
    </row>
    <row r="104" spans="1:119" x14ac:dyDescent="0.2">
      <c r="A104">
        <f>ROW(Source!A95)</f>
        <v>95</v>
      </c>
      <c r="B104">
        <v>143120906</v>
      </c>
      <c r="C104">
        <v>143124425</v>
      </c>
      <c r="D104">
        <v>140804699</v>
      </c>
      <c r="E104">
        <v>1</v>
      </c>
      <c r="F104">
        <v>1</v>
      </c>
      <c r="G104">
        <v>1</v>
      </c>
      <c r="H104">
        <v>3</v>
      </c>
      <c r="I104" t="s">
        <v>266</v>
      </c>
      <c r="J104" t="s">
        <v>268</v>
      </c>
      <c r="K104" t="s">
        <v>267</v>
      </c>
      <c r="L104">
        <v>1348</v>
      </c>
      <c r="N104">
        <v>1009</v>
      </c>
      <c r="O104" t="s">
        <v>199</v>
      </c>
      <c r="P104" t="s">
        <v>199</v>
      </c>
      <c r="Q104">
        <v>1000</v>
      </c>
      <c r="W104">
        <v>1</v>
      </c>
      <c r="X104">
        <v>-754099152</v>
      </c>
      <c r="Y104">
        <f>(AT104*2)</f>
        <v>-0.03</v>
      </c>
      <c r="AA104">
        <v>599250</v>
      </c>
      <c r="AB104">
        <v>0</v>
      </c>
      <c r="AC104">
        <v>0</v>
      </c>
      <c r="AD104">
        <v>0</v>
      </c>
      <c r="AE104">
        <v>75000</v>
      </c>
      <c r="AF104">
        <v>0</v>
      </c>
      <c r="AG104">
        <v>0</v>
      </c>
      <c r="AH104">
        <v>0</v>
      </c>
      <c r="AI104">
        <v>7.99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1</v>
      </c>
      <c r="AQ104">
        <v>0</v>
      </c>
      <c r="AR104">
        <v>0</v>
      </c>
      <c r="AS104" t="s">
        <v>3</v>
      </c>
      <c r="AT104">
        <v>-1.4999999999999999E-2</v>
      </c>
      <c r="AU104" t="s">
        <v>262</v>
      </c>
      <c r="AV104">
        <v>0</v>
      </c>
      <c r="AW104">
        <v>2</v>
      </c>
      <c r="AX104">
        <v>143124432</v>
      </c>
      <c r="AY104">
        <v>1</v>
      </c>
      <c r="AZ104">
        <v>6144</v>
      </c>
      <c r="BA104">
        <v>127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ROUND(Y104*Source!I95,9)</f>
        <v>-7.7099999999999998E-3</v>
      </c>
      <c r="CY104">
        <f>AA104</f>
        <v>599250</v>
      </c>
      <c r="CZ104">
        <f>AE104</f>
        <v>75000</v>
      </c>
      <c r="DA104">
        <f>AI104</f>
        <v>7.99</v>
      </c>
      <c r="DB104">
        <f>ROUND((ROUND(AT104*CZ104,2)*2),2)</f>
        <v>-2250</v>
      </c>
      <c r="DC104">
        <f>ROUND((ROUND(AT104*AG104,2)*2),2)</f>
        <v>0</v>
      </c>
      <c r="DD104" t="s">
        <v>3</v>
      </c>
      <c r="DE104" t="s">
        <v>3</v>
      </c>
      <c r="DF104">
        <f>ROUND(ROUND(AE104*CX104,2)*AI104,2)</f>
        <v>-4620.22</v>
      </c>
      <c r="DG104">
        <f>ROUND(AF104*CX104,2)</f>
        <v>0</v>
      </c>
      <c r="DH104">
        <f>ROUND(AG104*CX104,2)</f>
        <v>0</v>
      </c>
      <c r="DI104">
        <f t="shared" si="40"/>
        <v>0</v>
      </c>
      <c r="DJ104">
        <f>DF104</f>
        <v>-4620.22</v>
      </c>
      <c r="DK104">
        <v>0</v>
      </c>
      <c r="DL104" t="s">
        <v>3</v>
      </c>
      <c r="DM104">
        <v>0</v>
      </c>
      <c r="DN104" t="s">
        <v>3</v>
      </c>
      <c r="DO104">
        <v>0</v>
      </c>
    </row>
    <row r="105" spans="1:119" x14ac:dyDescent="0.2">
      <c r="A105">
        <f>ROW(Source!A95)</f>
        <v>95</v>
      </c>
      <c r="B105">
        <v>143120906</v>
      </c>
      <c r="C105">
        <v>143124425</v>
      </c>
      <c r="D105">
        <v>140805136</v>
      </c>
      <c r="E105">
        <v>1</v>
      </c>
      <c r="F105">
        <v>1</v>
      </c>
      <c r="G105">
        <v>1</v>
      </c>
      <c r="H105">
        <v>3</v>
      </c>
      <c r="I105" t="s">
        <v>513</v>
      </c>
      <c r="J105" t="s">
        <v>514</v>
      </c>
      <c r="K105" t="s">
        <v>515</v>
      </c>
      <c r="L105">
        <v>1348</v>
      </c>
      <c r="N105">
        <v>1009</v>
      </c>
      <c r="O105" t="s">
        <v>199</v>
      </c>
      <c r="P105" t="s">
        <v>199</v>
      </c>
      <c r="Q105">
        <v>1000</v>
      </c>
      <c r="W105">
        <v>0</v>
      </c>
      <c r="X105">
        <v>-1709569930</v>
      </c>
      <c r="Y105">
        <f>(AT105*2)</f>
        <v>9.3999999999999997E-4</v>
      </c>
      <c r="AA105">
        <v>542297.28</v>
      </c>
      <c r="AB105">
        <v>0</v>
      </c>
      <c r="AC105">
        <v>0</v>
      </c>
      <c r="AD105">
        <v>0</v>
      </c>
      <c r="AE105">
        <v>67872</v>
      </c>
      <c r="AF105">
        <v>0</v>
      </c>
      <c r="AG105">
        <v>0</v>
      </c>
      <c r="AH105">
        <v>0</v>
      </c>
      <c r="AI105">
        <v>7.99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1</v>
      </c>
      <c r="AQ105">
        <v>0</v>
      </c>
      <c r="AR105">
        <v>0</v>
      </c>
      <c r="AS105" t="s">
        <v>3</v>
      </c>
      <c r="AT105">
        <v>4.6999999999999999E-4</v>
      </c>
      <c r="AU105" t="s">
        <v>262</v>
      </c>
      <c r="AV105">
        <v>0</v>
      </c>
      <c r="AW105">
        <v>2</v>
      </c>
      <c r="AX105">
        <v>143124433</v>
      </c>
      <c r="AY105">
        <v>1</v>
      </c>
      <c r="AZ105">
        <v>0</v>
      </c>
      <c r="BA105">
        <v>128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ROUND(Y105*Source!I95,9)</f>
        <v>2.4158E-4</v>
      </c>
      <c r="CY105">
        <f>AA105</f>
        <v>542297.28</v>
      </c>
      <c r="CZ105">
        <f>AE105</f>
        <v>67872</v>
      </c>
      <c r="DA105">
        <f>AI105</f>
        <v>7.99</v>
      </c>
      <c r="DB105">
        <f>ROUND((ROUND(AT105*CZ105,2)*2),2)</f>
        <v>63.8</v>
      </c>
      <c r="DC105">
        <f>ROUND((ROUND(AT105*AG105,2)*2),2)</f>
        <v>0</v>
      </c>
      <c r="DD105" t="s">
        <v>3</v>
      </c>
      <c r="DE105" t="s">
        <v>3</v>
      </c>
      <c r="DF105">
        <f>ROUND(ROUND(AE105*CX105,2)*AI105,2)</f>
        <v>131.04</v>
      </c>
      <c r="DG105">
        <f>ROUND(AF105*CX105,2)</f>
        <v>0</v>
      </c>
      <c r="DH105">
        <f>ROUND(AG105*CX105,2)</f>
        <v>0</v>
      </c>
      <c r="DI105">
        <f t="shared" si="40"/>
        <v>0</v>
      </c>
      <c r="DJ105">
        <f>DF105</f>
        <v>131.04</v>
      </c>
      <c r="DK105">
        <v>0</v>
      </c>
      <c r="DL105" t="s">
        <v>3</v>
      </c>
      <c r="DM105">
        <v>0</v>
      </c>
      <c r="DN105" t="s">
        <v>3</v>
      </c>
      <c r="DO105">
        <v>0</v>
      </c>
    </row>
    <row r="106" spans="1:119" x14ac:dyDescent="0.2">
      <c r="A106">
        <f>ROW(Source!A95)</f>
        <v>95</v>
      </c>
      <c r="B106">
        <v>143120906</v>
      </c>
      <c r="C106">
        <v>143124425</v>
      </c>
      <c r="D106">
        <v>140805184</v>
      </c>
      <c r="E106">
        <v>1</v>
      </c>
      <c r="F106">
        <v>1</v>
      </c>
      <c r="G106">
        <v>1</v>
      </c>
      <c r="H106">
        <v>3</v>
      </c>
      <c r="I106" t="s">
        <v>516</v>
      </c>
      <c r="J106" t="s">
        <v>517</v>
      </c>
      <c r="K106" t="s">
        <v>518</v>
      </c>
      <c r="L106">
        <v>1348</v>
      </c>
      <c r="N106">
        <v>1009</v>
      </c>
      <c r="O106" t="s">
        <v>199</v>
      </c>
      <c r="P106" t="s">
        <v>199</v>
      </c>
      <c r="Q106">
        <v>1000</v>
      </c>
      <c r="W106">
        <v>0</v>
      </c>
      <c r="X106">
        <v>-1938479438</v>
      </c>
      <c r="Y106">
        <f>(AT106*2)</f>
        <v>4.7999999999999996E-3</v>
      </c>
      <c r="AA106">
        <v>71087.03</v>
      </c>
      <c r="AB106">
        <v>0</v>
      </c>
      <c r="AC106">
        <v>0</v>
      </c>
      <c r="AD106">
        <v>0</v>
      </c>
      <c r="AE106">
        <v>8897</v>
      </c>
      <c r="AF106">
        <v>0</v>
      </c>
      <c r="AG106">
        <v>0</v>
      </c>
      <c r="AH106">
        <v>0</v>
      </c>
      <c r="AI106">
        <v>7.99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1</v>
      </c>
      <c r="AQ106">
        <v>0</v>
      </c>
      <c r="AR106">
        <v>0</v>
      </c>
      <c r="AS106" t="s">
        <v>3</v>
      </c>
      <c r="AT106">
        <v>2.3999999999999998E-3</v>
      </c>
      <c r="AU106" t="s">
        <v>262</v>
      </c>
      <c r="AV106">
        <v>0</v>
      </c>
      <c r="AW106">
        <v>2</v>
      </c>
      <c r="AX106">
        <v>143124434</v>
      </c>
      <c r="AY106">
        <v>1</v>
      </c>
      <c r="AZ106">
        <v>0</v>
      </c>
      <c r="BA106">
        <v>129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ROUND(Y106*Source!I95,9)</f>
        <v>1.2336000000000001E-3</v>
      </c>
      <c r="CY106">
        <f>AA106</f>
        <v>71087.03</v>
      </c>
      <c r="CZ106">
        <f>AE106</f>
        <v>8897</v>
      </c>
      <c r="DA106">
        <f>AI106</f>
        <v>7.99</v>
      </c>
      <c r="DB106">
        <f>ROUND((ROUND(AT106*CZ106,2)*2),2)</f>
        <v>42.7</v>
      </c>
      <c r="DC106">
        <f>ROUND((ROUND(AT106*AG106,2)*2),2)</f>
        <v>0</v>
      </c>
      <c r="DD106" t="s">
        <v>3</v>
      </c>
      <c r="DE106" t="s">
        <v>3</v>
      </c>
      <c r="DF106">
        <f>ROUND(ROUND(AE106*CX106,2)*AI106,2)</f>
        <v>87.73</v>
      </c>
      <c r="DG106">
        <f>ROUND(AF106*CX106,2)</f>
        <v>0</v>
      </c>
      <c r="DH106">
        <f>ROUND(AG106*CX106,2)</f>
        <v>0</v>
      </c>
      <c r="DI106">
        <f t="shared" si="40"/>
        <v>0</v>
      </c>
      <c r="DJ106">
        <f>DF106</f>
        <v>87.73</v>
      </c>
      <c r="DK106">
        <v>0</v>
      </c>
      <c r="DL106" t="s">
        <v>3</v>
      </c>
      <c r="DM106">
        <v>0</v>
      </c>
      <c r="DN106" t="s">
        <v>3</v>
      </c>
      <c r="DO106">
        <v>0</v>
      </c>
    </row>
    <row r="107" spans="1:119" x14ac:dyDescent="0.2">
      <c r="A107">
        <f>ROW(Source!A98)</f>
        <v>98</v>
      </c>
      <c r="B107">
        <v>143120906</v>
      </c>
      <c r="C107">
        <v>143124466</v>
      </c>
      <c r="D107">
        <v>140760022</v>
      </c>
      <c r="E107">
        <v>70</v>
      </c>
      <c r="F107">
        <v>1</v>
      </c>
      <c r="G107">
        <v>1</v>
      </c>
      <c r="H107">
        <v>1</v>
      </c>
      <c r="I107" t="s">
        <v>396</v>
      </c>
      <c r="J107" t="s">
        <v>3</v>
      </c>
      <c r="K107" t="s">
        <v>397</v>
      </c>
      <c r="L107">
        <v>1191</v>
      </c>
      <c r="N107">
        <v>1013</v>
      </c>
      <c r="O107" t="s">
        <v>374</v>
      </c>
      <c r="P107" t="s">
        <v>374</v>
      </c>
      <c r="Q107">
        <v>1</v>
      </c>
      <c r="W107">
        <v>0</v>
      </c>
      <c r="X107">
        <v>-2012709214</v>
      </c>
      <c r="Y107">
        <f>((AT107*1.15)*1.2)</f>
        <v>155.9538</v>
      </c>
      <c r="AA107">
        <v>0</v>
      </c>
      <c r="AB107">
        <v>0</v>
      </c>
      <c r="AC107">
        <v>0</v>
      </c>
      <c r="AD107">
        <v>262.64</v>
      </c>
      <c r="AE107">
        <v>0</v>
      </c>
      <c r="AF107">
        <v>0</v>
      </c>
      <c r="AG107">
        <v>0</v>
      </c>
      <c r="AH107">
        <v>9.4</v>
      </c>
      <c r="AI107">
        <v>1</v>
      </c>
      <c r="AJ107">
        <v>1</v>
      </c>
      <c r="AK107">
        <v>1</v>
      </c>
      <c r="AL107">
        <v>27.94</v>
      </c>
      <c r="AN107">
        <v>0</v>
      </c>
      <c r="AO107">
        <v>1</v>
      </c>
      <c r="AP107">
        <v>1</v>
      </c>
      <c r="AQ107">
        <v>0</v>
      </c>
      <c r="AR107">
        <v>0</v>
      </c>
      <c r="AS107" t="s">
        <v>3</v>
      </c>
      <c r="AT107">
        <v>113.01</v>
      </c>
      <c r="AU107" t="s">
        <v>17</v>
      </c>
      <c r="AV107">
        <v>1</v>
      </c>
      <c r="AW107">
        <v>2</v>
      </c>
      <c r="AX107">
        <v>143124497</v>
      </c>
      <c r="AY107">
        <v>1</v>
      </c>
      <c r="AZ107">
        <v>2048</v>
      </c>
      <c r="BA107">
        <v>130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ROUND(Y107*Source!I98,9)</f>
        <v>29.943129599999999</v>
      </c>
      <c r="CY107">
        <f>AD107</f>
        <v>262.64</v>
      </c>
      <c r="CZ107">
        <f>AH107</f>
        <v>9.4</v>
      </c>
      <c r="DA107">
        <f>AL107</f>
        <v>27.94</v>
      </c>
      <c r="DB107">
        <f>ROUND(((ROUND(AT107*CZ107,2)*1.15)*1.2),2)</f>
        <v>1465.96</v>
      </c>
      <c r="DC107">
        <f>ROUND(((ROUND(AT107*AG107,2)*1.15)*1.2),2)</f>
        <v>0</v>
      </c>
      <c r="DD107" t="s">
        <v>3</v>
      </c>
      <c r="DE107" t="s">
        <v>3</v>
      </c>
      <c r="DF107">
        <f>ROUND(AE107*CX107,2)</f>
        <v>0</v>
      </c>
      <c r="DG107">
        <f>ROUND(AF107*CX107,2)</f>
        <v>0</v>
      </c>
      <c r="DH107">
        <f>ROUND(AG107*CX107,2)</f>
        <v>0</v>
      </c>
      <c r="DI107">
        <f>ROUND(ROUND(AH107*CX107,2)*AL107,2)</f>
        <v>7864.27</v>
      </c>
      <c r="DJ107">
        <f>DI107</f>
        <v>7864.27</v>
      </c>
      <c r="DK107">
        <v>0</v>
      </c>
      <c r="DL107" t="s">
        <v>3</v>
      </c>
      <c r="DM107">
        <v>0</v>
      </c>
      <c r="DN107" t="s">
        <v>3</v>
      </c>
      <c r="DO107">
        <v>0</v>
      </c>
    </row>
    <row r="108" spans="1:119" x14ac:dyDescent="0.2">
      <c r="A108">
        <f>ROW(Source!A98)</f>
        <v>98</v>
      </c>
      <c r="B108">
        <v>143120906</v>
      </c>
      <c r="C108">
        <v>143124466</v>
      </c>
      <c r="D108">
        <v>140760225</v>
      </c>
      <c r="E108">
        <v>70</v>
      </c>
      <c r="F108">
        <v>1</v>
      </c>
      <c r="G108">
        <v>1</v>
      </c>
      <c r="H108">
        <v>1</v>
      </c>
      <c r="I108" t="s">
        <v>375</v>
      </c>
      <c r="J108" t="s">
        <v>3</v>
      </c>
      <c r="K108" t="s">
        <v>376</v>
      </c>
      <c r="L108">
        <v>1191</v>
      </c>
      <c r="N108">
        <v>1013</v>
      </c>
      <c r="O108" t="s">
        <v>374</v>
      </c>
      <c r="P108" t="s">
        <v>374</v>
      </c>
      <c r="Q108">
        <v>1</v>
      </c>
      <c r="W108">
        <v>0</v>
      </c>
      <c r="X108">
        <v>-1417349443</v>
      </c>
      <c r="Y108">
        <f>((AT108*1.25)*1.2)</f>
        <v>27.75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1</v>
      </c>
      <c r="AJ108">
        <v>1</v>
      </c>
      <c r="AK108">
        <v>27.94</v>
      </c>
      <c r="AL108">
        <v>1</v>
      </c>
      <c r="AN108">
        <v>0</v>
      </c>
      <c r="AO108">
        <v>1</v>
      </c>
      <c r="AP108">
        <v>1</v>
      </c>
      <c r="AQ108">
        <v>0</v>
      </c>
      <c r="AR108">
        <v>0</v>
      </c>
      <c r="AS108" t="s">
        <v>3</v>
      </c>
      <c r="AT108">
        <v>18.5</v>
      </c>
      <c r="AU108" t="s">
        <v>16</v>
      </c>
      <c r="AV108">
        <v>2</v>
      </c>
      <c r="AW108">
        <v>2</v>
      </c>
      <c r="AX108">
        <v>143124498</v>
      </c>
      <c r="AY108">
        <v>1</v>
      </c>
      <c r="AZ108">
        <v>2048</v>
      </c>
      <c r="BA108">
        <v>131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ROUND(Y108*Source!I98,9)</f>
        <v>5.3280000000000003</v>
      </c>
      <c r="CY108">
        <f>AD108</f>
        <v>0</v>
      </c>
      <c r="CZ108">
        <f>AH108</f>
        <v>0</v>
      </c>
      <c r="DA108">
        <f>AL108</f>
        <v>1</v>
      </c>
      <c r="DB108">
        <f>ROUND(((ROUND(AT108*CZ108,2)*1.25)*1.2),2)</f>
        <v>0</v>
      </c>
      <c r="DC108">
        <f>ROUND(((ROUND(AT108*AG108,2)*1.25)*1.2),2)</f>
        <v>0</v>
      </c>
      <c r="DD108" t="s">
        <v>3</v>
      </c>
      <c r="DE108" t="s">
        <v>3</v>
      </c>
      <c r="DF108">
        <f>ROUND(AE108*CX108,2)</f>
        <v>0</v>
      </c>
      <c r="DG108">
        <f>ROUND(AF108*CX108,2)</f>
        <v>0</v>
      </c>
      <c r="DH108">
        <f>ROUND(ROUND(AG108*CX108,2)*AK108,2)</f>
        <v>0</v>
      </c>
      <c r="DI108">
        <f t="shared" ref="DI108:DI119" si="41">ROUND(AH108*CX108,2)</f>
        <v>0</v>
      </c>
      <c r="DJ108">
        <f>DI108</f>
        <v>0</v>
      </c>
      <c r="DK108">
        <v>0</v>
      </c>
      <c r="DL108" t="s">
        <v>3</v>
      </c>
      <c r="DM108">
        <v>0</v>
      </c>
      <c r="DN108" t="s">
        <v>3</v>
      </c>
      <c r="DO108">
        <v>0</v>
      </c>
    </row>
    <row r="109" spans="1:119" x14ac:dyDescent="0.2">
      <c r="A109">
        <f>ROW(Source!A98)</f>
        <v>98</v>
      </c>
      <c r="B109">
        <v>143120906</v>
      </c>
      <c r="C109">
        <v>143124466</v>
      </c>
      <c r="D109">
        <v>140922951</v>
      </c>
      <c r="E109">
        <v>1</v>
      </c>
      <c r="F109">
        <v>1</v>
      </c>
      <c r="G109">
        <v>1</v>
      </c>
      <c r="H109">
        <v>2</v>
      </c>
      <c r="I109" t="s">
        <v>381</v>
      </c>
      <c r="J109" t="s">
        <v>382</v>
      </c>
      <c r="K109" t="s">
        <v>383</v>
      </c>
      <c r="L109">
        <v>1367</v>
      </c>
      <c r="N109">
        <v>1011</v>
      </c>
      <c r="O109" t="s">
        <v>380</v>
      </c>
      <c r="P109" t="s">
        <v>380</v>
      </c>
      <c r="Q109">
        <v>1</v>
      </c>
      <c r="W109">
        <v>0</v>
      </c>
      <c r="X109">
        <v>-430484415</v>
      </c>
      <c r="Y109">
        <f>((AT109*1.25)*1.2)</f>
        <v>0.495</v>
      </c>
      <c r="AA109">
        <v>0</v>
      </c>
      <c r="AB109">
        <v>1275.17</v>
      </c>
      <c r="AC109">
        <v>377.19</v>
      </c>
      <c r="AD109">
        <v>0</v>
      </c>
      <c r="AE109">
        <v>0</v>
      </c>
      <c r="AF109">
        <v>115.4</v>
      </c>
      <c r="AG109">
        <v>13.5</v>
      </c>
      <c r="AH109">
        <v>0</v>
      </c>
      <c r="AI109">
        <v>1</v>
      </c>
      <c r="AJ109">
        <v>11.05</v>
      </c>
      <c r="AK109">
        <v>27.94</v>
      </c>
      <c r="AL109">
        <v>1</v>
      </c>
      <c r="AN109">
        <v>0</v>
      </c>
      <c r="AO109">
        <v>1</v>
      </c>
      <c r="AP109">
        <v>1</v>
      </c>
      <c r="AQ109">
        <v>0</v>
      </c>
      <c r="AR109">
        <v>0</v>
      </c>
      <c r="AS109" t="s">
        <v>3</v>
      </c>
      <c r="AT109">
        <v>0.33</v>
      </c>
      <c r="AU109" t="s">
        <v>16</v>
      </c>
      <c r="AV109">
        <v>0</v>
      </c>
      <c r="AW109">
        <v>2</v>
      </c>
      <c r="AX109">
        <v>143124499</v>
      </c>
      <c r="AY109">
        <v>1</v>
      </c>
      <c r="AZ109">
        <v>2048</v>
      </c>
      <c r="BA109">
        <v>132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ROUND(Y109*Source!I98,9)</f>
        <v>9.5039999999999999E-2</v>
      </c>
      <c r="CY109">
        <f>AB109</f>
        <v>1275.17</v>
      </c>
      <c r="CZ109">
        <f>AF109</f>
        <v>115.4</v>
      </c>
      <c r="DA109">
        <f>AJ109</f>
        <v>11.05</v>
      </c>
      <c r="DB109">
        <f>ROUND(((ROUND(AT109*CZ109,2)*1.25)*1.2),2)</f>
        <v>57.12</v>
      </c>
      <c r="DC109">
        <f>ROUND(((ROUND(AT109*AG109,2)*1.25)*1.2),2)</f>
        <v>6.69</v>
      </c>
      <c r="DD109" t="s">
        <v>3</v>
      </c>
      <c r="DE109" t="s">
        <v>3</v>
      </c>
      <c r="DF109">
        <f>ROUND(AE109*CX109,2)</f>
        <v>0</v>
      </c>
      <c r="DG109">
        <f>ROUND(ROUND(AF109*CX109,2)*AJ109,2)</f>
        <v>121.22</v>
      </c>
      <c r="DH109">
        <f>ROUND(ROUND(AG109*CX109,2)*AK109,2)</f>
        <v>35.76</v>
      </c>
      <c r="DI109">
        <f t="shared" si="41"/>
        <v>0</v>
      </c>
      <c r="DJ109">
        <f>DG109</f>
        <v>121.22</v>
      </c>
      <c r="DK109">
        <v>0</v>
      </c>
      <c r="DL109" t="s">
        <v>3</v>
      </c>
      <c r="DM109">
        <v>0</v>
      </c>
      <c r="DN109" t="s">
        <v>3</v>
      </c>
      <c r="DO109">
        <v>0</v>
      </c>
    </row>
    <row r="110" spans="1:119" x14ac:dyDescent="0.2">
      <c r="A110">
        <f>ROW(Source!A98)</f>
        <v>98</v>
      </c>
      <c r="B110">
        <v>143120906</v>
      </c>
      <c r="C110">
        <v>143124466</v>
      </c>
      <c r="D110">
        <v>140922957</v>
      </c>
      <c r="E110">
        <v>1</v>
      </c>
      <c r="F110">
        <v>1</v>
      </c>
      <c r="G110">
        <v>1</v>
      </c>
      <c r="H110">
        <v>2</v>
      </c>
      <c r="I110" t="s">
        <v>398</v>
      </c>
      <c r="J110" t="s">
        <v>399</v>
      </c>
      <c r="K110" t="s">
        <v>400</v>
      </c>
      <c r="L110">
        <v>1367</v>
      </c>
      <c r="N110">
        <v>1011</v>
      </c>
      <c r="O110" t="s">
        <v>380</v>
      </c>
      <c r="P110" t="s">
        <v>380</v>
      </c>
      <c r="Q110">
        <v>1</v>
      </c>
      <c r="W110">
        <v>0</v>
      </c>
      <c r="X110">
        <v>-1189221606</v>
      </c>
      <c r="Y110">
        <f>((AT110*1.25)*1.2)</f>
        <v>26.369999999999997</v>
      </c>
      <c r="AA110">
        <v>0</v>
      </c>
      <c r="AB110">
        <v>1326.44</v>
      </c>
      <c r="AC110">
        <v>377.19</v>
      </c>
      <c r="AD110">
        <v>0</v>
      </c>
      <c r="AE110">
        <v>0</v>
      </c>
      <c r="AF110">
        <v>120.04</v>
      </c>
      <c r="AG110">
        <v>13.5</v>
      </c>
      <c r="AH110">
        <v>0</v>
      </c>
      <c r="AI110">
        <v>1</v>
      </c>
      <c r="AJ110">
        <v>11.05</v>
      </c>
      <c r="AK110">
        <v>27.94</v>
      </c>
      <c r="AL110">
        <v>1</v>
      </c>
      <c r="AN110">
        <v>0</v>
      </c>
      <c r="AO110">
        <v>1</v>
      </c>
      <c r="AP110">
        <v>1</v>
      </c>
      <c r="AQ110">
        <v>0</v>
      </c>
      <c r="AR110">
        <v>0</v>
      </c>
      <c r="AS110" t="s">
        <v>3</v>
      </c>
      <c r="AT110">
        <v>17.579999999999998</v>
      </c>
      <c r="AU110" t="s">
        <v>16</v>
      </c>
      <c r="AV110">
        <v>0</v>
      </c>
      <c r="AW110">
        <v>2</v>
      </c>
      <c r="AX110">
        <v>143124500</v>
      </c>
      <c r="AY110">
        <v>1</v>
      </c>
      <c r="AZ110">
        <v>2048</v>
      </c>
      <c r="BA110">
        <v>133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ROUND(Y110*Source!I98,9)</f>
        <v>5.06304</v>
      </c>
      <c r="CY110">
        <f>AB110</f>
        <v>1326.44</v>
      </c>
      <c r="CZ110">
        <f>AF110</f>
        <v>120.04</v>
      </c>
      <c r="DA110">
        <f>AJ110</f>
        <v>11.05</v>
      </c>
      <c r="DB110">
        <f>ROUND(((ROUND(AT110*CZ110,2)*1.25)*1.2),2)</f>
        <v>3165.45</v>
      </c>
      <c r="DC110">
        <f>ROUND(((ROUND(AT110*AG110,2)*1.25)*1.2),2)</f>
        <v>356</v>
      </c>
      <c r="DD110" t="s">
        <v>3</v>
      </c>
      <c r="DE110" t="s">
        <v>3</v>
      </c>
      <c r="DF110">
        <f>ROUND(AE110*CX110,2)</f>
        <v>0</v>
      </c>
      <c r="DG110">
        <f>ROUND(ROUND(AF110*CX110,2)*AJ110,2)</f>
        <v>6715.86</v>
      </c>
      <c r="DH110">
        <f>ROUND(ROUND(AG110*CX110,2)*AK110,2)</f>
        <v>1909.7</v>
      </c>
      <c r="DI110">
        <f t="shared" si="41"/>
        <v>0</v>
      </c>
      <c r="DJ110">
        <f>DG110</f>
        <v>6715.86</v>
      </c>
      <c r="DK110">
        <v>0</v>
      </c>
      <c r="DL110" t="s">
        <v>3</v>
      </c>
      <c r="DM110">
        <v>0</v>
      </c>
      <c r="DN110" t="s">
        <v>3</v>
      </c>
      <c r="DO110">
        <v>0</v>
      </c>
    </row>
    <row r="111" spans="1:119" x14ac:dyDescent="0.2">
      <c r="A111">
        <f>ROW(Source!A98)</f>
        <v>98</v>
      </c>
      <c r="B111">
        <v>143120906</v>
      </c>
      <c r="C111">
        <v>143124466</v>
      </c>
      <c r="D111">
        <v>140923885</v>
      </c>
      <c r="E111">
        <v>1</v>
      </c>
      <c r="F111">
        <v>1</v>
      </c>
      <c r="G111">
        <v>1</v>
      </c>
      <c r="H111">
        <v>2</v>
      </c>
      <c r="I111" t="s">
        <v>387</v>
      </c>
      <c r="J111" t="s">
        <v>388</v>
      </c>
      <c r="K111" t="s">
        <v>389</v>
      </c>
      <c r="L111">
        <v>1367</v>
      </c>
      <c r="N111">
        <v>1011</v>
      </c>
      <c r="O111" t="s">
        <v>380</v>
      </c>
      <c r="P111" t="s">
        <v>380</v>
      </c>
      <c r="Q111">
        <v>1</v>
      </c>
      <c r="W111">
        <v>0</v>
      </c>
      <c r="X111">
        <v>509054691</v>
      </c>
      <c r="Y111">
        <f>((AT111*1.25)*1.2)</f>
        <v>0.8849999999999999</v>
      </c>
      <c r="AA111">
        <v>0</v>
      </c>
      <c r="AB111">
        <v>726.1</v>
      </c>
      <c r="AC111">
        <v>324.10000000000002</v>
      </c>
      <c r="AD111">
        <v>0</v>
      </c>
      <c r="AE111">
        <v>0</v>
      </c>
      <c r="AF111">
        <v>65.709999999999994</v>
      </c>
      <c r="AG111">
        <v>11.6</v>
      </c>
      <c r="AH111">
        <v>0</v>
      </c>
      <c r="AI111">
        <v>1</v>
      </c>
      <c r="AJ111">
        <v>11.05</v>
      </c>
      <c r="AK111">
        <v>27.94</v>
      </c>
      <c r="AL111">
        <v>1</v>
      </c>
      <c r="AN111">
        <v>0</v>
      </c>
      <c r="AO111">
        <v>1</v>
      </c>
      <c r="AP111">
        <v>1</v>
      </c>
      <c r="AQ111">
        <v>0</v>
      </c>
      <c r="AR111">
        <v>0</v>
      </c>
      <c r="AS111" t="s">
        <v>3</v>
      </c>
      <c r="AT111">
        <v>0.59</v>
      </c>
      <c r="AU111" t="s">
        <v>16</v>
      </c>
      <c r="AV111">
        <v>0</v>
      </c>
      <c r="AW111">
        <v>2</v>
      </c>
      <c r="AX111">
        <v>143124501</v>
      </c>
      <c r="AY111">
        <v>1</v>
      </c>
      <c r="AZ111">
        <v>2048</v>
      </c>
      <c r="BA111">
        <v>134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ROUND(Y111*Source!I98,9)</f>
        <v>0.16991999999999999</v>
      </c>
      <c r="CY111">
        <f>AB111</f>
        <v>726.1</v>
      </c>
      <c r="CZ111">
        <f>AF111</f>
        <v>65.709999999999994</v>
      </c>
      <c r="DA111">
        <f>AJ111</f>
        <v>11.05</v>
      </c>
      <c r="DB111">
        <f>ROUND(((ROUND(AT111*CZ111,2)*1.25)*1.2),2)</f>
        <v>58.16</v>
      </c>
      <c r="DC111">
        <f>ROUND(((ROUND(AT111*AG111,2)*1.25)*1.2),2)</f>
        <v>10.26</v>
      </c>
      <c r="DD111" t="s">
        <v>3</v>
      </c>
      <c r="DE111" t="s">
        <v>3</v>
      </c>
      <c r="DF111">
        <f>ROUND(AE111*CX111,2)</f>
        <v>0</v>
      </c>
      <c r="DG111">
        <f>ROUND(ROUND(AF111*CX111,2)*AJ111,2)</f>
        <v>123.43</v>
      </c>
      <c r="DH111">
        <f>ROUND(ROUND(AG111*CX111,2)*AK111,2)</f>
        <v>55.04</v>
      </c>
      <c r="DI111">
        <f t="shared" si="41"/>
        <v>0</v>
      </c>
      <c r="DJ111">
        <f>DG111</f>
        <v>123.43</v>
      </c>
      <c r="DK111">
        <v>0</v>
      </c>
      <c r="DL111" t="s">
        <v>3</v>
      </c>
      <c r="DM111">
        <v>0</v>
      </c>
      <c r="DN111" t="s">
        <v>3</v>
      </c>
      <c r="DO111">
        <v>0</v>
      </c>
    </row>
    <row r="112" spans="1:119" x14ac:dyDescent="0.2">
      <c r="A112">
        <f>ROW(Source!A98)</f>
        <v>98</v>
      </c>
      <c r="B112">
        <v>143120906</v>
      </c>
      <c r="C112">
        <v>143124466</v>
      </c>
      <c r="D112">
        <v>140775017</v>
      </c>
      <c r="E112">
        <v>1</v>
      </c>
      <c r="F112">
        <v>1</v>
      </c>
      <c r="G112">
        <v>1</v>
      </c>
      <c r="H112">
        <v>3</v>
      </c>
      <c r="I112" t="s">
        <v>401</v>
      </c>
      <c r="J112" t="s">
        <v>402</v>
      </c>
      <c r="K112" t="s">
        <v>403</v>
      </c>
      <c r="L112">
        <v>1346</v>
      </c>
      <c r="N112">
        <v>1009</v>
      </c>
      <c r="O112" t="s">
        <v>177</v>
      </c>
      <c r="P112" t="s">
        <v>177</v>
      </c>
      <c r="Q112">
        <v>1</v>
      </c>
      <c r="W112">
        <v>0</v>
      </c>
      <c r="X112">
        <v>-1864341761</v>
      </c>
      <c r="Y112">
        <f t="shared" ref="Y112:Y119" si="42">AT112</f>
        <v>1</v>
      </c>
      <c r="AA112">
        <v>72.23</v>
      </c>
      <c r="AB112">
        <v>0</v>
      </c>
      <c r="AC112">
        <v>0</v>
      </c>
      <c r="AD112">
        <v>0</v>
      </c>
      <c r="AE112">
        <v>9.0399999999999991</v>
      </c>
      <c r="AF112">
        <v>0</v>
      </c>
      <c r="AG112">
        <v>0</v>
      </c>
      <c r="AH112">
        <v>0</v>
      </c>
      <c r="AI112">
        <v>7.99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1</v>
      </c>
      <c r="AQ112">
        <v>0</v>
      </c>
      <c r="AR112">
        <v>0</v>
      </c>
      <c r="AS112" t="s">
        <v>3</v>
      </c>
      <c r="AT112">
        <v>1</v>
      </c>
      <c r="AU112" t="s">
        <v>3</v>
      </c>
      <c r="AV112">
        <v>0</v>
      </c>
      <c r="AW112">
        <v>2</v>
      </c>
      <c r="AX112">
        <v>143124502</v>
      </c>
      <c r="AY112">
        <v>1</v>
      </c>
      <c r="AZ112">
        <v>0</v>
      </c>
      <c r="BA112">
        <v>135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ROUND(Y112*Source!I98,9)</f>
        <v>0.192</v>
      </c>
      <c r="CY112">
        <f t="shared" ref="CY112:CY119" si="43">AA112</f>
        <v>72.23</v>
      </c>
      <c r="CZ112">
        <f t="shared" ref="CZ112:CZ119" si="44">AE112</f>
        <v>9.0399999999999991</v>
      </c>
      <c r="DA112">
        <f t="shared" ref="DA112:DA119" si="45">AI112</f>
        <v>7.99</v>
      </c>
      <c r="DB112">
        <f t="shared" ref="DB112:DB119" si="46">ROUND(ROUND(AT112*CZ112,2),2)</f>
        <v>9.0399999999999991</v>
      </c>
      <c r="DC112">
        <f t="shared" ref="DC112:DC119" si="47">ROUND(ROUND(AT112*AG112,2),2)</f>
        <v>0</v>
      </c>
      <c r="DD112" t="s">
        <v>3</v>
      </c>
      <c r="DE112" t="s">
        <v>3</v>
      </c>
      <c r="DF112">
        <f t="shared" ref="DF112:DF119" si="48">ROUND(ROUND(AE112*CX112,2)*AI112,2)</f>
        <v>13.9</v>
      </c>
      <c r="DG112">
        <f t="shared" ref="DG112:DG119" si="49">ROUND(AF112*CX112,2)</f>
        <v>0</v>
      </c>
      <c r="DH112">
        <f t="shared" ref="DH112:DH119" si="50">ROUND(AG112*CX112,2)</f>
        <v>0</v>
      </c>
      <c r="DI112">
        <f t="shared" si="41"/>
        <v>0</v>
      </c>
      <c r="DJ112">
        <f t="shared" ref="DJ112:DJ119" si="51">DF112</f>
        <v>13.9</v>
      </c>
      <c r="DK112">
        <v>0</v>
      </c>
      <c r="DL112" t="s">
        <v>3</v>
      </c>
      <c r="DM112">
        <v>0</v>
      </c>
      <c r="DN112" t="s">
        <v>3</v>
      </c>
      <c r="DO112">
        <v>0</v>
      </c>
    </row>
    <row r="113" spans="1:119" x14ac:dyDescent="0.2">
      <c r="A113">
        <f>ROW(Source!A98)</f>
        <v>98</v>
      </c>
      <c r="B113">
        <v>143120906</v>
      </c>
      <c r="C113">
        <v>143124466</v>
      </c>
      <c r="D113">
        <v>140775118</v>
      </c>
      <c r="E113">
        <v>1</v>
      </c>
      <c r="F113">
        <v>1</v>
      </c>
      <c r="G113">
        <v>1</v>
      </c>
      <c r="H113">
        <v>3</v>
      </c>
      <c r="I113" t="s">
        <v>404</v>
      </c>
      <c r="J113" t="s">
        <v>405</v>
      </c>
      <c r="K113" t="s">
        <v>406</v>
      </c>
      <c r="L113">
        <v>1348</v>
      </c>
      <c r="N113">
        <v>1009</v>
      </c>
      <c r="O113" t="s">
        <v>199</v>
      </c>
      <c r="P113" t="s">
        <v>199</v>
      </c>
      <c r="Q113">
        <v>1000</v>
      </c>
      <c r="W113">
        <v>0</v>
      </c>
      <c r="X113">
        <v>-45966985</v>
      </c>
      <c r="Y113">
        <f t="shared" si="42"/>
        <v>1.0000000000000001E-5</v>
      </c>
      <c r="AA113">
        <v>95704.22</v>
      </c>
      <c r="AB113">
        <v>0</v>
      </c>
      <c r="AC113">
        <v>0</v>
      </c>
      <c r="AD113">
        <v>0</v>
      </c>
      <c r="AE113">
        <v>11978</v>
      </c>
      <c r="AF113">
        <v>0</v>
      </c>
      <c r="AG113">
        <v>0</v>
      </c>
      <c r="AH113">
        <v>0</v>
      </c>
      <c r="AI113">
        <v>7.99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1</v>
      </c>
      <c r="AQ113">
        <v>0</v>
      </c>
      <c r="AR113">
        <v>0</v>
      </c>
      <c r="AS113" t="s">
        <v>3</v>
      </c>
      <c r="AT113">
        <v>1.0000000000000001E-5</v>
      </c>
      <c r="AU113" t="s">
        <v>3</v>
      </c>
      <c r="AV113">
        <v>0</v>
      </c>
      <c r="AW113">
        <v>2</v>
      </c>
      <c r="AX113">
        <v>143124504</v>
      </c>
      <c r="AY113">
        <v>1</v>
      </c>
      <c r="AZ113">
        <v>0</v>
      </c>
      <c r="BA113">
        <v>137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ROUND(Y113*Source!I98,9)</f>
        <v>1.9199999999999998E-6</v>
      </c>
      <c r="CY113">
        <f t="shared" si="43"/>
        <v>95704.22</v>
      </c>
      <c r="CZ113">
        <f t="shared" si="44"/>
        <v>11978</v>
      </c>
      <c r="DA113">
        <f t="shared" si="45"/>
        <v>7.99</v>
      </c>
      <c r="DB113">
        <f t="shared" si="46"/>
        <v>0.12</v>
      </c>
      <c r="DC113">
        <f t="shared" si="47"/>
        <v>0</v>
      </c>
      <c r="DD113" t="s">
        <v>3</v>
      </c>
      <c r="DE113" t="s">
        <v>3</v>
      </c>
      <c r="DF113">
        <f t="shared" si="48"/>
        <v>0.16</v>
      </c>
      <c r="DG113">
        <f t="shared" si="49"/>
        <v>0</v>
      </c>
      <c r="DH113">
        <f t="shared" si="50"/>
        <v>0</v>
      </c>
      <c r="DI113">
        <f t="shared" si="41"/>
        <v>0</v>
      </c>
      <c r="DJ113">
        <f t="shared" si="51"/>
        <v>0.16</v>
      </c>
      <c r="DK113">
        <v>0</v>
      </c>
      <c r="DL113" t="s">
        <v>3</v>
      </c>
      <c r="DM113">
        <v>0</v>
      </c>
      <c r="DN113" t="s">
        <v>3</v>
      </c>
      <c r="DO113">
        <v>0</v>
      </c>
    </row>
    <row r="114" spans="1:119" x14ac:dyDescent="0.2">
      <c r="A114">
        <f>ROW(Source!A98)</f>
        <v>98</v>
      </c>
      <c r="B114">
        <v>143120906</v>
      </c>
      <c r="C114">
        <v>143124466</v>
      </c>
      <c r="D114">
        <v>140776229</v>
      </c>
      <c r="E114">
        <v>1</v>
      </c>
      <c r="F114">
        <v>1</v>
      </c>
      <c r="G114">
        <v>1</v>
      </c>
      <c r="H114">
        <v>3</v>
      </c>
      <c r="I114" t="s">
        <v>407</v>
      </c>
      <c r="J114" t="s">
        <v>408</v>
      </c>
      <c r="K114" t="s">
        <v>409</v>
      </c>
      <c r="L114">
        <v>1348</v>
      </c>
      <c r="N114">
        <v>1009</v>
      </c>
      <c r="O114" t="s">
        <v>199</v>
      </c>
      <c r="P114" t="s">
        <v>199</v>
      </c>
      <c r="Q114">
        <v>1000</v>
      </c>
      <c r="W114">
        <v>0</v>
      </c>
      <c r="X114">
        <v>-1671348935</v>
      </c>
      <c r="Y114">
        <f t="shared" si="42"/>
        <v>1E-4</v>
      </c>
      <c r="AA114">
        <v>302821</v>
      </c>
      <c r="AB114">
        <v>0</v>
      </c>
      <c r="AC114">
        <v>0</v>
      </c>
      <c r="AD114">
        <v>0</v>
      </c>
      <c r="AE114">
        <v>37900</v>
      </c>
      <c r="AF114">
        <v>0</v>
      </c>
      <c r="AG114">
        <v>0</v>
      </c>
      <c r="AH114">
        <v>0</v>
      </c>
      <c r="AI114">
        <v>7.99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1</v>
      </c>
      <c r="AQ114">
        <v>0</v>
      </c>
      <c r="AR114">
        <v>0</v>
      </c>
      <c r="AS114" t="s">
        <v>3</v>
      </c>
      <c r="AT114">
        <v>1E-4</v>
      </c>
      <c r="AU114" t="s">
        <v>3</v>
      </c>
      <c r="AV114">
        <v>0</v>
      </c>
      <c r="AW114">
        <v>2</v>
      </c>
      <c r="AX114">
        <v>143124506</v>
      </c>
      <c r="AY114">
        <v>1</v>
      </c>
      <c r="AZ114">
        <v>0</v>
      </c>
      <c r="BA114">
        <v>139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ROUND(Y114*Source!I98,9)</f>
        <v>1.9199999999999999E-5</v>
      </c>
      <c r="CY114">
        <f t="shared" si="43"/>
        <v>302821</v>
      </c>
      <c r="CZ114">
        <f t="shared" si="44"/>
        <v>37900</v>
      </c>
      <c r="DA114">
        <f t="shared" si="45"/>
        <v>7.99</v>
      </c>
      <c r="DB114">
        <f t="shared" si="46"/>
        <v>3.79</v>
      </c>
      <c r="DC114">
        <f t="shared" si="47"/>
        <v>0</v>
      </c>
      <c r="DD114" t="s">
        <v>3</v>
      </c>
      <c r="DE114" t="s">
        <v>3</v>
      </c>
      <c r="DF114">
        <f t="shared" si="48"/>
        <v>5.83</v>
      </c>
      <c r="DG114">
        <f t="shared" si="49"/>
        <v>0</v>
      </c>
      <c r="DH114">
        <f t="shared" si="50"/>
        <v>0</v>
      </c>
      <c r="DI114">
        <f t="shared" si="41"/>
        <v>0</v>
      </c>
      <c r="DJ114">
        <f t="shared" si="51"/>
        <v>5.83</v>
      </c>
      <c r="DK114">
        <v>0</v>
      </c>
      <c r="DL114" t="s">
        <v>3</v>
      </c>
      <c r="DM114">
        <v>0</v>
      </c>
      <c r="DN114" t="s">
        <v>3</v>
      </c>
      <c r="DO114">
        <v>0</v>
      </c>
    </row>
    <row r="115" spans="1:119" x14ac:dyDescent="0.2">
      <c r="A115">
        <f>ROW(Source!A98)</f>
        <v>98</v>
      </c>
      <c r="B115">
        <v>143120906</v>
      </c>
      <c r="C115">
        <v>143124466</v>
      </c>
      <c r="D115">
        <v>140791984</v>
      </c>
      <c r="E115">
        <v>1</v>
      </c>
      <c r="F115">
        <v>1</v>
      </c>
      <c r="G115">
        <v>1</v>
      </c>
      <c r="H115">
        <v>3</v>
      </c>
      <c r="I115" t="s">
        <v>410</v>
      </c>
      <c r="J115" t="s">
        <v>411</v>
      </c>
      <c r="K115" t="s">
        <v>412</v>
      </c>
      <c r="L115">
        <v>1302</v>
      </c>
      <c r="N115">
        <v>1003</v>
      </c>
      <c r="O115" t="s">
        <v>413</v>
      </c>
      <c r="P115" t="s">
        <v>413</v>
      </c>
      <c r="Q115">
        <v>10</v>
      </c>
      <c r="W115">
        <v>0</v>
      </c>
      <c r="X115">
        <v>581091037</v>
      </c>
      <c r="Y115">
        <f t="shared" si="42"/>
        <v>1.8700000000000001E-2</v>
      </c>
      <c r="AA115">
        <v>401.42</v>
      </c>
      <c r="AB115">
        <v>0</v>
      </c>
      <c r="AC115">
        <v>0</v>
      </c>
      <c r="AD115">
        <v>0</v>
      </c>
      <c r="AE115">
        <v>50.24</v>
      </c>
      <c r="AF115">
        <v>0</v>
      </c>
      <c r="AG115">
        <v>0</v>
      </c>
      <c r="AH115">
        <v>0</v>
      </c>
      <c r="AI115">
        <v>7.99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1</v>
      </c>
      <c r="AQ115">
        <v>0</v>
      </c>
      <c r="AR115">
        <v>0</v>
      </c>
      <c r="AS115" t="s">
        <v>3</v>
      </c>
      <c r="AT115">
        <v>1.8700000000000001E-2</v>
      </c>
      <c r="AU115" t="s">
        <v>3</v>
      </c>
      <c r="AV115">
        <v>0</v>
      </c>
      <c r="AW115">
        <v>2</v>
      </c>
      <c r="AX115">
        <v>143124508</v>
      </c>
      <c r="AY115">
        <v>1</v>
      </c>
      <c r="AZ115">
        <v>0</v>
      </c>
      <c r="BA115">
        <v>141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ROUND(Y115*Source!I98,9)</f>
        <v>3.5904000000000001E-3</v>
      </c>
      <c r="CY115">
        <f t="shared" si="43"/>
        <v>401.42</v>
      </c>
      <c r="CZ115">
        <f t="shared" si="44"/>
        <v>50.24</v>
      </c>
      <c r="DA115">
        <f t="shared" si="45"/>
        <v>7.99</v>
      </c>
      <c r="DB115">
        <f t="shared" si="46"/>
        <v>0.94</v>
      </c>
      <c r="DC115">
        <f t="shared" si="47"/>
        <v>0</v>
      </c>
      <c r="DD115" t="s">
        <v>3</v>
      </c>
      <c r="DE115" t="s">
        <v>3</v>
      </c>
      <c r="DF115">
        <f t="shared" si="48"/>
        <v>1.44</v>
      </c>
      <c r="DG115">
        <f t="shared" si="49"/>
        <v>0</v>
      </c>
      <c r="DH115">
        <f t="shared" si="50"/>
        <v>0</v>
      </c>
      <c r="DI115">
        <f t="shared" si="41"/>
        <v>0</v>
      </c>
      <c r="DJ115">
        <f t="shared" si="51"/>
        <v>1.44</v>
      </c>
      <c r="DK115">
        <v>0</v>
      </c>
      <c r="DL115" t="s">
        <v>3</v>
      </c>
      <c r="DM115">
        <v>0</v>
      </c>
      <c r="DN115" t="s">
        <v>3</v>
      </c>
      <c r="DO115">
        <v>0</v>
      </c>
    </row>
    <row r="116" spans="1:119" x14ac:dyDescent="0.2">
      <c r="A116">
        <f>ROW(Source!A98)</f>
        <v>98</v>
      </c>
      <c r="B116">
        <v>143120906</v>
      </c>
      <c r="C116">
        <v>143124466</v>
      </c>
      <c r="D116">
        <v>140792339</v>
      </c>
      <c r="E116">
        <v>1</v>
      </c>
      <c r="F116">
        <v>1</v>
      </c>
      <c r="G116">
        <v>1</v>
      </c>
      <c r="H116">
        <v>3</v>
      </c>
      <c r="I116" t="s">
        <v>414</v>
      </c>
      <c r="J116" t="s">
        <v>415</v>
      </c>
      <c r="K116" t="s">
        <v>416</v>
      </c>
      <c r="L116">
        <v>1348</v>
      </c>
      <c r="N116">
        <v>1009</v>
      </c>
      <c r="O116" t="s">
        <v>199</v>
      </c>
      <c r="P116" t="s">
        <v>199</v>
      </c>
      <c r="Q116">
        <v>1000</v>
      </c>
      <c r="W116">
        <v>0</v>
      </c>
      <c r="X116">
        <v>-120483918</v>
      </c>
      <c r="Y116">
        <f t="shared" si="42"/>
        <v>3.0000000000000001E-5</v>
      </c>
      <c r="AA116">
        <v>35597.050000000003</v>
      </c>
      <c r="AB116">
        <v>0</v>
      </c>
      <c r="AC116">
        <v>0</v>
      </c>
      <c r="AD116">
        <v>0</v>
      </c>
      <c r="AE116">
        <v>4455.2</v>
      </c>
      <c r="AF116">
        <v>0</v>
      </c>
      <c r="AG116">
        <v>0</v>
      </c>
      <c r="AH116">
        <v>0</v>
      </c>
      <c r="AI116">
        <v>7.99</v>
      </c>
      <c r="AJ116">
        <v>1</v>
      </c>
      <c r="AK116">
        <v>1</v>
      </c>
      <c r="AL116">
        <v>1</v>
      </c>
      <c r="AN116">
        <v>0</v>
      </c>
      <c r="AO116">
        <v>1</v>
      </c>
      <c r="AP116">
        <v>1</v>
      </c>
      <c r="AQ116">
        <v>0</v>
      </c>
      <c r="AR116">
        <v>0</v>
      </c>
      <c r="AS116" t="s">
        <v>3</v>
      </c>
      <c r="AT116">
        <v>3.0000000000000001E-5</v>
      </c>
      <c r="AU116" t="s">
        <v>3</v>
      </c>
      <c r="AV116">
        <v>0</v>
      </c>
      <c r="AW116">
        <v>2</v>
      </c>
      <c r="AX116">
        <v>143124509</v>
      </c>
      <c r="AY116">
        <v>1</v>
      </c>
      <c r="AZ116">
        <v>0</v>
      </c>
      <c r="BA116">
        <v>142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ROUND(Y116*Source!I98,9)</f>
        <v>5.7599999999999999E-6</v>
      </c>
      <c r="CY116">
        <f t="shared" si="43"/>
        <v>35597.050000000003</v>
      </c>
      <c r="CZ116">
        <f t="shared" si="44"/>
        <v>4455.2</v>
      </c>
      <c r="DA116">
        <f t="shared" si="45"/>
        <v>7.99</v>
      </c>
      <c r="DB116">
        <f t="shared" si="46"/>
        <v>0.13</v>
      </c>
      <c r="DC116">
        <f t="shared" si="47"/>
        <v>0</v>
      </c>
      <c r="DD116" t="s">
        <v>3</v>
      </c>
      <c r="DE116" t="s">
        <v>3</v>
      </c>
      <c r="DF116">
        <f t="shared" si="48"/>
        <v>0.24</v>
      </c>
      <c r="DG116">
        <f t="shared" si="49"/>
        <v>0</v>
      </c>
      <c r="DH116">
        <f t="shared" si="50"/>
        <v>0</v>
      </c>
      <c r="DI116">
        <f t="shared" si="41"/>
        <v>0</v>
      </c>
      <c r="DJ116">
        <f t="shared" si="51"/>
        <v>0.24</v>
      </c>
      <c r="DK116">
        <v>0</v>
      </c>
      <c r="DL116" t="s">
        <v>3</v>
      </c>
      <c r="DM116">
        <v>0</v>
      </c>
      <c r="DN116" t="s">
        <v>3</v>
      </c>
      <c r="DO116">
        <v>0</v>
      </c>
    </row>
    <row r="117" spans="1:119" x14ac:dyDescent="0.2">
      <c r="A117">
        <f>ROW(Source!A98)</f>
        <v>98</v>
      </c>
      <c r="B117">
        <v>143120906</v>
      </c>
      <c r="C117">
        <v>143124466</v>
      </c>
      <c r="D117">
        <v>140793072</v>
      </c>
      <c r="E117">
        <v>1</v>
      </c>
      <c r="F117">
        <v>1</v>
      </c>
      <c r="G117">
        <v>1</v>
      </c>
      <c r="H117">
        <v>3</v>
      </c>
      <c r="I117" t="s">
        <v>417</v>
      </c>
      <c r="J117" t="s">
        <v>418</v>
      </c>
      <c r="K117" t="s">
        <v>419</v>
      </c>
      <c r="L117">
        <v>1348</v>
      </c>
      <c r="N117">
        <v>1009</v>
      </c>
      <c r="O117" t="s">
        <v>199</v>
      </c>
      <c r="P117" t="s">
        <v>199</v>
      </c>
      <c r="Q117">
        <v>1000</v>
      </c>
      <c r="W117">
        <v>0</v>
      </c>
      <c r="X117">
        <v>834877976</v>
      </c>
      <c r="Y117">
        <f t="shared" si="42"/>
        <v>1.9400000000000001E-3</v>
      </c>
      <c r="AA117">
        <v>39310.800000000003</v>
      </c>
      <c r="AB117">
        <v>0</v>
      </c>
      <c r="AC117">
        <v>0</v>
      </c>
      <c r="AD117">
        <v>0</v>
      </c>
      <c r="AE117">
        <v>4920</v>
      </c>
      <c r="AF117">
        <v>0</v>
      </c>
      <c r="AG117">
        <v>0</v>
      </c>
      <c r="AH117">
        <v>0</v>
      </c>
      <c r="AI117">
        <v>7.99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1</v>
      </c>
      <c r="AQ117">
        <v>0</v>
      </c>
      <c r="AR117">
        <v>0</v>
      </c>
      <c r="AS117" t="s">
        <v>3</v>
      </c>
      <c r="AT117">
        <v>1.9400000000000001E-3</v>
      </c>
      <c r="AU117" t="s">
        <v>3</v>
      </c>
      <c r="AV117">
        <v>0</v>
      </c>
      <c r="AW117">
        <v>2</v>
      </c>
      <c r="AX117">
        <v>143124510</v>
      </c>
      <c r="AY117">
        <v>1</v>
      </c>
      <c r="AZ117">
        <v>0</v>
      </c>
      <c r="BA117">
        <v>143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ROUND(Y117*Source!I98,9)</f>
        <v>3.7248000000000001E-4</v>
      </c>
      <c r="CY117">
        <f t="shared" si="43"/>
        <v>39310.800000000003</v>
      </c>
      <c r="CZ117">
        <f t="shared" si="44"/>
        <v>4920</v>
      </c>
      <c r="DA117">
        <f t="shared" si="45"/>
        <v>7.99</v>
      </c>
      <c r="DB117">
        <f t="shared" si="46"/>
        <v>9.5399999999999991</v>
      </c>
      <c r="DC117">
        <f t="shared" si="47"/>
        <v>0</v>
      </c>
      <c r="DD117" t="s">
        <v>3</v>
      </c>
      <c r="DE117" t="s">
        <v>3</v>
      </c>
      <c r="DF117">
        <f t="shared" si="48"/>
        <v>14.62</v>
      </c>
      <c r="DG117">
        <f t="shared" si="49"/>
        <v>0</v>
      </c>
      <c r="DH117">
        <f t="shared" si="50"/>
        <v>0</v>
      </c>
      <c r="DI117">
        <f t="shared" si="41"/>
        <v>0</v>
      </c>
      <c r="DJ117">
        <f t="shared" si="51"/>
        <v>14.62</v>
      </c>
      <c r="DK117">
        <v>0</v>
      </c>
      <c r="DL117" t="s">
        <v>3</v>
      </c>
      <c r="DM117">
        <v>0</v>
      </c>
      <c r="DN117" t="s">
        <v>3</v>
      </c>
      <c r="DO117">
        <v>0</v>
      </c>
    </row>
    <row r="118" spans="1:119" x14ac:dyDescent="0.2">
      <c r="A118">
        <f>ROW(Source!A98)</f>
        <v>98</v>
      </c>
      <c r="B118">
        <v>143120906</v>
      </c>
      <c r="C118">
        <v>143124466</v>
      </c>
      <c r="D118">
        <v>140804058</v>
      </c>
      <c r="E118">
        <v>1</v>
      </c>
      <c r="F118">
        <v>1</v>
      </c>
      <c r="G118">
        <v>1</v>
      </c>
      <c r="H118">
        <v>3</v>
      </c>
      <c r="I118" t="s">
        <v>420</v>
      </c>
      <c r="J118" t="s">
        <v>421</v>
      </c>
      <c r="K118" t="s">
        <v>422</v>
      </c>
      <c r="L118">
        <v>1348</v>
      </c>
      <c r="N118">
        <v>1009</v>
      </c>
      <c r="O118" t="s">
        <v>199</v>
      </c>
      <c r="P118" t="s">
        <v>199</v>
      </c>
      <c r="Q118">
        <v>1000</v>
      </c>
      <c r="W118">
        <v>0</v>
      </c>
      <c r="X118">
        <v>264248573</v>
      </c>
      <c r="Y118">
        <f t="shared" si="42"/>
        <v>3.1E-4</v>
      </c>
      <c r="AA118">
        <v>124803.8</v>
      </c>
      <c r="AB118">
        <v>0</v>
      </c>
      <c r="AC118">
        <v>0</v>
      </c>
      <c r="AD118">
        <v>0</v>
      </c>
      <c r="AE118">
        <v>15620</v>
      </c>
      <c r="AF118">
        <v>0</v>
      </c>
      <c r="AG118">
        <v>0</v>
      </c>
      <c r="AH118">
        <v>0</v>
      </c>
      <c r="AI118">
        <v>7.99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1</v>
      </c>
      <c r="AQ118">
        <v>0</v>
      </c>
      <c r="AR118">
        <v>0</v>
      </c>
      <c r="AS118" t="s">
        <v>3</v>
      </c>
      <c r="AT118">
        <v>3.1E-4</v>
      </c>
      <c r="AU118" t="s">
        <v>3</v>
      </c>
      <c r="AV118">
        <v>0</v>
      </c>
      <c r="AW118">
        <v>2</v>
      </c>
      <c r="AX118">
        <v>143124511</v>
      </c>
      <c r="AY118">
        <v>1</v>
      </c>
      <c r="AZ118">
        <v>0</v>
      </c>
      <c r="BA118">
        <v>144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ROUND(Y118*Source!I98,9)</f>
        <v>5.9519999999999999E-5</v>
      </c>
      <c r="CY118">
        <f t="shared" si="43"/>
        <v>124803.8</v>
      </c>
      <c r="CZ118">
        <f t="shared" si="44"/>
        <v>15620</v>
      </c>
      <c r="DA118">
        <f t="shared" si="45"/>
        <v>7.99</v>
      </c>
      <c r="DB118">
        <f t="shared" si="46"/>
        <v>4.84</v>
      </c>
      <c r="DC118">
        <f t="shared" si="47"/>
        <v>0</v>
      </c>
      <c r="DD118" t="s">
        <v>3</v>
      </c>
      <c r="DE118" t="s">
        <v>3</v>
      </c>
      <c r="DF118">
        <f t="shared" si="48"/>
        <v>7.43</v>
      </c>
      <c r="DG118">
        <f t="shared" si="49"/>
        <v>0</v>
      </c>
      <c r="DH118">
        <f t="shared" si="50"/>
        <v>0</v>
      </c>
      <c r="DI118">
        <f t="shared" si="41"/>
        <v>0</v>
      </c>
      <c r="DJ118">
        <f t="shared" si="51"/>
        <v>7.43</v>
      </c>
      <c r="DK118">
        <v>0</v>
      </c>
      <c r="DL118" t="s">
        <v>3</v>
      </c>
      <c r="DM118">
        <v>0</v>
      </c>
      <c r="DN118" t="s">
        <v>3</v>
      </c>
      <c r="DO118">
        <v>0</v>
      </c>
    </row>
    <row r="119" spans="1:119" x14ac:dyDescent="0.2">
      <c r="A119">
        <f>ROW(Source!A98)</f>
        <v>98</v>
      </c>
      <c r="B119">
        <v>143120906</v>
      </c>
      <c r="C119">
        <v>143124466</v>
      </c>
      <c r="D119">
        <v>140805182</v>
      </c>
      <c r="E119">
        <v>1</v>
      </c>
      <c r="F119">
        <v>1</v>
      </c>
      <c r="G119">
        <v>1</v>
      </c>
      <c r="H119">
        <v>3</v>
      </c>
      <c r="I119" t="s">
        <v>423</v>
      </c>
      <c r="J119" t="s">
        <v>424</v>
      </c>
      <c r="K119" t="s">
        <v>425</v>
      </c>
      <c r="L119">
        <v>1346</v>
      </c>
      <c r="N119">
        <v>1009</v>
      </c>
      <c r="O119" t="s">
        <v>177</v>
      </c>
      <c r="P119" t="s">
        <v>177</v>
      </c>
      <c r="Q119">
        <v>1</v>
      </c>
      <c r="W119">
        <v>0</v>
      </c>
      <c r="X119">
        <v>-1449230318</v>
      </c>
      <c r="Y119">
        <f t="shared" si="42"/>
        <v>0.6</v>
      </c>
      <c r="AA119">
        <v>75.27</v>
      </c>
      <c r="AB119">
        <v>0</v>
      </c>
      <c r="AC119">
        <v>0</v>
      </c>
      <c r="AD119">
        <v>0</v>
      </c>
      <c r="AE119">
        <v>9.42</v>
      </c>
      <c r="AF119">
        <v>0</v>
      </c>
      <c r="AG119">
        <v>0</v>
      </c>
      <c r="AH119">
        <v>0</v>
      </c>
      <c r="AI119">
        <v>7.99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1</v>
      </c>
      <c r="AQ119">
        <v>0</v>
      </c>
      <c r="AR119">
        <v>0</v>
      </c>
      <c r="AS119" t="s">
        <v>3</v>
      </c>
      <c r="AT119">
        <v>0.6</v>
      </c>
      <c r="AU119" t="s">
        <v>3</v>
      </c>
      <c r="AV119">
        <v>0</v>
      </c>
      <c r="AW119">
        <v>2</v>
      </c>
      <c r="AX119">
        <v>143124512</v>
      </c>
      <c r="AY119">
        <v>1</v>
      </c>
      <c r="AZ119">
        <v>0</v>
      </c>
      <c r="BA119">
        <v>145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ROUND(Y119*Source!I98,9)</f>
        <v>0.1152</v>
      </c>
      <c r="CY119">
        <f t="shared" si="43"/>
        <v>75.27</v>
      </c>
      <c r="CZ119">
        <f t="shared" si="44"/>
        <v>9.42</v>
      </c>
      <c r="DA119">
        <f t="shared" si="45"/>
        <v>7.99</v>
      </c>
      <c r="DB119">
        <f t="shared" si="46"/>
        <v>5.65</v>
      </c>
      <c r="DC119">
        <f t="shared" si="47"/>
        <v>0</v>
      </c>
      <c r="DD119" t="s">
        <v>3</v>
      </c>
      <c r="DE119" t="s">
        <v>3</v>
      </c>
      <c r="DF119">
        <f t="shared" si="48"/>
        <v>8.7100000000000009</v>
      </c>
      <c r="DG119">
        <f t="shared" si="49"/>
        <v>0</v>
      </c>
      <c r="DH119">
        <f t="shared" si="50"/>
        <v>0</v>
      </c>
      <c r="DI119">
        <f t="shared" si="41"/>
        <v>0</v>
      </c>
      <c r="DJ119">
        <f t="shared" si="51"/>
        <v>8.7100000000000009</v>
      </c>
      <c r="DK119">
        <v>0</v>
      </c>
      <c r="DL119" t="s">
        <v>3</v>
      </c>
      <c r="DM119">
        <v>0</v>
      </c>
      <c r="DN119" t="s">
        <v>3</v>
      </c>
      <c r="DO119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R145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ROW(Source!A28)</f>
        <v>28</v>
      </c>
      <c r="B1">
        <v>143122775</v>
      </c>
      <c r="C1">
        <v>143122774</v>
      </c>
      <c r="D1">
        <v>140760008</v>
      </c>
      <c r="E1">
        <v>70</v>
      </c>
      <c r="F1">
        <v>1</v>
      </c>
      <c r="G1">
        <v>1</v>
      </c>
      <c r="H1">
        <v>1</v>
      </c>
      <c r="I1" t="s">
        <v>372</v>
      </c>
      <c r="J1" t="s">
        <v>3</v>
      </c>
      <c r="K1" t="s">
        <v>373</v>
      </c>
      <c r="L1">
        <v>1191</v>
      </c>
      <c r="N1">
        <v>1013</v>
      </c>
      <c r="O1" t="s">
        <v>374</v>
      </c>
      <c r="P1" t="s">
        <v>374</v>
      </c>
      <c r="Q1">
        <v>1</v>
      </c>
      <c r="X1">
        <v>378.17</v>
      </c>
      <c r="Y1">
        <v>0</v>
      </c>
      <c r="Z1">
        <v>0</v>
      </c>
      <c r="AA1">
        <v>0</v>
      </c>
      <c r="AB1">
        <v>9.18</v>
      </c>
      <c r="AC1">
        <v>0</v>
      </c>
      <c r="AD1">
        <v>1</v>
      </c>
      <c r="AE1">
        <v>1</v>
      </c>
      <c r="AF1" t="s">
        <v>26</v>
      </c>
      <c r="AG1">
        <v>363.04320000000001</v>
      </c>
      <c r="AH1">
        <v>2</v>
      </c>
      <c r="AI1">
        <v>143122775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ROW(Source!A28)</f>
        <v>28</v>
      </c>
      <c r="B2">
        <v>143122776</v>
      </c>
      <c r="C2">
        <v>143122774</v>
      </c>
      <c r="D2">
        <v>140760225</v>
      </c>
      <c r="E2">
        <v>70</v>
      </c>
      <c r="F2">
        <v>1</v>
      </c>
      <c r="G2">
        <v>1</v>
      </c>
      <c r="H2">
        <v>1</v>
      </c>
      <c r="I2" t="s">
        <v>375</v>
      </c>
      <c r="J2" t="s">
        <v>3</v>
      </c>
      <c r="K2" t="s">
        <v>376</v>
      </c>
      <c r="L2">
        <v>1191</v>
      </c>
      <c r="N2">
        <v>1013</v>
      </c>
      <c r="O2" t="s">
        <v>374</v>
      </c>
      <c r="P2" t="s">
        <v>374</v>
      </c>
      <c r="Q2">
        <v>1</v>
      </c>
      <c r="X2">
        <v>2.29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26</v>
      </c>
      <c r="AG2">
        <v>2.1983999999999999</v>
      </c>
      <c r="AH2">
        <v>2</v>
      </c>
      <c r="AI2">
        <v>143122776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ROW(Source!A28)</f>
        <v>28</v>
      </c>
      <c r="B3">
        <v>143122777</v>
      </c>
      <c r="C3">
        <v>143122774</v>
      </c>
      <c r="D3">
        <v>140922892</v>
      </c>
      <c r="E3">
        <v>1</v>
      </c>
      <c r="F3">
        <v>1</v>
      </c>
      <c r="G3">
        <v>1</v>
      </c>
      <c r="H3">
        <v>2</v>
      </c>
      <c r="I3" t="s">
        <v>377</v>
      </c>
      <c r="J3" t="s">
        <v>378</v>
      </c>
      <c r="K3" t="s">
        <v>379</v>
      </c>
      <c r="L3">
        <v>1367</v>
      </c>
      <c r="N3">
        <v>1011</v>
      </c>
      <c r="O3" t="s">
        <v>380</v>
      </c>
      <c r="P3" t="s">
        <v>380</v>
      </c>
      <c r="Q3">
        <v>1</v>
      </c>
      <c r="X3">
        <v>0.34</v>
      </c>
      <c r="Y3">
        <v>0</v>
      </c>
      <c r="Z3">
        <v>83.43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26</v>
      </c>
      <c r="AG3">
        <v>0.32640000000000002</v>
      </c>
      <c r="AH3">
        <v>2</v>
      </c>
      <c r="AI3">
        <v>143122777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ROW(Source!A28)</f>
        <v>28</v>
      </c>
      <c r="B4">
        <v>143122778</v>
      </c>
      <c r="C4">
        <v>143122774</v>
      </c>
      <c r="D4">
        <v>140922951</v>
      </c>
      <c r="E4">
        <v>1</v>
      </c>
      <c r="F4">
        <v>1</v>
      </c>
      <c r="G4">
        <v>1</v>
      </c>
      <c r="H4">
        <v>2</v>
      </c>
      <c r="I4" t="s">
        <v>381</v>
      </c>
      <c r="J4" t="s">
        <v>382</v>
      </c>
      <c r="K4" t="s">
        <v>383</v>
      </c>
      <c r="L4">
        <v>1367</v>
      </c>
      <c r="N4">
        <v>1011</v>
      </c>
      <c r="O4" t="s">
        <v>380</v>
      </c>
      <c r="P4" t="s">
        <v>380</v>
      </c>
      <c r="Q4">
        <v>1</v>
      </c>
      <c r="X4">
        <v>0.13</v>
      </c>
      <c r="Y4">
        <v>0</v>
      </c>
      <c r="Z4">
        <v>115.4</v>
      </c>
      <c r="AA4">
        <v>13.5</v>
      </c>
      <c r="AB4">
        <v>0</v>
      </c>
      <c r="AC4">
        <v>0</v>
      </c>
      <c r="AD4">
        <v>1</v>
      </c>
      <c r="AE4">
        <v>0</v>
      </c>
      <c r="AF4" t="s">
        <v>26</v>
      </c>
      <c r="AG4">
        <v>0.12480000000000001</v>
      </c>
      <c r="AH4">
        <v>2</v>
      </c>
      <c r="AI4">
        <v>143122778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ROW(Source!A28)</f>
        <v>28</v>
      </c>
      <c r="B5">
        <v>143122779</v>
      </c>
      <c r="C5">
        <v>143122774</v>
      </c>
      <c r="D5">
        <v>140923268</v>
      </c>
      <c r="E5">
        <v>1</v>
      </c>
      <c r="F5">
        <v>1</v>
      </c>
      <c r="G5">
        <v>1</v>
      </c>
      <c r="H5">
        <v>2</v>
      </c>
      <c r="I5" t="s">
        <v>384</v>
      </c>
      <c r="J5" t="s">
        <v>385</v>
      </c>
      <c r="K5" t="s">
        <v>386</v>
      </c>
      <c r="L5">
        <v>1367</v>
      </c>
      <c r="N5">
        <v>1011</v>
      </c>
      <c r="O5" t="s">
        <v>380</v>
      </c>
      <c r="P5" t="s">
        <v>380</v>
      </c>
      <c r="Q5">
        <v>1</v>
      </c>
      <c r="X5">
        <v>1.69</v>
      </c>
      <c r="Y5">
        <v>0</v>
      </c>
      <c r="Z5">
        <v>12.39</v>
      </c>
      <c r="AA5">
        <v>10.06</v>
      </c>
      <c r="AB5">
        <v>0</v>
      </c>
      <c r="AC5">
        <v>0</v>
      </c>
      <c r="AD5">
        <v>1</v>
      </c>
      <c r="AE5">
        <v>0</v>
      </c>
      <c r="AF5" t="s">
        <v>26</v>
      </c>
      <c r="AG5">
        <v>1.6224000000000001</v>
      </c>
      <c r="AH5">
        <v>2</v>
      </c>
      <c r="AI5">
        <v>143122779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ROW(Source!A28)</f>
        <v>28</v>
      </c>
      <c r="B6">
        <v>143122780</v>
      </c>
      <c r="C6">
        <v>143122774</v>
      </c>
      <c r="D6">
        <v>140923885</v>
      </c>
      <c r="E6">
        <v>1</v>
      </c>
      <c r="F6">
        <v>1</v>
      </c>
      <c r="G6">
        <v>1</v>
      </c>
      <c r="H6">
        <v>2</v>
      </c>
      <c r="I6" t="s">
        <v>387</v>
      </c>
      <c r="J6" t="s">
        <v>388</v>
      </c>
      <c r="K6" t="s">
        <v>389</v>
      </c>
      <c r="L6">
        <v>1367</v>
      </c>
      <c r="N6">
        <v>1011</v>
      </c>
      <c r="O6" t="s">
        <v>380</v>
      </c>
      <c r="P6" t="s">
        <v>380</v>
      </c>
      <c r="Q6">
        <v>1</v>
      </c>
      <c r="X6">
        <v>0.13</v>
      </c>
      <c r="Y6">
        <v>0</v>
      </c>
      <c r="Z6">
        <v>65.709999999999994</v>
      </c>
      <c r="AA6">
        <v>11.6</v>
      </c>
      <c r="AB6">
        <v>0</v>
      </c>
      <c r="AC6">
        <v>0</v>
      </c>
      <c r="AD6">
        <v>1</v>
      </c>
      <c r="AE6">
        <v>0</v>
      </c>
      <c r="AF6" t="s">
        <v>26</v>
      </c>
      <c r="AG6">
        <v>0.12480000000000001</v>
      </c>
      <c r="AH6">
        <v>2</v>
      </c>
      <c r="AI6">
        <v>143122780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143122781</v>
      </c>
      <c r="C7">
        <v>143122774</v>
      </c>
      <c r="D7">
        <v>140772680</v>
      </c>
      <c r="E7">
        <v>1</v>
      </c>
      <c r="F7">
        <v>1</v>
      </c>
      <c r="G7">
        <v>1</v>
      </c>
      <c r="H7">
        <v>3</v>
      </c>
      <c r="I7" t="s">
        <v>390</v>
      </c>
      <c r="J7" t="s">
        <v>391</v>
      </c>
      <c r="K7" t="s">
        <v>392</v>
      </c>
      <c r="L7">
        <v>1339</v>
      </c>
      <c r="N7">
        <v>1007</v>
      </c>
      <c r="O7" t="s">
        <v>149</v>
      </c>
      <c r="P7" t="s">
        <v>149</v>
      </c>
      <c r="Q7">
        <v>1</v>
      </c>
      <c r="X7">
        <v>0.45</v>
      </c>
      <c r="Y7">
        <v>2.44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25</v>
      </c>
      <c r="AG7">
        <v>0</v>
      </c>
      <c r="AH7">
        <v>2</v>
      </c>
      <c r="AI7">
        <v>143122781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ROW(Source!A28)</f>
        <v>28</v>
      </c>
      <c r="B8">
        <v>143122782</v>
      </c>
      <c r="C8">
        <v>143122774</v>
      </c>
      <c r="D8">
        <v>140778268</v>
      </c>
      <c r="E8">
        <v>1</v>
      </c>
      <c r="F8">
        <v>1</v>
      </c>
      <c r="G8">
        <v>1</v>
      </c>
      <c r="H8">
        <v>3</v>
      </c>
      <c r="I8" t="s">
        <v>393</v>
      </c>
      <c r="J8" t="s">
        <v>394</v>
      </c>
      <c r="K8" t="s">
        <v>395</v>
      </c>
      <c r="L8">
        <v>1348</v>
      </c>
      <c r="N8">
        <v>1009</v>
      </c>
      <c r="O8" t="s">
        <v>199</v>
      </c>
      <c r="P8" t="s">
        <v>199</v>
      </c>
      <c r="Q8">
        <v>1000</v>
      </c>
      <c r="X8">
        <v>2.1000000000000001E-2</v>
      </c>
      <c r="Y8">
        <v>6513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25</v>
      </c>
      <c r="AG8">
        <v>0</v>
      </c>
      <c r="AH8">
        <v>2</v>
      </c>
      <c r="AI8">
        <v>143122782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ROW(Source!A28)</f>
        <v>28</v>
      </c>
      <c r="B9">
        <v>143122783</v>
      </c>
      <c r="C9">
        <v>143122774</v>
      </c>
      <c r="D9">
        <v>140761835</v>
      </c>
      <c r="E9">
        <v>70</v>
      </c>
      <c r="F9">
        <v>1</v>
      </c>
      <c r="G9">
        <v>1</v>
      </c>
      <c r="H9">
        <v>3</v>
      </c>
      <c r="I9" t="s">
        <v>519</v>
      </c>
      <c r="J9" t="s">
        <v>3</v>
      </c>
      <c r="K9" t="s">
        <v>520</v>
      </c>
      <c r="L9">
        <v>1327</v>
      </c>
      <c r="N9">
        <v>1005</v>
      </c>
      <c r="O9" t="s">
        <v>186</v>
      </c>
      <c r="P9" t="s">
        <v>186</v>
      </c>
      <c r="Q9">
        <v>1</v>
      </c>
      <c r="X9">
        <v>102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 t="s">
        <v>25</v>
      </c>
      <c r="AG9">
        <v>0</v>
      </c>
      <c r="AH9">
        <v>3</v>
      </c>
      <c r="AI9">
        <v>-1</v>
      </c>
      <c r="AJ9" t="s">
        <v>3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ROW(Source!A28)</f>
        <v>28</v>
      </c>
      <c r="B10">
        <v>143122784</v>
      </c>
      <c r="C10">
        <v>143122774</v>
      </c>
      <c r="D10">
        <v>140762635</v>
      </c>
      <c r="E10">
        <v>70</v>
      </c>
      <c r="F10">
        <v>1</v>
      </c>
      <c r="G10">
        <v>1</v>
      </c>
      <c r="H10">
        <v>3</v>
      </c>
      <c r="I10" t="s">
        <v>521</v>
      </c>
      <c r="J10" t="s">
        <v>3</v>
      </c>
      <c r="K10" t="s">
        <v>522</v>
      </c>
      <c r="L10">
        <v>1339</v>
      </c>
      <c r="N10">
        <v>1007</v>
      </c>
      <c r="O10" t="s">
        <v>149</v>
      </c>
      <c r="P10" t="s">
        <v>149</v>
      </c>
      <c r="Q10">
        <v>1</v>
      </c>
      <c r="X10">
        <v>0.01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 t="s">
        <v>25</v>
      </c>
      <c r="AG10">
        <v>0</v>
      </c>
      <c r="AH10">
        <v>3</v>
      </c>
      <c r="AI10">
        <v>-1</v>
      </c>
      <c r="AJ10" t="s">
        <v>3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ROW(Source!A28)</f>
        <v>28</v>
      </c>
      <c r="B11">
        <v>143122785</v>
      </c>
      <c r="C11">
        <v>143122774</v>
      </c>
      <c r="D11">
        <v>140763169</v>
      </c>
      <c r="E11">
        <v>70</v>
      </c>
      <c r="F11">
        <v>1</v>
      </c>
      <c r="G11">
        <v>1</v>
      </c>
      <c r="H11">
        <v>3</v>
      </c>
      <c r="I11" t="s">
        <v>523</v>
      </c>
      <c r="J11" t="s">
        <v>3</v>
      </c>
      <c r="K11" t="s">
        <v>524</v>
      </c>
      <c r="L11">
        <v>1348</v>
      </c>
      <c r="N11">
        <v>1009</v>
      </c>
      <c r="O11" t="s">
        <v>199</v>
      </c>
      <c r="P11" t="s">
        <v>199</v>
      </c>
      <c r="Q11">
        <v>1000</v>
      </c>
      <c r="X11">
        <v>1.2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 t="s">
        <v>25</v>
      </c>
      <c r="AG11">
        <v>0</v>
      </c>
      <c r="AH11">
        <v>3</v>
      </c>
      <c r="AI11">
        <v>-1</v>
      </c>
      <c r="AJ11" t="s">
        <v>3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ROW(Source!A29)</f>
        <v>29</v>
      </c>
      <c r="B12">
        <v>143122800</v>
      </c>
      <c r="C12">
        <v>143122799</v>
      </c>
      <c r="D12">
        <v>140760022</v>
      </c>
      <c r="E12">
        <v>70</v>
      </c>
      <c r="F12">
        <v>1</v>
      </c>
      <c r="G12">
        <v>1</v>
      </c>
      <c r="H12">
        <v>1</v>
      </c>
      <c r="I12" t="s">
        <v>396</v>
      </c>
      <c r="J12" t="s">
        <v>3</v>
      </c>
      <c r="K12" t="s">
        <v>397</v>
      </c>
      <c r="L12">
        <v>1191</v>
      </c>
      <c r="N12">
        <v>1013</v>
      </c>
      <c r="O12" t="s">
        <v>374</v>
      </c>
      <c r="P12" t="s">
        <v>374</v>
      </c>
      <c r="Q12">
        <v>1</v>
      </c>
      <c r="X12">
        <v>113.01</v>
      </c>
      <c r="Y12">
        <v>0</v>
      </c>
      <c r="Z12">
        <v>0</v>
      </c>
      <c r="AA12">
        <v>0</v>
      </c>
      <c r="AB12">
        <v>9.4</v>
      </c>
      <c r="AC12">
        <v>0</v>
      </c>
      <c r="AD12">
        <v>1</v>
      </c>
      <c r="AE12">
        <v>1</v>
      </c>
      <c r="AF12" t="s">
        <v>26</v>
      </c>
      <c r="AG12">
        <v>108.48960000000001</v>
      </c>
      <c r="AH12">
        <v>2</v>
      </c>
      <c r="AI12">
        <v>143122800</v>
      </c>
      <c r="AJ12">
        <v>9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ROW(Source!A29)</f>
        <v>29</v>
      </c>
      <c r="B13">
        <v>143122801</v>
      </c>
      <c r="C13">
        <v>143122799</v>
      </c>
      <c r="D13">
        <v>140760225</v>
      </c>
      <c r="E13">
        <v>70</v>
      </c>
      <c r="F13">
        <v>1</v>
      </c>
      <c r="G13">
        <v>1</v>
      </c>
      <c r="H13">
        <v>1</v>
      </c>
      <c r="I13" t="s">
        <v>375</v>
      </c>
      <c r="J13" t="s">
        <v>3</v>
      </c>
      <c r="K13" t="s">
        <v>376</v>
      </c>
      <c r="L13">
        <v>1191</v>
      </c>
      <c r="N13">
        <v>1013</v>
      </c>
      <c r="O13" t="s">
        <v>374</v>
      </c>
      <c r="P13" t="s">
        <v>374</v>
      </c>
      <c r="Q13">
        <v>1</v>
      </c>
      <c r="X13">
        <v>18.5</v>
      </c>
      <c r="Y13">
        <v>0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2</v>
      </c>
      <c r="AF13" t="s">
        <v>26</v>
      </c>
      <c r="AG13">
        <v>17.760000000000002</v>
      </c>
      <c r="AH13">
        <v>2</v>
      </c>
      <c r="AI13">
        <v>143122801</v>
      </c>
      <c r="AJ13">
        <v>10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ROW(Source!A29)</f>
        <v>29</v>
      </c>
      <c r="B14">
        <v>143122802</v>
      </c>
      <c r="C14">
        <v>143122799</v>
      </c>
      <c r="D14">
        <v>140922951</v>
      </c>
      <c r="E14">
        <v>1</v>
      </c>
      <c r="F14">
        <v>1</v>
      </c>
      <c r="G14">
        <v>1</v>
      </c>
      <c r="H14">
        <v>2</v>
      </c>
      <c r="I14" t="s">
        <v>381</v>
      </c>
      <c r="J14" t="s">
        <v>382</v>
      </c>
      <c r="K14" t="s">
        <v>383</v>
      </c>
      <c r="L14">
        <v>1367</v>
      </c>
      <c r="N14">
        <v>1011</v>
      </c>
      <c r="O14" t="s">
        <v>380</v>
      </c>
      <c r="P14" t="s">
        <v>380</v>
      </c>
      <c r="Q14">
        <v>1</v>
      </c>
      <c r="X14">
        <v>0.33</v>
      </c>
      <c r="Y14">
        <v>0</v>
      </c>
      <c r="Z14">
        <v>115.4</v>
      </c>
      <c r="AA14">
        <v>13.5</v>
      </c>
      <c r="AB14">
        <v>0</v>
      </c>
      <c r="AC14">
        <v>0</v>
      </c>
      <c r="AD14">
        <v>1</v>
      </c>
      <c r="AE14">
        <v>0</v>
      </c>
      <c r="AF14" t="s">
        <v>26</v>
      </c>
      <c r="AG14">
        <v>0.31680000000000003</v>
      </c>
      <c r="AH14">
        <v>2</v>
      </c>
      <c r="AI14">
        <v>143122802</v>
      </c>
      <c r="AJ14">
        <v>11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ROW(Source!A29)</f>
        <v>29</v>
      </c>
      <c r="B15">
        <v>143122803</v>
      </c>
      <c r="C15">
        <v>143122799</v>
      </c>
      <c r="D15">
        <v>140922957</v>
      </c>
      <c r="E15">
        <v>1</v>
      </c>
      <c r="F15">
        <v>1</v>
      </c>
      <c r="G15">
        <v>1</v>
      </c>
      <c r="H15">
        <v>2</v>
      </c>
      <c r="I15" t="s">
        <v>398</v>
      </c>
      <c r="J15" t="s">
        <v>399</v>
      </c>
      <c r="K15" t="s">
        <v>400</v>
      </c>
      <c r="L15">
        <v>1367</v>
      </c>
      <c r="N15">
        <v>1011</v>
      </c>
      <c r="O15" t="s">
        <v>380</v>
      </c>
      <c r="P15" t="s">
        <v>380</v>
      </c>
      <c r="Q15">
        <v>1</v>
      </c>
      <c r="X15">
        <v>17.579999999999998</v>
      </c>
      <c r="Y15">
        <v>0</v>
      </c>
      <c r="Z15">
        <v>120.04</v>
      </c>
      <c r="AA15">
        <v>13.5</v>
      </c>
      <c r="AB15">
        <v>0</v>
      </c>
      <c r="AC15">
        <v>0</v>
      </c>
      <c r="AD15">
        <v>1</v>
      </c>
      <c r="AE15">
        <v>0</v>
      </c>
      <c r="AF15" t="s">
        <v>26</v>
      </c>
      <c r="AG15">
        <v>16.876799999999999</v>
      </c>
      <c r="AH15">
        <v>2</v>
      </c>
      <c r="AI15">
        <v>143122803</v>
      </c>
      <c r="AJ15">
        <v>12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ROW(Source!A29)</f>
        <v>29</v>
      </c>
      <c r="B16">
        <v>143122804</v>
      </c>
      <c r="C16">
        <v>143122799</v>
      </c>
      <c r="D16">
        <v>140923885</v>
      </c>
      <c r="E16">
        <v>1</v>
      </c>
      <c r="F16">
        <v>1</v>
      </c>
      <c r="G16">
        <v>1</v>
      </c>
      <c r="H16">
        <v>2</v>
      </c>
      <c r="I16" t="s">
        <v>387</v>
      </c>
      <c r="J16" t="s">
        <v>388</v>
      </c>
      <c r="K16" t="s">
        <v>389</v>
      </c>
      <c r="L16">
        <v>1367</v>
      </c>
      <c r="N16">
        <v>1011</v>
      </c>
      <c r="O16" t="s">
        <v>380</v>
      </c>
      <c r="P16" t="s">
        <v>380</v>
      </c>
      <c r="Q16">
        <v>1</v>
      </c>
      <c r="X16">
        <v>0.59</v>
      </c>
      <c r="Y16">
        <v>0</v>
      </c>
      <c r="Z16">
        <v>65.709999999999994</v>
      </c>
      <c r="AA16">
        <v>11.6</v>
      </c>
      <c r="AB16">
        <v>0</v>
      </c>
      <c r="AC16">
        <v>0</v>
      </c>
      <c r="AD16">
        <v>1</v>
      </c>
      <c r="AE16">
        <v>0</v>
      </c>
      <c r="AF16" t="s">
        <v>26</v>
      </c>
      <c r="AG16">
        <v>0.5663999999999999</v>
      </c>
      <c r="AH16">
        <v>2</v>
      </c>
      <c r="AI16">
        <v>143122804</v>
      </c>
      <c r="AJ16">
        <v>13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ROW(Source!A29)</f>
        <v>29</v>
      </c>
      <c r="B17">
        <v>143122805</v>
      </c>
      <c r="C17">
        <v>143122799</v>
      </c>
      <c r="D17">
        <v>140775017</v>
      </c>
      <c r="E17">
        <v>1</v>
      </c>
      <c r="F17">
        <v>1</v>
      </c>
      <c r="G17">
        <v>1</v>
      </c>
      <c r="H17">
        <v>3</v>
      </c>
      <c r="I17" t="s">
        <v>401</v>
      </c>
      <c r="J17" t="s">
        <v>402</v>
      </c>
      <c r="K17" t="s">
        <v>403</v>
      </c>
      <c r="L17">
        <v>1346</v>
      </c>
      <c r="N17">
        <v>1009</v>
      </c>
      <c r="O17" t="s">
        <v>177</v>
      </c>
      <c r="P17" t="s">
        <v>177</v>
      </c>
      <c r="Q17">
        <v>1</v>
      </c>
      <c r="X17">
        <v>1</v>
      </c>
      <c r="Y17">
        <v>9.0399999999999991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25</v>
      </c>
      <c r="AG17">
        <v>0</v>
      </c>
      <c r="AH17">
        <v>2</v>
      </c>
      <c r="AI17">
        <v>143122805</v>
      </c>
      <c r="AJ17">
        <v>14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143122806</v>
      </c>
      <c r="C18">
        <v>143122799</v>
      </c>
      <c r="D18">
        <v>140775046</v>
      </c>
      <c r="E18">
        <v>1</v>
      </c>
      <c r="F18">
        <v>1</v>
      </c>
      <c r="G18">
        <v>1</v>
      </c>
      <c r="H18">
        <v>3</v>
      </c>
      <c r="I18" t="s">
        <v>525</v>
      </c>
      <c r="J18" t="s">
        <v>526</v>
      </c>
      <c r="K18" t="s">
        <v>527</v>
      </c>
      <c r="L18">
        <v>1348</v>
      </c>
      <c r="N18">
        <v>1009</v>
      </c>
      <c r="O18" t="s">
        <v>199</v>
      </c>
      <c r="P18" t="s">
        <v>199</v>
      </c>
      <c r="Q18">
        <v>1000</v>
      </c>
      <c r="X18">
        <v>0</v>
      </c>
      <c r="Y18">
        <v>35011</v>
      </c>
      <c r="Z18">
        <v>0</v>
      </c>
      <c r="AA18">
        <v>0</v>
      </c>
      <c r="AB18">
        <v>0</v>
      </c>
      <c r="AC18">
        <v>1</v>
      </c>
      <c r="AD18">
        <v>0</v>
      </c>
      <c r="AE18">
        <v>0</v>
      </c>
      <c r="AF18" t="s">
        <v>25</v>
      </c>
      <c r="AG18">
        <v>0</v>
      </c>
      <c r="AH18">
        <v>3</v>
      </c>
      <c r="AI18">
        <v>-1</v>
      </c>
      <c r="AJ18" t="s">
        <v>3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ROW(Source!A29)</f>
        <v>29</v>
      </c>
      <c r="B19">
        <v>143122807</v>
      </c>
      <c r="C19">
        <v>143122799</v>
      </c>
      <c r="D19">
        <v>140775118</v>
      </c>
      <c r="E19">
        <v>1</v>
      </c>
      <c r="F19">
        <v>1</v>
      </c>
      <c r="G19">
        <v>1</v>
      </c>
      <c r="H19">
        <v>3</v>
      </c>
      <c r="I19" t="s">
        <v>404</v>
      </c>
      <c r="J19" t="s">
        <v>405</v>
      </c>
      <c r="K19" t="s">
        <v>406</v>
      </c>
      <c r="L19">
        <v>1348</v>
      </c>
      <c r="N19">
        <v>1009</v>
      </c>
      <c r="O19" t="s">
        <v>199</v>
      </c>
      <c r="P19" t="s">
        <v>199</v>
      </c>
      <c r="Q19">
        <v>1000</v>
      </c>
      <c r="X19">
        <v>1.0000000000000001E-5</v>
      </c>
      <c r="Y19">
        <v>11978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25</v>
      </c>
      <c r="AG19">
        <v>0</v>
      </c>
      <c r="AH19">
        <v>2</v>
      </c>
      <c r="AI19">
        <v>143122807</v>
      </c>
      <c r="AJ19">
        <v>15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ROW(Source!A29)</f>
        <v>29</v>
      </c>
      <c r="B20">
        <v>143122808</v>
      </c>
      <c r="C20">
        <v>143122799</v>
      </c>
      <c r="D20">
        <v>140776038</v>
      </c>
      <c r="E20">
        <v>1</v>
      </c>
      <c r="F20">
        <v>1</v>
      </c>
      <c r="G20">
        <v>1</v>
      </c>
      <c r="H20">
        <v>3</v>
      </c>
      <c r="I20" t="s">
        <v>528</v>
      </c>
      <c r="J20" t="s">
        <v>529</v>
      </c>
      <c r="K20" t="s">
        <v>530</v>
      </c>
      <c r="L20">
        <v>1346</v>
      </c>
      <c r="N20">
        <v>1009</v>
      </c>
      <c r="O20" t="s">
        <v>177</v>
      </c>
      <c r="P20" t="s">
        <v>177</v>
      </c>
      <c r="Q20">
        <v>1</v>
      </c>
      <c r="X20">
        <v>0</v>
      </c>
      <c r="Y20">
        <v>23.09</v>
      </c>
      <c r="Z20">
        <v>0</v>
      </c>
      <c r="AA20">
        <v>0</v>
      </c>
      <c r="AB20">
        <v>0</v>
      </c>
      <c r="AC20">
        <v>1</v>
      </c>
      <c r="AD20">
        <v>0</v>
      </c>
      <c r="AE20">
        <v>0</v>
      </c>
      <c r="AF20" t="s">
        <v>25</v>
      </c>
      <c r="AG20">
        <v>0</v>
      </c>
      <c r="AH20">
        <v>3</v>
      </c>
      <c r="AI20">
        <v>-1</v>
      </c>
      <c r="AJ20" t="s">
        <v>3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ROW(Source!A29)</f>
        <v>29</v>
      </c>
      <c r="B21">
        <v>143122809</v>
      </c>
      <c r="C21">
        <v>143122799</v>
      </c>
      <c r="D21">
        <v>140776229</v>
      </c>
      <c r="E21">
        <v>1</v>
      </c>
      <c r="F21">
        <v>1</v>
      </c>
      <c r="G21">
        <v>1</v>
      </c>
      <c r="H21">
        <v>3</v>
      </c>
      <c r="I21" t="s">
        <v>407</v>
      </c>
      <c r="J21" t="s">
        <v>408</v>
      </c>
      <c r="K21" t="s">
        <v>409</v>
      </c>
      <c r="L21">
        <v>1348</v>
      </c>
      <c r="N21">
        <v>1009</v>
      </c>
      <c r="O21" t="s">
        <v>199</v>
      </c>
      <c r="P21" t="s">
        <v>199</v>
      </c>
      <c r="Q21">
        <v>1000</v>
      </c>
      <c r="X21">
        <v>1E-4</v>
      </c>
      <c r="Y21">
        <v>37900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25</v>
      </c>
      <c r="AG21">
        <v>0</v>
      </c>
      <c r="AH21">
        <v>2</v>
      </c>
      <c r="AI21">
        <v>143122809</v>
      </c>
      <c r="AJ21">
        <v>16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ROW(Source!A29)</f>
        <v>29</v>
      </c>
      <c r="B22">
        <v>143122810</v>
      </c>
      <c r="C22">
        <v>143122799</v>
      </c>
      <c r="D22">
        <v>140762044</v>
      </c>
      <c r="E22">
        <v>70</v>
      </c>
      <c r="F22">
        <v>1</v>
      </c>
      <c r="G22">
        <v>1</v>
      </c>
      <c r="H22">
        <v>3</v>
      </c>
      <c r="I22" t="s">
        <v>531</v>
      </c>
      <c r="J22" t="s">
        <v>3</v>
      </c>
      <c r="K22" t="s">
        <v>532</v>
      </c>
      <c r="L22">
        <v>1371</v>
      </c>
      <c r="N22">
        <v>1013</v>
      </c>
      <c r="O22" t="s">
        <v>44</v>
      </c>
      <c r="P22" t="s">
        <v>44</v>
      </c>
      <c r="Q22">
        <v>1</v>
      </c>
      <c r="X22">
        <v>0</v>
      </c>
      <c r="Y22">
        <v>0</v>
      </c>
      <c r="Z22">
        <v>0</v>
      </c>
      <c r="AA22">
        <v>0</v>
      </c>
      <c r="AB22">
        <v>0</v>
      </c>
      <c r="AC22">
        <v>1</v>
      </c>
      <c r="AD22">
        <v>0</v>
      </c>
      <c r="AE22">
        <v>0</v>
      </c>
      <c r="AF22" t="s">
        <v>25</v>
      </c>
      <c r="AG22">
        <v>0</v>
      </c>
      <c r="AH22">
        <v>3</v>
      </c>
      <c r="AI22">
        <v>-1</v>
      </c>
      <c r="AJ22" t="s">
        <v>3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ROW(Source!A29)</f>
        <v>29</v>
      </c>
      <c r="B23">
        <v>143122811</v>
      </c>
      <c r="C23">
        <v>143122799</v>
      </c>
      <c r="D23">
        <v>140791984</v>
      </c>
      <c r="E23">
        <v>1</v>
      </c>
      <c r="F23">
        <v>1</v>
      </c>
      <c r="G23">
        <v>1</v>
      </c>
      <c r="H23">
        <v>3</v>
      </c>
      <c r="I23" t="s">
        <v>410</v>
      </c>
      <c r="J23" t="s">
        <v>411</v>
      </c>
      <c r="K23" t="s">
        <v>412</v>
      </c>
      <c r="L23">
        <v>1302</v>
      </c>
      <c r="N23">
        <v>1003</v>
      </c>
      <c r="O23" t="s">
        <v>413</v>
      </c>
      <c r="P23" t="s">
        <v>413</v>
      </c>
      <c r="Q23">
        <v>10</v>
      </c>
      <c r="X23">
        <v>1.8700000000000001E-2</v>
      </c>
      <c r="Y23">
        <v>50.24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25</v>
      </c>
      <c r="AG23">
        <v>0</v>
      </c>
      <c r="AH23">
        <v>2</v>
      </c>
      <c r="AI23">
        <v>143122811</v>
      </c>
      <c r="AJ23">
        <v>17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ROW(Source!A29)</f>
        <v>29</v>
      </c>
      <c r="B24">
        <v>143122812</v>
      </c>
      <c r="C24">
        <v>143122799</v>
      </c>
      <c r="D24">
        <v>140792339</v>
      </c>
      <c r="E24">
        <v>1</v>
      </c>
      <c r="F24">
        <v>1</v>
      </c>
      <c r="G24">
        <v>1</v>
      </c>
      <c r="H24">
        <v>3</v>
      </c>
      <c r="I24" t="s">
        <v>414</v>
      </c>
      <c r="J24" t="s">
        <v>415</v>
      </c>
      <c r="K24" t="s">
        <v>416</v>
      </c>
      <c r="L24">
        <v>1348</v>
      </c>
      <c r="N24">
        <v>1009</v>
      </c>
      <c r="O24" t="s">
        <v>199</v>
      </c>
      <c r="P24" t="s">
        <v>199</v>
      </c>
      <c r="Q24">
        <v>1000</v>
      </c>
      <c r="X24">
        <v>3.0000000000000001E-5</v>
      </c>
      <c r="Y24">
        <v>4455.2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25</v>
      </c>
      <c r="AG24">
        <v>0</v>
      </c>
      <c r="AH24">
        <v>2</v>
      </c>
      <c r="AI24">
        <v>143122812</v>
      </c>
      <c r="AJ24">
        <v>18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ROW(Source!A29)</f>
        <v>29</v>
      </c>
      <c r="B25">
        <v>143122813</v>
      </c>
      <c r="C25">
        <v>143122799</v>
      </c>
      <c r="D25">
        <v>140793072</v>
      </c>
      <c r="E25">
        <v>1</v>
      </c>
      <c r="F25">
        <v>1</v>
      </c>
      <c r="G25">
        <v>1</v>
      </c>
      <c r="H25">
        <v>3</v>
      </c>
      <c r="I25" t="s">
        <v>417</v>
      </c>
      <c r="J25" t="s">
        <v>418</v>
      </c>
      <c r="K25" t="s">
        <v>419</v>
      </c>
      <c r="L25">
        <v>1348</v>
      </c>
      <c r="N25">
        <v>1009</v>
      </c>
      <c r="O25" t="s">
        <v>199</v>
      </c>
      <c r="P25" t="s">
        <v>199</v>
      </c>
      <c r="Q25">
        <v>1000</v>
      </c>
      <c r="X25">
        <v>1.9400000000000001E-3</v>
      </c>
      <c r="Y25">
        <v>4920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25</v>
      </c>
      <c r="AG25">
        <v>0</v>
      </c>
      <c r="AH25">
        <v>2</v>
      </c>
      <c r="AI25">
        <v>143122813</v>
      </c>
      <c r="AJ25">
        <v>19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ROW(Source!A29)</f>
        <v>29</v>
      </c>
      <c r="B26">
        <v>143122814</v>
      </c>
      <c r="C26">
        <v>143122799</v>
      </c>
      <c r="D26">
        <v>140804058</v>
      </c>
      <c r="E26">
        <v>1</v>
      </c>
      <c r="F26">
        <v>1</v>
      </c>
      <c r="G26">
        <v>1</v>
      </c>
      <c r="H26">
        <v>3</v>
      </c>
      <c r="I26" t="s">
        <v>420</v>
      </c>
      <c r="J26" t="s">
        <v>421</v>
      </c>
      <c r="K26" t="s">
        <v>422</v>
      </c>
      <c r="L26">
        <v>1348</v>
      </c>
      <c r="N26">
        <v>1009</v>
      </c>
      <c r="O26" t="s">
        <v>199</v>
      </c>
      <c r="P26" t="s">
        <v>199</v>
      </c>
      <c r="Q26">
        <v>1000</v>
      </c>
      <c r="X26">
        <v>3.1E-4</v>
      </c>
      <c r="Y26">
        <v>15620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25</v>
      </c>
      <c r="AG26">
        <v>0</v>
      </c>
      <c r="AH26">
        <v>2</v>
      </c>
      <c r="AI26">
        <v>143122814</v>
      </c>
      <c r="AJ26">
        <v>20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ROW(Source!A29)</f>
        <v>29</v>
      </c>
      <c r="B27">
        <v>143122815</v>
      </c>
      <c r="C27">
        <v>143122799</v>
      </c>
      <c r="D27">
        <v>140805182</v>
      </c>
      <c r="E27">
        <v>1</v>
      </c>
      <c r="F27">
        <v>1</v>
      </c>
      <c r="G27">
        <v>1</v>
      </c>
      <c r="H27">
        <v>3</v>
      </c>
      <c r="I27" t="s">
        <v>423</v>
      </c>
      <c r="J27" t="s">
        <v>424</v>
      </c>
      <c r="K27" t="s">
        <v>425</v>
      </c>
      <c r="L27">
        <v>1346</v>
      </c>
      <c r="N27">
        <v>1009</v>
      </c>
      <c r="O27" t="s">
        <v>177</v>
      </c>
      <c r="P27" t="s">
        <v>177</v>
      </c>
      <c r="Q27">
        <v>1</v>
      </c>
      <c r="X27">
        <v>0.6</v>
      </c>
      <c r="Y27">
        <v>9.42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25</v>
      </c>
      <c r="AG27">
        <v>0</v>
      </c>
      <c r="AH27">
        <v>2</v>
      </c>
      <c r="AI27">
        <v>143122815</v>
      </c>
      <c r="AJ27">
        <v>21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143124258</v>
      </c>
      <c r="C28">
        <v>143124256</v>
      </c>
      <c r="D28">
        <v>140755443</v>
      </c>
      <c r="E28">
        <v>70</v>
      </c>
      <c r="F28">
        <v>1</v>
      </c>
      <c r="G28">
        <v>1</v>
      </c>
      <c r="H28">
        <v>1</v>
      </c>
      <c r="I28" t="s">
        <v>426</v>
      </c>
      <c r="J28" t="s">
        <v>3</v>
      </c>
      <c r="K28" t="s">
        <v>427</v>
      </c>
      <c r="L28">
        <v>1191</v>
      </c>
      <c r="N28">
        <v>1013</v>
      </c>
      <c r="O28" t="s">
        <v>374</v>
      </c>
      <c r="P28" t="s">
        <v>374</v>
      </c>
      <c r="Q28">
        <v>1</v>
      </c>
      <c r="X28">
        <v>0.12</v>
      </c>
      <c r="Y28">
        <v>0</v>
      </c>
      <c r="Z28">
        <v>0</v>
      </c>
      <c r="AA28">
        <v>0</v>
      </c>
      <c r="AB28">
        <v>9.6199999999999992</v>
      </c>
      <c r="AC28">
        <v>0</v>
      </c>
      <c r="AD28">
        <v>1</v>
      </c>
      <c r="AE28">
        <v>1</v>
      </c>
      <c r="AF28" t="s">
        <v>26</v>
      </c>
      <c r="AG28">
        <v>0.1152</v>
      </c>
      <c r="AH28">
        <v>2</v>
      </c>
      <c r="AI28">
        <v>143124257</v>
      </c>
      <c r="AJ28">
        <v>22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ROW(Source!A30)</f>
        <v>30</v>
      </c>
      <c r="B29">
        <v>143124259</v>
      </c>
      <c r="C29">
        <v>143124256</v>
      </c>
      <c r="D29">
        <v>140762174</v>
      </c>
      <c r="E29">
        <v>70</v>
      </c>
      <c r="F29">
        <v>1</v>
      </c>
      <c r="G29">
        <v>1</v>
      </c>
      <c r="H29">
        <v>3</v>
      </c>
      <c r="I29" t="s">
        <v>533</v>
      </c>
      <c r="J29" t="s">
        <v>3</v>
      </c>
      <c r="K29" t="s">
        <v>534</v>
      </c>
      <c r="L29">
        <v>1371</v>
      </c>
      <c r="N29">
        <v>1013</v>
      </c>
      <c r="O29" t="s">
        <v>44</v>
      </c>
      <c r="P29" t="s">
        <v>44</v>
      </c>
      <c r="Q29">
        <v>1</v>
      </c>
      <c r="X29">
        <v>1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 t="s">
        <v>25</v>
      </c>
      <c r="AG29">
        <v>0</v>
      </c>
      <c r="AH29">
        <v>3</v>
      </c>
      <c r="AI29">
        <v>-1</v>
      </c>
      <c r="AJ29" t="s">
        <v>3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ROW(Source!A31)</f>
        <v>31</v>
      </c>
      <c r="B30">
        <v>143127452</v>
      </c>
      <c r="C30">
        <v>143127449</v>
      </c>
      <c r="D30">
        <v>140755443</v>
      </c>
      <c r="E30">
        <v>70</v>
      </c>
      <c r="F30">
        <v>1</v>
      </c>
      <c r="G30">
        <v>1</v>
      </c>
      <c r="H30">
        <v>1</v>
      </c>
      <c r="I30" t="s">
        <v>426</v>
      </c>
      <c r="J30" t="s">
        <v>3</v>
      </c>
      <c r="K30" t="s">
        <v>427</v>
      </c>
      <c r="L30">
        <v>1191</v>
      </c>
      <c r="N30">
        <v>1013</v>
      </c>
      <c r="O30" t="s">
        <v>374</v>
      </c>
      <c r="P30" t="s">
        <v>374</v>
      </c>
      <c r="Q30">
        <v>1</v>
      </c>
      <c r="X30">
        <v>0.59</v>
      </c>
      <c r="Y30">
        <v>0</v>
      </c>
      <c r="Z30">
        <v>0</v>
      </c>
      <c r="AA30">
        <v>0</v>
      </c>
      <c r="AB30">
        <v>9.6199999999999992</v>
      </c>
      <c r="AC30">
        <v>0</v>
      </c>
      <c r="AD30">
        <v>1</v>
      </c>
      <c r="AE30">
        <v>1</v>
      </c>
      <c r="AF30" t="s">
        <v>17</v>
      </c>
      <c r="AG30">
        <v>0.81419999999999981</v>
      </c>
      <c r="AH30">
        <v>2</v>
      </c>
      <c r="AI30">
        <v>143127450</v>
      </c>
      <c r="AJ30">
        <v>23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ROW(Source!A31)</f>
        <v>31</v>
      </c>
      <c r="B31">
        <v>143127453</v>
      </c>
      <c r="C31">
        <v>143127449</v>
      </c>
      <c r="D31">
        <v>140775640</v>
      </c>
      <c r="E31">
        <v>1</v>
      </c>
      <c r="F31">
        <v>1</v>
      </c>
      <c r="G31">
        <v>1</v>
      </c>
      <c r="H31">
        <v>3</v>
      </c>
      <c r="I31" t="s">
        <v>428</v>
      </c>
      <c r="J31" t="s">
        <v>429</v>
      </c>
      <c r="K31" t="s">
        <v>430</v>
      </c>
      <c r="L31">
        <v>1371</v>
      </c>
      <c r="N31">
        <v>1013</v>
      </c>
      <c r="O31" t="s">
        <v>44</v>
      </c>
      <c r="P31" t="s">
        <v>44</v>
      </c>
      <c r="Q31">
        <v>1</v>
      </c>
      <c r="X31">
        <v>1.4E-2</v>
      </c>
      <c r="Y31">
        <v>737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1.4E-2</v>
      </c>
      <c r="AH31">
        <v>2</v>
      </c>
      <c r="AI31">
        <v>143127451</v>
      </c>
      <c r="AJ31">
        <v>24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ROW(Source!A32)</f>
        <v>32</v>
      </c>
      <c r="B32">
        <v>143127459</v>
      </c>
      <c r="C32">
        <v>143127455</v>
      </c>
      <c r="D32">
        <v>140755441</v>
      </c>
      <c r="E32">
        <v>70</v>
      </c>
      <c r="F32">
        <v>1</v>
      </c>
      <c r="G32">
        <v>1</v>
      </c>
      <c r="H32">
        <v>1</v>
      </c>
      <c r="I32" t="s">
        <v>396</v>
      </c>
      <c r="J32" t="s">
        <v>3</v>
      </c>
      <c r="K32" t="s">
        <v>397</v>
      </c>
      <c r="L32">
        <v>1191</v>
      </c>
      <c r="N32">
        <v>1013</v>
      </c>
      <c r="O32" t="s">
        <v>374</v>
      </c>
      <c r="P32" t="s">
        <v>374</v>
      </c>
      <c r="Q32">
        <v>1</v>
      </c>
      <c r="X32">
        <v>24.19</v>
      </c>
      <c r="Y32">
        <v>0</v>
      </c>
      <c r="Z32">
        <v>0</v>
      </c>
      <c r="AA32">
        <v>0</v>
      </c>
      <c r="AB32">
        <v>9.4</v>
      </c>
      <c r="AC32">
        <v>0</v>
      </c>
      <c r="AD32">
        <v>1</v>
      </c>
      <c r="AE32">
        <v>1</v>
      </c>
      <c r="AF32" t="s">
        <v>3</v>
      </c>
      <c r="AG32">
        <v>24.19</v>
      </c>
      <c r="AH32">
        <v>2</v>
      </c>
      <c r="AI32">
        <v>143127456</v>
      </c>
      <c r="AJ32">
        <v>25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ROW(Source!A32)</f>
        <v>32</v>
      </c>
      <c r="B33">
        <v>143127460</v>
      </c>
      <c r="C33">
        <v>143127455</v>
      </c>
      <c r="D33">
        <v>140924121</v>
      </c>
      <c r="E33">
        <v>1</v>
      </c>
      <c r="F33">
        <v>1</v>
      </c>
      <c r="G33">
        <v>1</v>
      </c>
      <c r="H33">
        <v>2</v>
      </c>
      <c r="I33" t="s">
        <v>431</v>
      </c>
      <c r="J33" t="s">
        <v>432</v>
      </c>
      <c r="K33" t="s">
        <v>433</v>
      </c>
      <c r="L33">
        <v>1367</v>
      </c>
      <c r="N33">
        <v>1011</v>
      </c>
      <c r="O33" t="s">
        <v>380</v>
      </c>
      <c r="P33" t="s">
        <v>380</v>
      </c>
      <c r="Q33">
        <v>1</v>
      </c>
      <c r="X33">
        <v>7.31</v>
      </c>
      <c r="Y33">
        <v>0</v>
      </c>
      <c r="Z33">
        <v>48.81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7.31</v>
      </c>
      <c r="AH33">
        <v>2</v>
      </c>
      <c r="AI33">
        <v>143127457</v>
      </c>
      <c r="AJ33">
        <v>26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ROW(Source!A32)</f>
        <v>32</v>
      </c>
      <c r="B34">
        <v>143127461</v>
      </c>
      <c r="C34">
        <v>143127455</v>
      </c>
      <c r="D34">
        <v>140924577</v>
      </c>
      <c r="E34">
        <v>1</v>
      </c>
      <c r="F34">
        <v>1</v>
      </c>
      <c r="G34">
        <v>1</v>
      </c>
      <c r="H34">
        <v>2</v>
      </c>
      <c r="I34" t="s">
        <v>434</v>
      </c>
      <c r="J34" t="s">
        <v>435</v>
      </c>
      <c r="K34" t="s">
        <v>436</v>
      </c>
      <c r="L34">
        <v>1367</v>
      </c>
      <c r="N34">
        <v>1011</v>
      </c>
      <c r="O34" t="s">
        <v>380</v>
      </c>
      <c r="P34" t="s">
        <v>380</v>
      </c>
      <c r="Q34">
        <v>1</v>
      </c>
      <c r="X34">
        <v>14.62</v>
      </c>
      <c r="Y34">
        <v>0</v>
      </c>
      <c r="Z34">
        <v>1.53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3</v>
      </c>
      <c r="AG34">
        <v>14.62</v>
      </c>
      <c r="AH34">
        <v>2</v>
      </c>
      <c r="AI34">
        <v>143127458</v>
      </c>
      <c r="AJ34">
        <v>27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ROW(Source!A68)</f>
        <v>68</v>
      </c>
      <c r="B35">
        <v>143126730</v>
      </c>
      <c r="C35">
        <v>143126729</v>
      </c>
      <c r="D35">
        <v>140760015</v>
      </c>
      <c r="E35">
        <v>70</v>
      </c>
      <c r="F35">
        <v>1</v>
      </c>
      <c r="G35">
        <v>1</v>
      </c>
      <c r="H35">
        <v>1</v>
      </c>
      <c r="I35" t="s">
        <v>437</v>
      </c>
      <c r="J35" t="s">
        <v>3</v>
      </c>
      <c r="K35" t="s">
        <v>438</v>
      </c>
      <c r="L35">
        <v>1191</v>
      </c>
      <c r="N35">
        <v>1013</v>
      </c>
      <c r="O35" t="s">
        <v>374</v>
      </c>
      <c r="P35" t="s">
        <v>374</v>
      </c>
      <c r="Q35">
        <v>1</v>
      </c>
      <c r="X35">
        <v>54.1</v>
      </c>
      <c r="Y35">
        <v>0</v>
      </c>
      <c r="Z35">
        <v>0</v>
      </c>
      <c r="AA35">
        <v>0</v>
      </c>
      <c r="AB35">
        <v>9.2899999999999991</v>
      </c>
      <c r="AC35">
        <v>0</v>
      </c>
      <c r="AD35">
        <v>1</v>
      </c>
      <c r="AE35">
        <v>1</v>
      </c>
      <c r="AF35" t="s">
        <v>17</v>
      </c>
      <c r="AG35">
        <v>74.657999999999987</v>
      </c>
      <c r="AH35">
        <v>2</v>
      </c>
      <c r="AI35">
        <v>143126730</v>
      </c>
      <c r="AJ35">
        <v>28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ROW(Source!A68)</f>
        <v>68</v>
      </c>
      <c r="B36">
        <v>143126731</v>
      </c>
      <c r="C36">
        <v>143126729</v>
      </c>
      <c r="D36">
        <v>140760225</v>
      </c>
      <c r="E36">
        <v>70</v>
      </c>
      <c r="F36">
        <v>1</v>
      </c>
      <c r="G36">
        <v>1</v>
      </c>
      <c r="H36">
        <v>1</v>
      </c>
      <c r="I36" t="s">
        <v>375</v>
      </c>
      <c r="J36" t="s">
        <v>3</v>
      </c>
      <c r="K36" t="s">
        <v>376</v>
      </c>
      <c r="L36">
        <v>1191</v>
      </c>
      <c r="N36">
        <v>1013</v>
      </c>
      <c r="O36" t="s">
        <v>374</v>
      </c>
      <c r="P36" t="s">
        <v>374</v>
      </c>
      <c r="Q36">
        <v>1</v>
      </c>
      <c r="X36">
        <v>0.1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2</v>
      </c>
      <c r="AF36" t="s">
        <v>16</v>
      </c>
      <c r="AG36">
        <v>0.15</v>
      </c>
      <c r="AH36">
        <v>2</v>
      </c>
      <c r="AI36">
        <v>143126731</v>
      </c>
      <c r="AJ36">
        <v>29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ROW(Source!A68)</f>
        <v>68</v>
      </c>
      <c r="B37">
        <v>143126732</v>
      </c>
      <c r="C37">
        <v>143126729</v>
      </c>
      <c r="D37">
        <v>140922893</v>
      </c>
      <c r="E37">
        <v>1</v>
      </c>
      <c r="F37">
        <v>1</v>
      </c>
      <c r="G37">
        <v>1</v>
      </c>
      <c r="H37">
        <v>2</v>
      </c>
      <c r="I37" t="s">
        <v>439</v>
      </c>
      <c r="J37" t="s">
        <v>440</v>
      </c>
      <c r="K37" t="s">
        <v>441</v>
      </c>
      <c r="L37">
        <v>1367</v>
      </c>
      <c r="N37">
        <v>1011</v>
      </c>
      <c r="O37" t="s">
        <v>380</v>
      </c>
      <c r="P37" t="s">
        <v>380</v>
      </c>
      <c r="Q37">
        <v>1</v>
      </c>
      <c r="X37">
        <v>0.04</v>
      </c>
      <c r="Y37">
        <v>0</v>
      </c>
      <c r="Z37">
        <v>86.4</v>
      </c>
      <c r="AA37">
        <v>13.5</v>
      </c>
      <c r="AB37">
        <v>0</v>
      </c>
      <c r="AC37">
        <v>0</v>
      </c>
      <c r="AD37">
        <v>1</v>
      </c>
      <c r="AE37">
        <v>0</v>
      </c>
      <c r="AF37" t="s">
        <v>16</v>
      </c>
      <c r="AG37">
        <v>0.06</v>
      </c>
      <c r="AH37">
        <v>2</v>
      </c>
      <c r="AI37">
        <v>143126732</v>
      </c>
      <c r="AJ37">
        <v>30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ROW(Source!A68)</f>
        <v>68</v>
      </c>
      <c r="B38">
        <v>143126733</v>
      </c>
      <c r="C38">
        <v>143126729</v>
      </c>
      <c r="D38">
        <v>140922951</v>
      </c>
      <c r="E38">
        <v>1</v>
      </c>
      <c r="F38">
        <v>1</v>
      </c>
      <c r="G38">
        <v>1</v>
      </c>
      <c r="H38">
        <v>2</v>
      </c>
      <c r="I38" t="s">
        <v>381</v>
      </c>
      <c r="J38" t="s">
        <v>382</v>
      </c>
      <c r="K38" t="s">
        <v>383</v>
      </c>
      <c r="L38">
        <v>1367</v>
      </c>
      <c r="N38">
        <v>1011</v>
      </c>
      <c r="O38" t="s">
        <v>380</v>
      </c>
      <c r="P38" t="s">
        <v>380</v>
      </c>
      <c r="Q38">
        <v>1</v>
      </c>
      <c r="X38">
        <v>0.03</v>
      </c>
      <c r="Y38">
        <v>0</v>
      </c>
      <c r="Z38">
        <v>115.4</v>
      </c>
      <c r="AA38">
        <v>13.5</v>
      </c>
      <c r="AB38">
        <v>0</v>
      </c>
      <c r="AC38">
        <v>0</v>
      </c>
      <c r="AD38">
        <v>1</v>
      </c>
      <c r="AE38">
        <v>0</v>
      </c>
      <c r="AF38" t="s">
        <v>16</v>
      </c>
      <c r="AG38">
        <v>4.4999999999999998E-2</v>
      </c>
      <c r="AH38">
        <v>2</v>
      </c>
      <c r="AI38">
        <v>143126733</v>
      </c>
      <c r="AJ38">
        <v>31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ROW(Source!A68)</f>
        <v>68</v>
      </c>
      <c r="B39">
        <v>143126734</v>
      </c>
      <c r="C39">
        <v>143126729</v>
      </c>
      <c r="D39">
        <v>140923885</v>
      </c>
      <c r="E39">
        <v>1</v>
      </c>
      <c r="F39">
        <v>1</v>
      </c>
      <c r="G39">
        <v>1</v>
      </c>
      <c r="H39">
        <v>2</v>
      </c>
      <c r="I39" t="s">
        <v>387</v>
      </c>
      <c r="J39" t="s">
        <v>388</v>
      </c>
      <c r="K39" t="s">
        <v>389</v>
      </c>
      <c r="L39">
        <v>1367</v>
      </c>
      <c r="N39">
        <v>1011</v>
      </c>
      <c r="O39" t="s">
        <v>380</v>
      </c>
      <c r="P39" t="s">
        <v>380</v>
      </c>
      <c r="Q39">
        <v>1</v>
      </c>
      <c r="X39">
        <v>0.03</v>
      </c>
      <c r="Y39">
        <v>0</v>
      </c>
      <c r="Z39">
        <v>65.709999999999994</v>
      </c>
      <c r="AA39">
        <v>11.6</v>
      </c>
      <c r="AB39">
        <v>0</v>
      </c>
      <c r="AC39">
        <v>0</v>
      </c>
      <c r="AD39">
        <v>1</v>
      </c>
      <c r="AE39">
        <v>0</v>
      </c>
      <c r="AF39" t="s">
        <v>16</v>
      </c>
      <c r="AG39">
        <v>4.4999999999999998E-2</v>
      </c>
      <c r="AH39">
        <v>2</v>
      </c>
      <c r="AI39">
        <v>143126734</v>
      </c>
      <c r="AJ39">
        <v>32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ROW(Source!A68)</f>
        <v>68</v>
      </c>
      <c r="B40">
        <v>143126735</v>
      </c>
      <c r="C40">
        <v>143126729</v>
      </c>
      <c r="D40">
        <v>140772680</v>
      </c>
      <c r="E40">
        <v>1</v>
      </c>
      <c r="F40">
        <v>1</v>
      </c>
      <c r="G40">
        <v>1</v>
      </c>
      <c r="H40">
        <v>3</v>
      </c>
      <c r="I40" t="s">
        <v>390</v>
      </c>
      <c r="J40" t="s">
        <v>391</v>
      </c>
      <c r="K40" t="s">
        <v>392</v>
      </c>
      <c r="L40">
        <v>1339</v>
      </c>
      <c r="N40">
        <v>1007</v>
      </c>
      <c r="O40" t="s">
        <v>149</v>
      </c>
      <c r="P40" t="s">
        <v>149</v>
      </c>
      <c r="Q40">
        <v>1</v>
      </c>
      <c r="X40">
        <v>3.5</v>
      </c>
      <c r="Y40">
        <v>2.44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3.5</v>
      </c>
      <c r="AH40">
        <v>2</v>
      </c>
      <c r="AI40">
        <v>143126735</v>
      </c>
      <c r="AJ40">
        <v>33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ROW(Source!A68)</f>
        <v>68</v>
      </c>
      <c r="B41">
        <v>143126736</v>
      </c>
      <c r="C41">
        <v>143126729</v>
      </c>
      <c r="D41">
        <v>140775000</v>
      </c>
      <c r="E41">
        <v>1</v>
      </c>
      <c r="F41">
        <v>1</v>
      </c>
      <c r="G41">
        <v>1</v>
      </c>
      <c r="H41">
        <v>3</v>
      </c>
      <c r="I41" t="s">
        <v>442</v>
      </c>
      <c r="J41" t="s">
        <v>443</v>
      </c>
      <c r="K41" t="s">
        <v>444</v>
      </c>
      <c r="L41">
        <v>1348</v>
      </c>
      <c r="N41">
        <v>1009</v>
      </c>
      <c r="O41" t="s">
        <v>199</v>
      </c>
      <c r="P41" t="s">
        <v>199</v>
      </c>
      <c r="Q41">
        <v>1000</v>
      </c>
      <c r="X41">
        <v>4.1999999999999997E-3</v>
      </c>
      <c r="Y41">
        <v>14830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4.1999999999999997E-3</v>
      </c>
      <c r="AH41">
        <v>2</v>
      </c>
      <c r="AI41">
        <v>143126736</v>
      </c>
      <c r="AJ41">
        <v>34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ROW(Source!A68)</f>
        <v>68</v>
      </c>
      <c r="B42">
        <v>143126737</v>
      </c>
      <c r="C42">
        <v>143126729</v>
      </c>
      <c r="D42">
        <v>140775993</v>
      </c>
      <c r="E42">
        <v>1</v>
      </c>
      <c r="F42">
        <v>1</v>
      </c>
      <c r="G42">
        <v>1</v>
      </c>
      <c r="H42">
        <v>3</v>
      </c>
      <c r="I42" t="s">
        <v>445</v>
      </c>
      <c r="J42" t="s">
        <v>446</v>
      </c>
      <c r="K42" t="s">
        <v>447</v>
      </c>
      <c r="L42">
        <v>1346</v>
      </c>
      <c r="N42">
        <v>1009</v>
      </c>
      <c r="O42" t="s">
        <v>177</v>
      </c>
      <c r="P42" t="s">
        <v>177</v>
      </c>
      <c r="Q42">
        <v>1</v>
      </c>
      <c r="X42">
        <v>6.5</v>
      </c>
      <c r="Y42">
        <v>24.41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6.5</v>
      </c>
      <c r="AH42">
        <v>2</v>
      </c>
      <c r="AI42">
        <v>143126737</v>
      </c>
      <c r="AJ42">
        <v>35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ROW(Source!A68)</f>
        <v>68</v>
      </c>
      <c r="B43">
        <v>143126738</v>
      </c>
      <c r="C43">
        <v>143126729</v>
      </c>
      <c r="D43">
        <v>140763623</v>
      </c>
      <c r="E43">
        <v>70</v>
      </c>
      <c r="F43">
        <v>1</v>
      </c>
      <c r="G43">
        <v>1</v>
      </c>
      <c r="H43">
        <v>3</v>
      </c>
      <c r="I43" t="s">
        <v>535</v>
      </c>
      <c r="J43" t="s">
        <v>3</v>
      </c>
      <c r="K43" t="s">
        <v>536</v>
      </c>
      <c r="L43">
        <v>1371</v>
      </c>
      <c r="N43">
        <v>1013</v>
      </c>
      <c r="O43" t="s">
        <v>44</v>
      </c>
      <c r="P43" t="s">
        <v>44</v>
      </c>
      <c r="Q43">
        <v>1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0</v>
      </c>
      <c r="AE43">
        <v>0</v>
      </c>
      <c r="AF43" t="s">
        <v>3</v>
      </c>
      <c r="AG43">
        <v>0</v>
      </c>
      <c r="AH43">
        <v>3</v>
      </c>
      <c r="AI43">
        <v>-1</v>
      </c>
      <c r="AJ43" t="s">
        <v>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ROW(Source!A68)</f>
        <v>68</v>
      </c>
      <c r="B44">
        <v>143126739</v>
      </c>
      <c r="C44">
        <v>143126729</v>
      </c>
      <c r="D44">
        <v>140764360</v>
      </c>
      <c r="E44">
        <v>70</v>
      </c>
      <c r="F44">
        <v>1</v>
      </c>
      <c r="G44">
        <v>1</v>
      </c>
      <c r="H44">
        <v>3</v>
      </c>
      <c r="I44" t="s">
        <v>537</v>
      </c>
      <c r="J44" t="s">
        <v>3</v>
      </c>
      <c r="K44" t="s">
        <v>538</v>
      </c>
      <c r="L44">
        <v>1346</v>
      </c>
      <c r="N44">
        <v>1009</v>
      </c>
      <c r="O44" t="s">
        <v>177</v>
      </c>
      <c r="P44" t="s">
        <v>177</v>
      </c>
      <c r="Q44">
        <v>1</v>
      </c>
      <c r="X44">
        <v>0</v>
      </c>
      <c r="Y44">
        <v>0</v>
      </c>
      <c r="Z44">
        <v>0</v>
      </c>
      <c r="AA44">
        <v>0</v>
      </c>
      <c r="AB44">
        <v>0</v>
      </c>
      <c r="AC44">
        <v>1</v>
      </c>
      <c r="AD44">
        <v>0</v>
      </c>
      <c r="AE44">
        <v>0</v>
      </c>
      <c r="AF44" t="s">
        <v>3</v>
      </c>
      <c r="AG44">
        <v>0</v>
      </c>
      <c r="AH44">
        <v>3</v>
      </c>
      <c r="AI44">
        <v>-1</v>
      </c>
      <c r="AJ44" t="s">
        <v>3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ROW(Source!A68)</f>
        <v>68</v>
      </c>
      <c r="B45">
        <v>143126740</v>
      </c>
      <c r="C45">
        <v>143126729</v>
      </c>
      <c r="D45">
        <v>140764766</v>
      </c>
      <c r="E45">
        <v>70</v>
      </c>
      <c r="F45">
        <v>1</v>
      </c>
      <c r="G45">
        <v>1</v>
      </c>
      <c r="H45">
        <v>3</v>
      </c>
      <c r="I45" t="s">
        <v>539</v>
      </c>
      <c r="J45" t="s">
        <v>3</v>
      </c>
      <c r="K45" t="s">
        <v>540</v>
      </c>
      <c r="L45">
        <v>1301</v>
      </c>
      <c r="N45">
        <v>1003</v>
      </c>
      <c r="O45" t="s">
        <v>138</v>
      </c>
      <c r="P45" t="s">
        <v>138</v>
      </c>
      <c r="Q45">
        <v>1</v>
      </c>
      <c r="X45">
        <v>99.8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 t="s">
        <v>3</v>
      </c>
      <c r="AG45">
        <v>99.8</v>
      </c>
      <c r="AH45">
        <v>3</v>
      </c>
      <c r="AI45">
        <v>-1</v>
      </c>
      <c r="AJ45" t="s">
        <v>3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ROW(Source!A68)</f>
        <v>68</v>
      </c>
      <c r="B46">
        <v>143126741</v>
      </c>
      <c r="C46">
        <v>143126729</v>
      </c>
      <c r="D46">
        <v>140764831</v>
      </c>
      <c r="E46">
        <v>70</v>
      </c>
      <c r="F46">
        <v>1</v>
      </c>
      <c r="G46">
        <v>1</v>
      </c>
      <c r="H46">
        <v>3</v>
      </c>
      <c r="I46" t="s">
        <v>541</v>
      </c>
      <c r="J46" t="s">
        <v>3</v>
      </c>
      <c r="K46" t="s">
        <v>542</v>
      </c>
      <c r="L46">
        <v>1371</v>
      </c>
      <c r="N46">
        <v>1013</v>
      </c>
      <c r="O46" t="s">
        <v>44</v>
      </c>
      <c r="P46" t="s">
        <v>44</v>
      </c>
      <c r="Q46">
        <v>1</v>
      </c>
      <c r="X46">
        <v>0</v>
      </c>
      <c r="Y46">
        <v>0</v>
      </c>
      <c r="Z46">
        <v>0</v>
      </c>
      <c r="AA46">
        <v>0</v>
      </c>
      <c r="AB46">
        <v>0</v>
      </c>
      <c r="AC46">
        <v>1</v>
      </c>
      <c r="AD46">
        <v>0</v>
      </c>
      <c r="AE46">
        <v>0</v>
      </c>
      <c r="AF46" t="s">
        <v>3</v>
      </c>
      <c r="AG46">
        <v>0</v>
      </c>
      <c r="AH46">
        <v>3</v>
      </c>
      <c r="AI46">
        <v>-1</v>
      </c>
      <c r="AJ46" t="s">
        <v>3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ROW(Source!A71)</f>
        <v>71</v>
      </c>
      <c r="B47">
        <v>143126780</v>
      </c>
      <c r="C47">
        <v>143126779</v>
      </c>
      <c r="D47">
        <v>140759953</v>
      </c>
      <c r="E47">
        <v>70</v>
      </c>
      <c r="F47">
        <v>1</v>
      </c>
      <c r="G47">
        <v>1</v>
      </c>
      <c r="H47">
        <v>1</v>
      </c>
      <c r="I47" t="s">
        <v>448</v>
      </c>
      <c r="J47" t="s">
        <v>3</v>
      </c>
      <c r="K47" t="s">
        <v>449</v>
      </c>
      <c r="L47">
        <v>1191</v>
      </c>
      <c r="N47">
        <v>1013</v>
      </c>
      <c r="O47" t="s">
        <v>374</v>
      </c>
      <c r="P47" t="s">
        <v>374</v>
      </c>
      <c r="Q47">
        <v>1</v>
      </c>
      <c r="X47">
        <v>44.66</v>
      </c>
      <c r="Y47">
        <v>0</v>
      </c>
      <c r="Z47">
        <v>0</v>
      </c>
      <c r="AA47">
        <v>0</v>
      </c>
      <c r="AB47">
        <v>8.09</v>
      </c>
      <c r="AC47">
        <v>0</v>
      </c>
      <c r="AD47">
        <v>1</v>
      </c>
      <c r="AE47">
        <v>1</v>
      </c>
      <c r="AF47" t="s">
        <v>3</v>
      </c>
      <c r="AG47">
        <v>44.66</v>
      </c>
      <c r="AH47">
        <v>2</v>
      </c>
      <c r="AI47">
        <v>143126780</v>
      </c>
      <c r="AJ47">
        <v>36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ROW(Source!A71)</f>
        <v>71</v>
      </c>
      <c r="B48">
        <v>143126781</v>
      </c>
      <c r="C48">
        <v>143126779</v>
      </c>
      <c r="D48">
        <v>140760225</v>
      </c>
      <c r="E48">
        <v>70</v>
      </c>
      <c r="F48">
        <v>1</v>
      </c>
      <c r="G48">
        <v>1</v>
      </c>
      <c r="H48">
        <v>1</v>
      </c>
      <c r="I48" t="s">
        <v>375</v>
      </c>
      <c r="J48" t="s">
        <v>3</v>
      </c>
      <c r="K48" t="s">
        <v>376</v>
      </c>
      <c r="L48">
        <v>1191</v>
      </c>
      <c r="N48">
        <v>1013</v>
      </c>
      <c r="O48" t="s">
        <v>374</v>
      </c>
      <c r="P48" t="s">
        <v>374</v>
      </c>
      <c r="Q48">
        <v>1</v>
      </c>
      <c r="X48">
        <v>0.24</v>
      </c>
      <c r="Y48">
        <v>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2</v>
      </c>
      <c r="AF48" t="s">
        <v>3</v>
      </c>
      <c r="AG48">
        <v>0.24</v>
      </c>
      <c r="AH48">
        <v>2</v>
      </c>
      <c r="AI48">
        <v>143126781</v>
      </c>
      <c r="AJ48">
        <v>37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ROW(Source!A71)</f>
        <v>71</v>
      </c>
      <c r="B49">
        <v>143126782</v>
      </c>
      <c r="C49">
        <v>143126779</v>
      </c>
      <c r="D49">
        <v>140923086</v>
      </c>
      <c r="E49">
        <v>1</v>
      </c>
      <c r="F49">
        <v>1</v>
      </c>
      <c r="G49">
        <v>1</v>
      </c>
      <c r="H49">
        <v>2</v>
      </c>
      <c r="I49" t="s">
        <v>450</v>
      </c>
      <c r="J49" t="s">
        <v>451</v>
      </c>
      <c r="K49" t="s">
        <v>452</v>
      </c>
      <c r="L49">
        <v>1367</v>
      </c>
      <c r="N49">
        <v>1011</v>
      </c>
      <c r="O49" t="s">
        <v>380</v>
      </c>
      <c r="P49" t="s">
        <v>380</v>
      </c>
      <c r="Q49">
        <v>1</v>
      </c>
      <c r="X49">
        <v>0.49</v>
      </c>
      <c r="Y49">
        <v>0</v>
      </c>
      <c r="Z49">
        <v>1.7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0.49</v>
      </c>
      <c r="AH49">
        <v>2</v>
      </c>
      <c r="AI49">
        <v>143126782</v>
      </c>
      <c r="AJ49">
        <v>38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ROW(Source!A71)</f>
        <v>71</v>
      </c>
      <c r="B50">
        <v>143126783</v>
      </c>
      <c r="C50">
        <v>143126779</v>
      </c>
      <c r="D50">
        <v>140923885</v>
      </c>
      <c r="E50">
        <v>1</v>
      </c>
      <c r="F50">
        <v>1</v>
      </c>
      <c r="G50">
        <v>1</v>
      </c>
      <c r="H50">
        <v>2</v>
      </c>
      <c r="I50" t="s">
        <v>387</v>
      </c>
      <c r="J50" t="s">
        <v>388</v>
      </c>
      <c r="K50" t="s">
        <v>389</v>
      </c>
      <c r="L50">
        <v>1367</v>
      </c>
      <c r="N50">
        <v>1011</v>
      </c>
      <c r="O50" t="s">
        <v>380</v>
      </c>
      <c r="P50" t="s">
        <v>380</v>
      </c>
      <c r="Q50">
        <v>1</v>
      </c>
      <c r="X50">
        <v>0.24</v>
      </c>
      <c r="Y50">
        <v>0</v>
      </c>
      <c r="Z50">
        <v>65.709999999999994</v>
      </c>
      <c r="AA50">
        <v>11.6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0.24</v>
      </c>
      <c r="AH50">
        <v>2</v>
      </c>
      <c r="AI50">
        <v>143126783</v>
      </c>
      <c r="AJ50">
        <v>39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ROW(Source!A71)</f>
        <v>71</v>
      </c>
      <c r="B51">
        <v>143126784</v>
      </c>
      <c r="C51">
        <v>143126779</v>
      </c>
      <c r="D51">
        <v>140772680</v>
      </c>
      <c r="E51">
        <v>1</v>
      </c>
      <c r="F51">
        <v>1</v>
      </c>
      <c r="G51">
        <v>1</v>
      </c>
      <c r="H51">
        <v>3</v>
      </c>
      <c r="I51" t="s">
        <v>390</v>
      </c>
      <c r="J51" t="s">
        <v>391</v>
      </c>
      <c r="K51" t="s">
        <v>392</v>
      </c>
      <c r="L51">
        <v>1339</v>
      </c>
      <c r="N51">
        <v>1007</v>
      </c>
      <c r="O51" t="s">
        <v>149</v>
      </c>
      <c r="P51" t="s">
        <v>149</v>
      </c>
      <c r="Q51">
        <v>1</v>
      </c>
      <c r="X51">
        <v>3.2000000000000002E-3</v>
      </c>
      <c r="Y51">
        <v>2.44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3.2000000000000002E-3</v>
      </c>
      <c r="AH51">
        <v>2</v>
      </c>
      <c r="AI51">
        <v>143126784</v>
      </c>
      <c r="AJ51">
        <v>40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ROW(Source!A71)</f>
        <v>71</v>
      </c>
      <c r="B52">
        <v>143126785</v>
      </c>
      <c r="C52">
        <v>143126779</v>
      </c>
      <c r="D52">
        <v>140777278</v>
      </c>
      <c r="E52">
        <v>1</v>
      </c>
      <c r="F52">
        <v>1</v>
      </c>
      <c r="G52">
        <v>1</v>
      </c>
      <c r="H52">
        <v>3</v>
      </c>
      <c r="I52" t="s">
        <v>453</v>
      </c>
      <c r="J52" t="s">
        <v>454</v>
      </c>
      <c r="K52" t="s">
        <v>455</v>
      </c>
      <c r="L52">
        <v>1348</v>
      </c>
      <c r="N52">
        <v>1009</v>
      </c>
      <c r="O52" t="s">
        <v>199</v>
      </c>
      <c r="P52" t="s">
        <v>199</v>
      </c>
      <c r="Q52">
        <v>1000</v>
      </c>
      <c r="X52">
        <v>1.1000000000000001E-3</v>
      </c>
      <c r="Y52">
        <v>734.5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1.1000000000000001E-3</v>
      </c>
      <c r="AH52">
        <v>2</v>
      </c>
      <c r="AI52">
        <v>143126785</v>
      </c>
      <c r="AJ52">
        <v>41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ROW(Source!A71)</f>
        <v>71</v>
      </c>
      <c r="B53">
        <v>143126786</v>
      </c>
      <c r="C53">
        <v>143126779</v>
      </c>
      <c r="D53">
        <v>140761051</v>
      </c>
      <c r="E53">
        <v>70</v>
      </c>
      <c r="F53">
        <v>1</v>
      </c>
      <c r="G53">
        <v>1</v>
      </c>
      <c r="H53">
        <v>3</v>
      </c>
      <c r="I53" t="s">
        <v>543</v>
      </c>
      <c r="J53" t="s">
        <v>3</v>
      </c>
      <c r="K53" t="s">
        <v>544</v>
      </c>
      <c r="L53">
        <v>1339</v>
      </c>
      <c r="N53">
        <v>1007</v>
      </c>
      <c r="O53" t="s">
        <v>149</v>
      </c>
      <c r="P53" t="s">
        <v>149</v>
      </c>
      <c r="Q53">
        <v>1</v>
      </c>
      <c r="X53">
        <v>1.04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 t="s">
        <v>3</v>
      </c>
      <c r="AG53">
        <v>1.04</v>
      </c>
      <c r="AH53">
        <v>3</v>
      </c>
      <c r="AI53">
        <v>-1</v>
      </c>
      <c r="AJ53" t="s">
        <v>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ROW(Source!A71)</f>
        <v>71</v>
      </c>
      <c r="B54">
        <v>143126787</v>
      </c>
      <c r="C54">
        <v>143126779</v>
      </c>
      <c r="D54">
        <v>140792301</v>
      </c>
      <c r="E54">
        <v>1</v>
      </c>
      <c r="F54">
        <v>1</v>
      </c>
      <c r="G54">
        <v>1</v>
      </c>
      <c r="H54">
        <v>3</v>
      </c>
      <c r="I54" t="s">
        <v>456</v>
      </c>
      <c r="J54" t="s">
        <v>457</v>
      </c>
      <c r="K54" t="s">
        <v>458</v>
      </c>
      <c r="L54">
        <v>1348</v>
      </c>
      <c r="N54">
        <v>1009</v>
      </c>
      <c r="O54" t="s">
        <v>199</v>
      </c>
      <c r="P54" t="s">
        <v>199</v>
      </c>
      <c r="Q54">
        <v>1000</v>
      </c>
      <c r="X54">
        <v>5.0000000000000001E-4</v>
      </c>
      <c r="Y54">
        <v>10200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5.0000000000000001E-4</v>
      </c>
      <c r="AH54">
        <v>2</v>
      </c>
      <c r="AI54">
        <v>143126787</v>
      </c>
      <c r="AJ54">
        <v>42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ROW(Source!A71)</f>
        <v>71</v>
      </c>
      <c r="B55">
        <v>143126788</v>
      </c>
      <c r="C55">
        <v>143126779</v>
      </c>
      <c r="D55">
        <v>140792339</v>
      </c>
      <c r="E55">
        <v>1</v>
      </c>
      <c r="F55">
        <v>1</v>
      </c>
      <c r="G55">
        <v>1</v>
      </c>
      <c r="H55">
        <v>3</v>
      </c>
      <c r="I55" t="s">
        <v>414</v>
      </c>
      <c r="J55" t="s">
        <v>415</v>
      </c>
      <c r="K55" t="s">
        <v>416</v>
      </c>
      <c r="L55">
        <v>1348</v>
      </c>
      <c r="N55">
        <v>1009</v>
      </c>
      <c r="O55" t="s">
        <v>199</v>
      </c>
      <c r="P55" t="s">
        <v>199</v>
      </c>
      <c r="Q55">
        <v>1000</v>
      </c>
      <c r="X55">
        <v>9.4999999999999998E-3</v>
      </c>
      <c r="Y55">
        <v>4455.2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9.4999999999999998E-3</v>
      </c>
      <c r="AH55">
        <v>2</v>
      </c>
      <c r="AI55">
        <v>143126788</v>
      </c>
      <c r="AJ55">
        <v>43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ROW(Source!A71)</f>
        <v>71</v>
      </c>
      <c r="B56">
        <v>143126789</v>
      </c>
      <c r="C56">
        <v>143126779</v>
      </c>
      <c r="D56">
        <v>140793309</v>
      </c>
      <c r="E56">
        <v>1</v>
      </c>
      <c r="F56">
        <v>1</v>
      </c>
      <c r="G56">
        <v>1</v>
      </c>
      <c r="H56">
        <v>3</v>
      </c>
      <c r="I56" t="s">
        <v>459</v>
      </c>
      <c r="J56" t="s">
        <v>460</v>
      </c>
      <c r="K56" t="s">
        <v>461</v>
      </c>
      <c r="L56">
        <v>1348</v>
      </c>
      <c r="N56">
        <v>1009</v>
      </c>
      <c r="O56" t="s">
        <v>199</v>
      </c>
      <c r="P56" t="s">
        <v>199</v>
      </c>
      <c r="Q56">
        <v>1000</v>
      </c>
      <c r="X56">
        <v>0.05</v>
      </c>
      <c r="Y56">
        <v>5650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0.05</v>
      </c>
      <c r="AH56">
        <v>2</v>
      </c>
      <c r="AI56">
        <v>143126789</v>
      </c>
      <c r="AJ56">
        <v>44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ROW(Source!A71)</f>
        <v>71</v>
      </c>
      <c r="B57">
        <v>143126790</v>
      </c>
      <c r="C57">
        <v>143126779</v>
      </c>
      <c r="D57">
        <v>140796537</v>
      </c>
      <c r="E57">
        <v>1</v>
      </c>
      <c r="F57">
        <v>1</v>
      </c>
      <c r="G57">
        <v>1</v>
      </c>
      <c r="H57">
        <v>3</v>
      </c>
      <c r="I57" t="s">
        <v>462</v>
      </c>
      <c r="J57" t="s">
        <v>463</v>
      </c>
      <c r="K57" t="s">
        <v>464</v>
      </c>
      <c r="L57">
        <v>1339</v>
      </c>
      <c r="N57">
        <v>1007</v>
      </c>
      <c r="O57" t="s">
        <v>149</v>
      </c>
      <c r="P57" t="s">
        <v>149</v>
      </c>
      <c r="Q57">
        <v>1</v>
      </c>
      <c r="X57">
        <v>0.09</v>
      </c>
      <c r="Y57">
        <v>1155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0.09</v>
      </c>
      <c r="AH57">
        <v>2</v>
      </c>
      <c r="AI57">
        <v>143126790</v>
      </c>
      <c r="AJ57">
        <v>45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ROW(Source!A73)</f>
        <v>73</v>
      </c>
      <c r="B58">
        <v>143126806</v>
      </c>
      <c r="C58">
        <v>143126805</v>
      </c>
      <c r="D58">
        <v>140760001</v>
      </c>
      <c r="E58">
        <v>70</v>
      </c>
      <c r="F58">
        <v>1</v>
      </c>
      <c r="G58">
        <v>1</v>
      </c>
      <c r="H58">
        <v>1</v>
      </c>
      <c r="I58" t="s">
        <v>465</v>
      </c>
      <c r="J58" t="s">
        <v>3</v>
      </c>
      <c r="K58" t="s">
        <v>466</v>
      </c>
      <c r="L58">
        <v>1191</v>
      </c>
      <c r="N58">
        <v>1013</v>
      </c>
      <c r="O58" t="s">
        <v>374</v>
      </c>
      <c r="P58" t="s">
        <v>374</v>
      </c>
      <c r="Q58">
        <v>1</v>
      </c>
      <c r="X58">
        <v>4.1399999999999997</v>
      </c>
      <c r="Y58">
        <v>0</v>
      </c>
      <c r="Z58">
        <v>0</v>
      </c>
      <c r="AA58">
        <v>0</v>
      </c>
      <c r="AB58">
        <v>9.07</v>
      </c>
      <c r="AC58">
        <v>0</v>
      </c>
      <c r="AD58">
        <v>1</v>
      </c>
      <c r="AE58">
        <v>1</v>
      </c>
      <c r="AF58" t="s">
        <v>17</v>
      </c>
      <c r="AG58">
        <v>5.7131999999999987</v>
      </c>
      <c r="AH58">
        <v>2</v>
      </c>
      <c r="AI58">
        <v>143126806</v>
      </c>
      <c r="AJ58">
        <v>46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ROW(Source!A73)</f>
        <v>73</v>
      </c>
      <c r="B59">
        <v>143126807</v>
      </c>
      <c r="C59">
        <v>143126805</v>
      </c>
      <c r="D59">
        <v>140760225</v>
      </c>
      <c r="E59">
        <v>70</v>
      </c>
      <c r="F59">
        <v>1</v>
      </c>
      <c r="G59">
        <v>1</v>
      </c>
      <c r="H59">
        <v>1</v>
      </c>
      <c r="I59" t="s">
        <v>375</v>
      </c>
      <c r="J59" t="s">
        <v>3</v>
      </c>
      <c r="K59" t="s">
        <v>376</v>
      </c>
      <c r="L59">
        <v>1191</v>
      </c>
      <c r="N59">
        <v>1013</v>
      </c>
      <c r="O59" t="s">
        <v>374</v>
      </c>
      <c r="P59" t="s">
        <v>374</v>
      </c>
      <c r="Q59">
        <v>1</v>
      </c>
      <c r="X59">
        <v>2.2599999999999998</v>
      </c>
      <c r="Y59">
        <v>0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2</v>
      </c>
      <c r="AF59" t="s">
        <v>16</v>
      </c>
      <c r="AG59">
        <v>3.3899999999999997</v>
      </c>
      <c r="AH59">
        <v>2</v>
      </c>
      <c r="AI59">
        <v>143126807</v>
      </c>
      <c r="AJ59">
        <v>47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ROW(Source!A73)</f>
        <v>73</v>
      </c>
      <c r="B60">
        <v>143126808</v>
      </c>
      <c r="C60">
        <v>143126805</v>
      </c>
      <c r="D60">
        <v>140922951</v>
      </c>
      <c r="E60">
        <v>1</v>
      </c>
      <c r="F60">
        <v>1</v>
      </c>
      <c r="G60">
        <v>1</v>
      </c>
      <c r="H60">
        <v>2</v>
      </c>
      <c r="I60" t="s">
        <v>381</v>
      </c>
      <c r="J60" t="s">
        <v>382</v>
      </c>
      <c r="K60" t="s">
        <v>383</v>
      </c>
      <c r="L60">
        <v>1367</v>
      </c>
      <c r="N60">
        <v>1011</v>
      </c>
      <c r="O60" t="s">
        <v>380</v>
      </c>
      <c r="P60" t="s">
        <v>380</v>
      </c>
      <c r="Q60">
        <v>1</v>
      </c>
      <c r="X60">
        <v>0.01</v>
      </c>
      <c r="Y60">
        <v>0</v>
      </c>
      <c r="Z60">
        <v>115.4</v>
      </c>
      <c r="AA60">
        <v>13.5</v>
      </c>
      <c r="AB60">
        <v>0</v>
      </c>
      <c r="AC60">
        <v>0</v>
      </c>
      <c r="AD60">
        <v>1</v>
      </c>
      <c r="AE60">
        <v>0</v>
      </c>
      <c r="AF60" t="s">
        <v>16</v>
      </c>
      <c r="AG60">
        <v>1.4999999999999999E-2</v>
      </c>
      <c r="AH60">
        <v>2</v>
      </c>
      <c r="AI60">
        <v>143126808</v>
      </c>
      <c r="AJ60">
        <v>48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ROW(Source!A73)</f>
        <v>73</v>
      </c>
      <c r="B61">
        <v>143126809</v>
      </c>
      <c r="C61">
        <v>143126805</v>
      </c>
      <c r="D61">
        <v>140923885</v>
      </c>
      <c r="E61">
        <v>1</v>
      </c>
      <c r="F61">
        <v>1</v>
      </c>
      <c r="G61">
        <v>1</v>
      </c>
      <c r="H61">
        <v>2</v>
      </c>
      <c r="I61" t="s">
        <v>387</v>
      </c>
      <c r="J61" t="s">
        <v>388</v>
      </c>
      <c r="K61" t="s">
        <v>389</v>
      </c>
      <c r="L61">
        <v>1367</v>
      </c>
      <c r="N61">
        <v>1011</v>
      </c>
      <c r="O61" t="s">
        <v>380</v>
      </c>
      <c r="P61" t="s">
        <v>380</v>
      </c>
      <c r="Q61">
        <v>1</v>
      </c>
      <c r="X61">
        <v>0.01</v>
      </c>
      <c r="Y61">
        <v>0</v>
      </c>
      <c r="Z61">
        <v>65.709999999999994</v>
      </c>
      <c r="AA61">
        <v>11.6</v>
      </c>
      <c r="AB61">
        <v>0</v>
      </c>
      <c r="AC61">
        <v>0</v>
      </c>
      <c r="AD61">
        <v>1</v>
      </c>
      <c r="AE61">
        <v>0</v>
      </c>
      <c r="AF61" t="s">
        <v>16</v>
      </c>
      <c r="AG61">
        <v>1.4999999999999999E-2</v>
      </c>
      <c r="AH61">
        <v>2</v>
      </c>
      <c r="AI61">
        <v>143126809</v>
      </c>
      <c r="AJ61">
        <v>49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ROW(Source!A73)</f>
        <v>73</v>
      </c>
      <c r="B62">
        <v>143126810</v>
      </c>
      <c r="C62">
        <v>143126805</v>
      </c>
      <c r="D62">
        <v>140924030</v>
      </c>
      <c r="E62">
        <v>1</v>
      </c>
      <c r="F62">
        <v>1</v>
      </c>
      <c r="G62">
        <v>1</v>
      </c>
      <c r="H62">
        <v>2</v>
      </c>
      <c r="I62" t="s">
        <v>467</v>
      </c>
      <c r="J62" t="s">
        <v>468</v>
      </c>
      <c r="K62" t="s">
        <v>469</v>
      </c>
      <c r="L62">
        <v>1367</v>
      </c>
      <c r="N62">
        <v>1011</v>
      </c>
      <c r="O62" t="s">
        <v>380</v>
      </c>
      <c r="P62" t="s">
        <v>380</v>
      </c>
      <c r="Q62">
        <v>1</v>
      </c>
      <c r="X62">
        <v>2.2400000000000002</v>
      </c>
      <c r="Y62">
        <v>0</v>
      </c>
      <c r="Z62">
        <v>100.1</v>
      </c>
      <c r="AA62">
        <v>13.5</v>
      </c>
      <c r="AB62">
        <v>0</v>
      </c>
      <c r="AC62">
        <v>0</v>
      </c>
      <c r="AD62">
        <v>1</v>
      </c>
      <c r="AE62">
        <v>0</v>
      </c>
      <c r="AF62" t="s">
        <v>16</v>
      </c>
      <c r="AG62">
        <v>3.3600000000000003</v>
      </c>
      <c r="AH62">
        <v>2</v>
      </c>
      <c r="AI62">
        <v>143126810</v>
      </c>
      <c r="AJ62">
        <v>50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ROW(Source!A73)</f>
        <v>73</v>
      </c>
      <c r="B63">
        <v>143126811</v>
      </c>
      <c r="C63">
        <v>143126805</v>
      </c>
      <c r="D63">
        <v>140764834</v>
      </c>
      <c r="E63">
        <v>70</v>
      </c>
      <c r="F63">
        <v>1</v>
      </c>
      <c r="G63">
        <v>1</v>
      </c>
      <c r="H63">
        <v>3</v>
      </c>
      <c r="I63" t="s">
        <v>541</v>
      </c>
      <c r="J63" t="s">
        <v>3</v>
      </c>
      <c r="K63" t="s">
        <v>545</v>
      </c>
      <c r="L63">
        <v>1371</v>
      </c>
      <c r="N63">
        <v>1013</v>
      </c>
      <c r="O63" t="s">
        <v>44</v>
      </c>
      <c r="P63" t="s">
        <v>44</v>
      </c>
      <c r="Q63">
        <v>1</v>
      </c>
      <c r="X63">
        <v>10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 t="s">
        <v>3</v>
      </c>
      <c r="AG63">
        <v>10</v>
      </c>
      <c r="AH63">
        <v>3</v>
      </c>
      <c r="AI63">
        <v>-1</v>
      </c>
      <c r="AJ63" t="s">
        <v>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ROW(Source!A75)</f>
        <v>75</v>
      </c>
      <c r="B64">
        <v>143126933</v>
      </c>
      <c r="C64">
        <v>143126932</v>
      </c>
      <c r="D64">
        <v>140759982</v>
      </c>
      <c r="E64">
        <v>70</v>
      </c>
      <c r="F64">
        <v>1</v>
      </c>
      <c r="G64">
        <v>1</v>
      </c>
      <c r="H64">
        <v>1</v>
      </c>
      <c r="I64" t="s">
        <v>470</v>
      </c>
      <c r="J64" t="s">
        <v>3</v>
      </c>
      <c r="K64" t="s">
        <v>471</v>
      </c>
      <c r="L64">
        <v>1191</v>
      </c>
      <c r="N64">
        <v>1013</v>
      </c>
      <c r="O64" t="s">
        <v>374</v>
      </c>
      <c r="P64" t="s">
        <v>374</v>
      </c>
      <c r="Q64">
        <v>1</v>
      </c>
      <c r="X64">
        <v>323</v>
      </c>
      <c r="Y64">
        <v>0</v>
      </c>
      <c r="Z64">
        <v>0</v>
      </c>
      <c r="AA64">
        <v>0</v>
      </c>
      <c r="AB64">
        <v>8.64</v>
      </c>
      <c r="AC64">
        <v>0</v>
      </c>
      <c r="AD64">
        <v>1</v>
      </c>
      <c r="AE64">
        <v>1</v>
      </c>
      <c r="AF64" t="s">
        <v>17</v>
      </c>
      <c r="AG64">
        <v>445.73999999999995</v>
      </c>
      <c r="AH64">
        <v>2</v>
      </c>
      <c r="AI64">
        <v>143126933</v>
      </c>
      <c r="AJ64">
        <v>51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ROW(Source!A75)</f>
        <v>75</v>
      </c>
      <c r="B65">
        <v>143126934</v>
      </c>
      <c r="C65">
        <v>143126932</v>
      </c>
      <c r="D65">
        <v>140760225</v>
      </c>
      <c r="E65">
        <v>70</v>
      </c>
      <c r="F65">
        <v>1</v>
      </c>
      <c r="G65">
        <v>1</v>
      </c>
      <c r="H65">
        <v>1</v>
      </c>
      <c r="I65" t="s">
        <v>375</v>
      </c>
      <c r="J65" t="s">
        <v>3</v>
      </c>
      <c r="K65" t="s">
        <v>376</v>
      </c>
      <c r="L65">
        <v>1191</v>
      </c>
      <c r="N65">
        <v>1013</v>
      </c>
      <c r="O65" t="s">
        <v>374</v>
      </c>
      <c r="P65" t="s">
        <v>374</v>
      </c>
      <c r="Q65">
        <v>1</v>
      </c>
      <c r="X65">
        <v>122.19</v>
      </c>
      <c r="Y65">
        <v>0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2</v>
      </c>
      <c r="AF65" t="s">
        <v>16</v>
      </c>
      <c r="AG65">
        <v>183.285</v>
      </c>
      <c r="AH65">
        <v>2</v>
      </c>
      <c r="AI65">
        <v>143126934</v>
      </c>
      <c r="AJ65">
        <v>52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ROW(Source!A75)</f>
        <v>75</v>
      </c>
      <c r="B66">
        <v>143126935</v>
      </c>
      <c r="C66">
        <v>143126932</v>
      </c>
      <c r="D66">
        <v>140922951</v>
      </c>
      <c r="E66">
        <v>1</v>
      </c>
      <c r="F66">
        <v>1</v>
      </c>
      <c r="G66">
        <v>1</v>
      </c>
      <c r="H66">
        <v>2</v>
      </c>
      <c r="I66" t="s">
        <v>381</v>
      </c>
      <c r="J66" t="s">
        <v>382</v>
      </c>
      <c r="K66" t="s">
        <v>383</v>
      </c>
      <c r="L66">
        <v>1367</v>
      </c>
      <c r="N66">
        <v>1011</v>
      </c>
      <c r="O66" t="s">
        <v>380</v>
      </c>
      <c r="P66" t="s">
        <v>380</v>
      </c>
      <c r="Q66">
        <v>1</v>
      </c>
      <c r="X66">
        <v>108</v>
      </c>
      <c r="Y66">
        <v>0</v>
      </c>
      <c r="Z66">
        <v>115.4</v>
      </c>
      <c r="AA66">
        <v>13.5</v>
      </c>
      <c r="AB66">
        <v>0</v>
      </c>
      <c r="AC66">
        <v>0</v>
      </c>
      <c r="AD66">
        <v>1</v>
      </c>
      <c r="AE66">
        <v>0</v>
      </c>
      <c r="AF66" t="s">
        <v>16</v>
      </c>
      <c r="AG66">
        <v>162</v>
      </c>
      <c r="AH66">
        <v>2</v>
      </c>
      <c r="AI66">
        <v>143126935</v>
      </c>
      <c r="AJ66">
        <v>53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ROW(Source!A75)</f>
        <v>75</v>
      </c>
      <c r="B67">
        <v>143126936</v>
      </c>
      <c r="C67">
        <v>143126932</v>
      </c>
      <c r="D67">
        <v>140923885</v>
      </c>
      <c r="E67">
        <v>1</v>
      </c>
      <c r="F67">
        <v>1</v>
      </c>
      <c r="G67">
        <v>1</v>
      </c>
      <c r="H67">
        <v>2</v>
      </c>
      <c r="I67" t="s">
        <v>387</v>
      </c>
      <c r="J67" t="s">
        <v>388</v>
      </c>
      <c r="K67" t="s">
        <v>389</v>
      </c>
      <c r="L67">
        <v>1367</v>
      </c>
      <c r="N67">
        <v>1011</v>
      </c>
      <c r="O67" t="s">
        <v>380</v>
      </c>
      <c r="P67" t="s">
        <v>380</v>
      </c>
      <c r="Q67">
        <v>1</v>
      </c>
      <c r="X67">
        <v>14.19</v>
      </c>
      <c r="Y67">
        <v>0</v>
      </c>
      <c r="Z67">
        <v>65.709999999999994</v>
      </c>
      <c r="AA67">
        <v>11.6</v>
      </c>
      <c r="AB67">
        <v>0</v>
      </c>
      <c r="AC67">
        <v>0</v>
      </c>
      <c r="AD67">
        <v>1</v>
      </c>
      <c r="AE67">
        <v>0</v>
      </c>
      <c r="AF67" t="s">
        <v>16</v>
      </c>
      <c r="AG67">
        <v>21.285</v>
      </c>
      <c r="AH67">
        <v>2</v>
      </c>
      <c r="AI67">
        <v>143126936</v>
      </c>
      <c r="AJ67">
        <v>54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ROW(Source!A75)</f>
        <v>75</v>
      </c>
      <c r="B68">
        <v>143126937</v>
      </c>
      <c r="C68">
        <v>143126932</v>
      </c>
      <c r="D68">
        <v>140778088</v>
      </c>
      <c r="E68">
        <v>1</v>
      </c>
      <c r="F68">
        <v>1</v>
      </c>
      <c r="G68">
        <v>1</v>
      </c>
      <c r="H68">
        <v>3</v>
      </c>
      <c r="I68" t="s">
        <v>472</v>
      </c>
      <c r="J68" t="s">
        <v>473</v>
      </c>
      <c r="K68" t="s">
        <v>474</v>
      </c>
      <c r="L68">
        <v>1339</v>
      </c>
      <c r="N68">
        <v>1007</v>
      </c>
      <c r="O68" t="s">
        <v>149</v>
      </c>
      <c r="P68" t="s">
        <v>149</v>
      </c>
      <c r="Q68">
        <v>1</v>
      </c>
      <c r="X68">
        <v>9.1999999999999993</v>
      </c>
      <c r="Y68">
        <v>519.79999999999995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9.1999999999999993</v>
      </c>
      <c r="AH68">
        <v>2</v>
      </c>
      <c r="AI68">
        <v>143126937</v>
      </c>
      <c r="AJ68">
        <v>55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ROW(Source!A75)</f>
        <v>75</v>
      </c>
      <c r="B69">
        <v>143126938</v>
      </c>
      <c r="C69">
        <v>143126932</v>
      </c>
      <c r="D69">
        <v>140761212</v>
      </c>
      <c r="E69">
        <v>70</v>
      </c>
      <c r="F69">
        <v>1</v>
      </c>
      <c r="G69">
        <v>1</v>
      </c>
      <c r="H69">
        <v>3</v>
      </c>
      <c r="I69" t="s">
        <v>546</v>
      </c>
      <c r="J69" t="s">
        <v>3</v>
      </c>
      <c r="K69" t="s">
        <v>547</v>
      </c>
      <c r="L69">
        <v>1339</v>
      </c>
      <c r="N69">
        <v>1007</v>
      </c>
      <c r="O69" t="s">
        <v>149</v>
      </c>
      <c r="P69" t="s">
        <v>149</v>
      </c>
      <c r="Q69">
        <v>1</v>
      </c>
      <c r="X69">
        <v>100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 t="s">
        <v>3</v>
      </c>
      <c r="AG69">
        <v>100</v>
      </c>
      <c r="AH69">
        <v>3</v>
      </c>
      <c r="AI69">
        <v>-1</v>
      </c>
      <c r="AJ69" t="s">
        <v>3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ROW(Source!A75)</f>
        <v>75</v>
      </c>
      <c r="B70">
        <v>143126939</v>
      </c>
      <c r="C70">
        <v>143126932</v>
      </c>
      <c r="D70">
        <v>140804938</v>
      </c>
      <c r="E70">
        <v>1</v>
      </c>
      <c r="F70">
        <v>1</v>
      </c>
      <c r="G70">
        <v>1</v>
      </c>
      <c r="H70">
        <v>3</v>
      </c>
      <c r="I70" t="s">
        <v>175</v>
      </c>
      <c r="J70" t="s">
        <v>178</v>
      </c>
      <c r="K70" t="s">
        <v>176</v>
      </c>
      <c r="L70">
        <v>1346</v>
      </c>
      <c r="N70">
        <v>1009</v>
      </c>
      <c r="O70" t="s">
        <v>177</v>
      </c>
      <c r="P70" t="s">
        <v>177</v>
      </c>
      <c r="Q70">
        <v>1</v>
      </c>
      <c r="X70">
        <v>1930</v>
      </c>
      <c r="Y70">
        <v>7.59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1930</v>
      </c>
      <c r="AH70">
        <v>2</v>
      </c>
      <c r="AI70">
        <v>143126939</v>
      </c>
      <c r="AJ70">
        <v>56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ROW(Source!A78)</f>
        <v>78</v>
      </c>
      <c r="B71">
        <v>143126968</v>
      </c>
      <c r="C71">
        <v>143126956</v>
      </c>
      <c r="D71">
        <v>140755439</v>
      </c>
      <c r="E71">
        <v>70</v>
      </c>
      <c r="F71">
        <v>1</v>
      </c>
      <c r="G71">
        <v>1</v>
      </c>
      <c r="H71">
        <v>1</v>
      </c>
      <c r="I71" t="s">
        <v>372</v>
      </c>
      <c r="J71" t="s">
        <v>3</v>
      </c>
      <c r="K71" t="s">
        <v>373</v>
      </c>
      <c r="L71">
        <v>1191</v>
      </c>
      <c r="N71">
        <v>1013</v>
      </c>
      <c r="O71" t="s">
        <v>374</v>
      </c>
      <c r="P71" t="s">
        <v>374</v>
      </c>
      <c r="Q71">
        <v>1</v>
      </c>
      <c r="X71">
        <v>378.17</v>
      </c>
      <c r="Y71">
        <v>0</v>
      </c>
      <c r="Z71">
        <v>0</v>
      </c>
      <c r="AA71">
        <v>0</v>
      </c>
      <c r="AB71">
        <v>9.18</v>
      </c>
      <c r="AC71">
        <v>0</v>
      </c>
      <c r="AD71">
        <v>1</v>
      </c>
      <c r="AE71">
        <v>1</v>
      </c>
      <c r="AF71" t="s">
        <v>17</v>
      </c>
      <c r="AG71">
        <v>521.87459999999999</v>
      </c>
      <c r="AH71">
        <v>2</v>
      </c>
      <c r="AI71">
        <v>143126957</v>
      </c>
      <c r="AJ71">
        <v>57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ROW(Source!A78)</f>
        <v>78</v>
      </c>
      <c r="B72">
        <v>143126969</v>
      </c>
      <c r="C72">
        <v>143126956</v>
      </c>
      <c r="D72">
        <v>140755491</v>
      </c>
      <c r="E72">
        <v>70</v>
      </c>
      <c r="F72">
        <v>1</v>
      </c>
      <c r="G72">
        <v>1</v>
      </c>
      <c r="H72">
        <v>1</v>
      </c>
      <c r="I72" t="s">
        <v>375</v>
      </c>
      <c r="J72" t="s">
        <v>3</v>
      </c>
      <c r="K72" t="s">
        <v>376</v>
      </c>
      <c r="L72">
        <v>1191</v>
      </c>
      <c r="N72">
        <v>1013</v>
      </c>
      <c r="O72" t="s">
        <v>374</v>
      </c>
      <c r="P72" t="s">
        <v>374</v>
      </c>
      <c r="Q72">
        <v>1</v>
      </c>
      <c r="X72">
        <v>2.29</v>
      </c>
      <c r="Y72">
        <v>0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2</v>
      </c>
      <c r="AF72" t="s">
        <v>16</v>
      </c>
      <c r="AG72">
        <v>3.4349999999999996</v>
      </c>
      <c r="AH72">
        <v>2</v>
      </c>
      <c r="AI72">
        <v>143126958</v>
      </c>
      <c r="AJ72">
        <v>58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ROW(Source!A78)</f>
        <v>78</v>
      </c>
      <c r="B73">
        <v>143126970</v>
      </c>
      <c r="C73">
        <v>143126956</v>
      </c>
      <c r="D73">
        <v>140922892</v>
      </c>
      <c r="E73">
        <v>1</v>
      </c>
      <c r="F73">
        <v>1</v>
      </c>
      <c r="G73">
        <v>1</v>
      </c>
      <c r="H73">
        <v>2</v>
      </c>
      <c r="I73" t="s">
        <v>377</v>
      </c>
      <c r="J73" t="s">
        <v>378</v>
      </c>
      <c r="K73" t="s">
        <v>379</v>
      </c>
      <c r="L73">
        <v>1367</v>
      </c>
      <c r="N73">
        <v>1011</v>
      </c>
      <c r="O73" t="s">
        <v>380</v>
      </c>
      <c r="P73" t="s">
        <v>380</v>
      </c>
      <c r="Q73">
        <v>1</v>
      </c>
      <c r="X73">
        <v>0.34</v>
      </c>
      <c r="Y73">
        <v>0</v>
      </c>
      <c r="Z73">
        <v>83.43</v>
      </c>
      <c r="AA73">
        <v>13.5</v>
      </c>
      <c r="AB73">
        <v>0</v>
      </c>
      <c r="AC73">
        <v>0</v>
      </c>
      <c r="AD73">
        <v>1</v>
      </c>
      <c r="AE73">
        <v>0</v>
      </c>
      <c r="AF73" t="s">
        <v>16</v>
      </c>
      <c r="AG73">
        <v>0.51</v>
      </c>
      <c r="AH73">
        <v>2</v>
      </c>
      <c r="AI73">
        <v>143126959</v>
      </c>
      <c r="AJ73">
        <v>59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ROW(Source!A78)</f>
        <v>78</v>
      </c>
      <c r="B74">
        <v>143126971</v>
      </c>
      <c r="C74">
        <v>143126956</v>
      </c>
      <c r="D74">
        <v>140922951</v>
      </c>
      <c r="E74">
        <v>1</v>
      </c>
      <c r="F74">
        <v>1</v>
      </c>
      <c r="G74">
        <v>1</v>
      </c>
      <c r="H74">
        <v>2</v>
      </c>
      <c r="I74" t="s">
        <v>381</v>
      </c>
      <c r="J74" t="s">
        <v>382</v>
      </c>
      <c r="K74" t="s">
        <v>383</v>
      </c>
      <c r="L74">
        <v>1367</v>
      </c>
      <c r="N74">
        <v>1011</v>
      </c>
      <c r="O74" t="s">
        <v>380</v>
      </c>
      <c r="P74" t="s">
        <v>380</v>
      </c>
      <c r="Q74">
        <v>1</v>
      </c>
      <c r="X74">
        <v>0.13</v>
      </c>
      <c r="Y74">
        <v>0</v>
      </c>
      <c r="Z74">
        <v>115.4</v>
      </c>
      <c r="AA74">
        <v>13.5</v>
      </c>
      <c r="AB74">
        <v>0</v>
      </c>
      <c r="AC74">
        <v>0</v>
      </c>
      <c r="AD74">
        <v>1</v>
      </c>
      <c r="AE74">
        <v>0</v>
      </c>
      <c r="AF74" t="s">
        <v>16</v>
      </c>
      <c r="AG74">
        <v>0.19500000000000001</v>
      </c>
      <c r="AH74">
        <v>2</v>
      </c>
      <c r="AI74">
        <v>143126960</v>
      </c>
      <c r="AJ74">
        <v>60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ROW(Source!A78)</f>
        <v>78</v>
      </c>
      <c r="B75">
        <v>143126972</v>
      </c>
      <c r="C75">
        <v>143126956</v>
      </c>
      <c r="D75">
        <v>140923268</v>
      </c>
      <c r="E75">
        <v>1</v>
      </c>
      <c r="F75">
        <v>1</v>
      </c>
      <c r="G75">
        <v>1</v>
      </c>
      <c r="H75">
        <v>2</v>
      </c>
      <c r="I75" t="s">
        <v>384</v>
      </c>
      <c r="J75" t="s">
        <v>385</v>
      </c>
      <c r="K75" t="s">
        <v>386</v>
      </c>
      <c r="L75">
        <v>1367</v>
      </c>
      <c r="N75">
        <v>1011</v>
      </c>
      <c r="O75" t="s">
        <v>380</v>
      </c>
      <c r="P75" t="s">
        <v>380</v>
      </c>
      <c r="Q75">
        <v>1</v>
      </c>
      <c r="X75">
        <v>1.69</v>
      </c>
      <c r="Y75">
        <v>0</v>
      </c>
      <c r="Z75">
        <v>12.39</v>
      </c>
      <c r="AA75">
        <v>10.06</v>
      </c>
      <c r="AB75">
        <v>0</v>
      </c>
      <c r="AC75">
        <v>0</v>
      </c>
      <c r="AD75">
        <v>1</v>
      </c>
      <c r="AE75">
        <v>0</v>
      </c>
      <c r="AF75" t="s">
        <v>16</v>
      </c>
      <c r="AG75">
        <v>2.5349999999999997</v>
      </c>
      <c r="AH75">
        <v>2</v>
      </c>
      <c r="AI75">
        <v>143126961</v>
      </c>
      <c r="AJ75">
        <v>61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ROW(Source!A78)</f>
        <v>78</v>
      </c>
      <c r="B76">
        <v>143126973</v>
      </c>
      <c r="C76">
        <v>143126956</v>
      </c>
      <c r="D76">
        <v>140923885</v>
      </c>
      <c r="E76">
        <v>1</v>
      </c>
      <c r="F76">
        <v>1</v>
      </c>
      <c r="G76">
        <v>1</v>
      </c>
      <c r="H76">
        <v>2</v>
      </c>
      <c r="I76" t="s">
        <v>387</v>
      </c>
      <c r="J76" t="s">
        <v>388</v>
      </c>
      <c r="K76" t="s">
        <v>389</v>
      </c>
      <c r="L76">
        <v>1367</v>
      </c>
      <c r="N76">
        <v>1011</v>
      </c>
      <c r="O76" t="s">
        <v>380</v>
      </c>
      <c r="P76" t="s">
        <v>380</v>
      </c>
      <c r="Q76">
        <v>1</v>
      </c>
      <c r="X76">
        <v>0.13</v>
      </c>
      <c r="Y76">
        <v>0</v>
      </c>
      <c r="Z76">
        <v>65.709999999999994</v>
      </c>
      <c r="AA76">
        <v>11.6</v>
      </c>
      <c r="AB76">
        <v>0</v>
      </c>
      <c r="AC76">
        <v>0</v>
      </c>
      <c r="AD76">
        <v>1</v>
      </c>
      <c r="AE76">
        <v>0</v>
      </c>
      <c r="AF76" t="s">
        <v>16</v>
      </c>
      <c r="AG76">
        <v>0.19500000000000001</v>
      </c>
      <c r="AH76">
        <v>2</v>
      </c>
      <c r="AI76">
        <v>143126962</v>
      </c>
      <c r="AJ76">
        <v>62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ROW(Source!A78)</f>
        <v>78</v>
      </c>
      <c r="B77">
        <v>143126974</v>
      </c>
      <c r="C77">
        <v>143126956</v>
      </c>
      <c r="D77">
        <v>140772680</v>
      </c>
      <c r="E77">
        <v>1</v>
      </c>
      <c r="F77">
        <v>1</v>
      </c>
      <c r="G77">
        <v>1</v>
      </c>
      <c r="H77">
        <v>3</v>
      </c>
      <c r="I77" t="s">
        <v>390</v>
      </c>
      <c r="J77" t="s">
        <v>391</v>
      </c>
      <c r="K77" t="s">
        <v>392</v>
      </c>
      <c r="L77">
        <v>1339</v>
      </c>
      <c r="N77">
        <v>1007</v>
      </c>
      <c r="O77" t="s">
        <v>149</v>
      </c>
      <c r="P77" t="s">
        <v>149</v>
      </c>
      <c r="Q77">
        <v>1</v>
      </c>
      <c r="X77">
        <v>0.45</v>
      </c>
      <c r="Y77">
        <v>2.44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3</v>
      </c>
      <c r="AG77">
        <v>0.45</v>
      </c>
      <c r="AH77">
        <v>2</v>
      </c>
      <c r="AI77">
        <v>143126963</v>
      </c>
      <c r="AJ77">
        <v>63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ROW(Source!A78)</f>
        <v>78</v>
      </c>
      <c r="B78">
        <v>143126975</v>
      </c>
      <c r="C78">
        <v>143126956</v>
      </c>
      <c r="D78">
        <v>140778268</v>
      </c>
      <c r="E78">
        <v>1</v>
      </c>
      <c r="F78">
        <v>1</v>
      </c>
      <c r="G78">
        <v>1</v>
      </c>
      <c r="H78">
        <v>3</v>
      </c>
      <c r="I78" t="s">
        <v>393</v>
      </c>
      <c r="J78" t="s">
        <v>394</v>
      </c>
      <c r="K78" t="s">
        <v>395</v>
      </c>
      <c r="L78">
        <v>1348</v>
      </c>
      <c r="N78">
        <v>1009</v>
      </c>
      <c r="O78" t="s">
        <v>199</v>
      </c>
      <c r="P78" t="s">
        <v>199</v>
      </c>
      <c r="Q78">
        <v>1000</v>
      </c>
      <c r="X78">
        <v>2.1000000000000001E-2</v>
      </c>
      <c r="Y78">
        <v>6513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2.1000000000000001E-2</v>
      </c>
      <c r="AH78">
        <v>2</v>
      </c>
      <c r="AI78">
        <v>143126964</v>
      </c>
      <c r="AJ78">
        <v>64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ROW(Source!A78)</f>
        <v>78</v>
      </c>
      <c r="B79">
        <v>143126976</v>
      </c>
      <c r="C79">
        <v>143126956</v>
      </c>
      <c r="D79">
        <v>140761835</v>
      </c>
      <c r="E79">
        <v>70</v>
      </c>
      <c r="F79">
        <v>1</v>
      </c>
      <c r="G79">
        <v>1</v>
      </c>
      <c r="H79">
        <v>3</v>
      </c>
      <c r="I79" t="s">
        <v>519</v>
      </c>
      <c r="J79" t="s">
        <v>3</v>
      </c>
      <c r="K79" t="s">
        <v>520</v>
      </c>
      <c r="L79">
        <v>1327</v>
      </c>
      <c r="N79">
        <v>1005</v>
      </c>
      <c r="O79" t="s">
        <v>186</v>
      </c>
      <c r="P79" t="s">
        <v>186</v>
      </c>
      <c r="Q79">
        <v>1</v>
      </c>
      <c r="X79">
        <v>102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 t="s">
        <v>3</v>
      </c>
      <c r="AG79">
        <v>102</v>
      </c>
      <c r="AH79">
        <v>3</v>
      </c>
      <c r="AI79">
        <v>-1</v>
      </c>
      <c r="AJ79" t="s">
        <v>3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ROW(Source!A78)</f>
        <v>78</v>
      </c>
      <c r="B80">
        <v>143126977</v>
      </c>
      <c r="C80">
        <v>143126956</v>
      </c>
      <c r="D80">
        <v>140762635</v>
      </c>
      <c r="E80">
        <v>70</v>
      </c>
      <c r="F80">
        <v>1</v>
      </c>
      <c r="G80">
        <v>1</v>
      </c>
      <c r="H80">
        <v>3</v>
      </c>
      <c r="I80" t="s">
        <v>521</v>
      </c>
      <c r="J80" t="s">
        <v>3</v>
      </c>
      <c r="K80" t="s">
        <v>522</v>
      </c>
      <c r="L80">
        <v>1339</v>
      </c>
      <c r="N80">
        <v>1007</v>
      </c>
      <c r="O80" t="s">
        <v>149</v>
      </c>
      <c r="P80" t="s">
        <v>149</v>
      </c>
      <c r="Q80">
        <v>1</v>
      </c>
      <c r="X80">
        <v>0.01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 t="s">
        <v>3</v>
      </c>
      <c r="AG80">
        <v>0.01</v>
      </c>
      <c r="AH80">
        <v>3</v>
      </c>
      <c r="AI80">
        <v>-1</v>
      </c>
      <c r="AJ80" t="s">
        <v>3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ROW(Source!A78)</f>
        <v>78</v>
      </c>
      <c r="B81">
        <v>143126978</v>
      </c>
      <c r="C81">
        <v>143126956</v>
      </c>
      <c r="D81">
        <v>140763169</v>
      </c>
      <c r="E81">
        <v>70</v>
      </c>
      <c r="F81">
        <v>1</v>
      </c>
      <c r="G81">
        <v>1</v>
      </c>
      <c r="H81">
        <v>3</v>
      </c>
      <c r="I81" t="s">
        <v>523</v>
      </c>
      <c r="J81" t="s">
        <v>3</v>
      </c>
      <c r="K81" t="s">
        <v>524</v>
      </c>
      <c r="L81">
        <v>1348</v>
      </c>
      <c r="N81">
        <v>1009</v>
      </c>
      <c r="O81" t="s">
        <v>199</v>
      </c>
      <c r="P81" t="s">
        <v>199</v>
      </c>
      <c r="Q81">
        <v>1000</v>
      </c>
      <c r="X81">
        <v>1.2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 t="s">
        <v>3</v>
      </c>
      <c r="AG81">
        <v>1.2</v>
      </c>
      <c r="AH81">
        <v>3</v>
      </c>
      <c r="AI81">
        <v>-1</v>
      </c>
      <c r="AJ81" t="s">
        <v>3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ROW(Source!A83)</f>
        <v>83</v>
      </c>
      <c r="B82">
        <v>143127047</v>
      </c>
      <c r="C82">
        <v>143127046</v>
      </c>
      <c r="D82">
        <v>140759988</v>
      </c>
      <c r="E82">
        <v>70</v>
      </c>
      <c r="F82">
        <v>1</v>
      </c>
      <c r="G82">
        <v>1</v>
      </c>
      <c r="H82">
        <v>1</v>
      </c>
      <c r="I82" t="s">
        <v>475</v>
      </c>
      <c r="J82" t="s">
        <v>3</v>
      </c>
      <c r="K82" t="s">
        <v>476</v>
      </c>
      <c r="L82">
        <v>1191</v>
      </c>
      <c r="N82">
        <v>1013</v>
      </c>
      <c r="O82" t="s">
        <v>374</v>
      </c>
      <c r="P82" t="s">
        <v>374</v>
      </c>
      <c r="Q82">
        <v>1</v>
      </c>
      <c r="X82">
        <v>42.3</v>
      </c>
      <c r="Y82">
        <v>0</v>
      </c>
      <c r="Z82">
        <v>0</v>
      </c>
      <c r="AA82">
        <v>0</v>
      </c>
      <c r="AB82">
        <v>8.86</v>
      </c>
      <c r="AC82">
        <v>0</v>
      </c>
      <c r="AD82">
        <v>1</v>
      </c>
      <c r="AE82">
        <v>1</v>
      </c>
      <c r="AF82" t="s">
        <v>17</v>
      </c>
      <c r="AG82">
        <v>58.373999999999995</v>
      </c>
      <c r="AH82">
        <v>2</v>
      </c>
      <c r="AI82">
        <v>143127047</v>
      </c>
      <c r="AJ82">
        <v>65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ROW(Source!A83)</f>
        <v>83</v>
      </c>
      <c r="B83">
        <v>143127048</v>
      </c>
      <c r="C83">
        <v>143127046</v>
      </c>
      <c r="D83">
        <v>140760225</v>
      </c>
      <c r="E83">
        <v>70</v>
      </c>
      <c r="F83">
        <v>1</v>
      </c>
      <c r="G83">
        <v>1</v>
      </c>
      <c r="H83">
        <v>1</v>
      </c>
      <c r="I83" t="s">
        <v>375</v>
      </c>
      <c r="J83" t="s">
        <v>3</v>
      </c>
      <c r="K83" t="s">
        <v>376</v>
      </c>
      <c r="L83">
        <v>1191</v>
      </c>
      <c r="N83">
        <v>1013</v>
      </c>
      <c r="O83" t="s">
        <v>374</v>
      </c>
      <c r="P83" t="s">
        <v>374</v>
      </c>
      <c r="Q83">
        <v>1</v>
      </c>
      <c r="X83">
        <v>2.34</v>
      </c>
      <c r="Y83">
        <v>0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2</v>
      </c>
      <c r="AF83" t="s">
        <v>16</v>
      </c>
      <c r="AG83">
        <v>3.51</v>
      </c>
      <c r="AH83">
        <v>2</v>
      </c>
      <c r="AI83">
        <v>143127048</v>
      </c>
      <c r="AJ83">
        <v>66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ROW(Source!A83)</f>
        <v>83</v>
      </c>
      <c r="B84">
        <v>143127049</v>
      </c>
      <c r="C84">
        <v>143127046</v>
      </c>
      <c r="D84">
        <v>140922893</v>
      </c>
      <c r="E84">
        <v>1</v>
      </c>
      <c r="F84">
        <v>1</v>
      </c>
      <c r="G84">
        <v>1</v>
      </c>
      <c r="H84">
        <v>2</v>
      </c>
      <c r="I84" t="s">
        <v>439</v>
      </c>
      <c r="J84" t="s">
        <v>440</v>
      </c>
      <c r="K84" t="s">
        <v>441</v>
      </c>
      <c r="L84">
        <v>1367</v>
      </c>
      <c r="N84">
        <v>1011</v>
      </c>
      <c r="O84" t="s">
        <v>380</v>
      </c>
      <c r="P84" t="s">
        <v>380</v>
      </c>
      <c r="Q84">
        <v>1</v>
      </c>
      <c r="X84">
        <v>0.69</v>
      </c>
      <c r="Y84">
        <v>0</v>
      </c>
      <c r="Z84">
        <v>86.4</v>
      </c>
      <c r="AA84">
        <v>13.5</v>
      </c>
      <c r="AB84">
        <v>0</v>
      </c>
      <c r="AC84">
        <v>0</v>
      </c>
      <c r="AD84">
        <v>1</v>
      </c>
      <c r="AE84">
        <v>0</v>
      </c>
      <c r="AF84" t="s">
        <v>16</v>
      </c>
      <c r="AG84">
        <v>1.0349999999999999</v>
      </c>
      <c r="AH84">
        <v>2</v>
      </c>
      <c r="AI84">
        <v>143127049</v>
      </c>
      <c r="AJ84">
        <v>67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ROW(Source!A83)</f>
        <v>83</v>
      </c>
      <c r="B85">
        <v>143127050</v>
      </c>
      <c r="C85">
        <v>143127046</v>
      </c>
      <c r="D85">
        <v>140923885</v>
      </c>
      <c r="E85">
        <v>1</v>
      </c>
      <c r="F85">
        <v>1</v>
      </c>
      <c r="G85">
        <v>1</v>
      </c>
      <c r="H85">
        <v>2</v>
      </c>
      <c r="I85" t="s">
        <v>387</v>
      </c>
      <c r="J85" t="s">
        <v>388</v>
      </c>
      <c r="K85" t="s">
        <v>389</v>
      </c>
      <c r="L85">
        <v>1367</v>
      </c>
      <c r="N85">
        <v>1011</v>
      </c>
      <c r="O85" t="s">
        <v>380</v>
      </c>
      <c r="P85" t="s">
        <v>380</v>
      </c>
      <c r="Q85">
        <v>1</v>
      </c>
      <c r="X85">
        <v>1.65</v>
      </c>
      <c r="Y85">
        <v>0</v>
      </c>
      <c r="Z85">
        <v>65.709999999999994</v>
      </c>
      <c r="AA85">
        <v>11.6</v>
      </c>
      <c r="AB85">
        <v>0</v>
      </c>
      <c r="AC85">
        <v>0</v>
      </c>
      <c r="AD85">
        <v>1</v>
      </c>
      <c r="AE85">
        <v>0</v>
      </c>
      <c r="AF85" t="s">
        <v>16</v>
      </c>
      <c r="AG85">
        <v>2.4750000000000001</v>
      </c>
      <c r="AH85">
        <v>2</v>
      </c>
      <c r="AI85">
        <v>143127050</v>
      </c>
      <c r="AJ85">
        <v>68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ROW(Source!A83)</f>
        <v>83</v>
      </c>
      <c r="B86">
        <v>143127051</v>
      </c>
      <c r="C86">
        <v>143127046</v>
      </c>
      <c r="D86">
        <v>140778096</v>
      </c>
      <c r="E86">
        <v>1</v>
      </c>
      <c r="F86">
        <v>1</v>
      </c>
      <c r="G86">
        <v>1</v>
      </c>
      <c r="H86">
        <v>3</v>
      </c>
      <c r="I86" t="s">
        <v>477</v>
      </c>
      <c r="J86" t="s">
        <v>478</v>
      </c>
      <c r="K86" t="s">
        <v>479</v>
      </c>
      <c r="L86">
        <v>1339</v>
      </c>
      <c r="N86">
        <v>1007</v>
      </c>
      <c r="O86" t="s">
        <v>149</v>
      </c>
      <c r="P86" t="s">
        <v>149</v>
      </c>
      <c r="Q86">
        <v>1</v>
      </c>
      <c r="X86">
        <v>0.75</v>
      </c>
      <c r="Y86">
        <v>497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0.75</v>
      </c>
      <c r="AH86">
        <v>2</v>
      </c>
      <c r="AI86">
        <v>143127051</v>
      </c>
      <c r="AJ86">
        <v>69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ROW(Source!A83)</f>
        <v>83</v>
      </c>
      <c r="B87">
        <v>143127052</v>
      </c>
      <c r="C87">
        <v>143127046</v>
      </c>
      <c r="D87">
        <v>140762035</v>
      </c>
      <c r="E87">
        <v>70</v>
      </c>
      <c r="F87">
        <v>1</v>
      </c>
      <c r="G87">
        <v>1</v>
      </c>
      <c r="H87">
        <v>3</v>
      </c>
      <c r="I87" t="s">
        <v>531</v>
      </c>
      <c r="J87" t="s">
        <v>3</v>
      </c>
      <c r="K87" t="s">
        <v>548</v>
      </c>
      <c r="L87">
        <v>1348</v>
      </c>
      <c r="N87">
        <v>1009</v>
      </c>
      <c r="O87" t="s">
        <v>199</v>
      </c>
      <c r="P87" t="s">
        <v>199</v>
      </c>
      <c r="Q87">
        <v>1000</v>
      </c>
      <c r="X87">
        <v>1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 t="s">
        <v>3</v>
      </c>
      <c r="AG87">
        <v>1</v>
      </c>
      <c r="AH87">
        <v>3</v>
      </c>
      <c r="AI87">
        <v>-1</v>
      </c>
      <c r="AJ87" t="s">
        <v>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ROW(Source!A83)</f>
        <v>83</v>
      </c>
      <c r="B88">
        <v>143127053</v>
      </c>
      <c r="C88">
        <v>143127046</v>
      </c>
      <c r="D88">
        <v>140790834</v>
      </c>
      <c r="E88">
        <v>1</v>
      </c>
      <c r="F88">
        <v>1</v>
      </c>
      <c r="G88">
        <v>1</v>
      </c>
      <c r="H88">
        <v>3</v>
      </c>
      <c r="I88" t="s">
        <v>480</v>
      </c>
      <c r="J88" t="s">
        <v>481</v>
      </c>
      <c r="K88" t="s">
        <v>482</v>
      </c>
      <c r="L88">
        <v>1348</v>
      </c>
      <c r="N88">
        <v>1009</v>
      </c>
      <c r="O88" t="s">
        <v>199</v>
      </c>
      <c r="P88" t="s">
        <v>199</v>
      </c>
      <c r="Q88">
        <v>1000</v>
      </c>
      <c r="X88">
        <v>0.06</v>
      </c>
      <c r="Y88">
        <v>5989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3</v>
      </c>
      <c r="AG88">
        <v>0.06</v>
      </c>
      <c r="AH88">
        <v>2</v>
      </c>
      <c r="AI88">
        <v>143127053</v>
      </c>
      <c r="AJ88">
        <v>70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ROW(Source!A83)</f>
        <v>83</v>
      </c>
      <c r="B89">
        <v>143127054</v>
      </c>
      <c r="C89">
        <v>143127046</v>
      </c>
      <c r="D89">
        <v>140804434</v>
      </c>
      <c r="E89">
        <v>1</v>
      </c>
      <c r="F89">
        <v>1</v>
      </c>
      <c r="G89">
        <v>1</v>
      </c>
      <c r="H89">
        <v>3</v>
      </c>
      <c r="I89" t="s">
        <v>483</v>
      </c>
      <c r="J89" t="s">
        <v>484</v>
      </c>
      <c r="K89" t="s">
        <v>485</v>
      </c>
      <c r="L89">
        <v>1348</v>
      </c>
      <c r="N89">
        <v>1009</v>
      </c>
      <c r="O89" t="s">
        <v>199</v>
      </c>
      <c r="P89" t="s">
        <v>199</v>
      </c>
      <c r="Q89">
        <v>1000</v>
      </c>
      <c r="X89">
        <v>5.0000000000000001E-3</v>
      </c>
      <c r="Y89">
        <v>7826.9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5.0000000000000001E-3</v>
      </c>
      <c r="AH89">
        <v>2</v>
      </c>
      <c r="AI89">
        <v>143127054</v>
      </c>
      <c r="AJ89">
        <v>71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ROW(Source!A85)</f>
        <v>85</v>
      </c>
      <c r="B90">
        <v>143124087</v>
      </c>
      <c r="C90">
        <v>143124077</v>
      </c>
      <c r="D90">
        <v>140755428</v>
      </c>
      <c r="E90">
        <v>70</v>
      </c>
      <c r="F90">
        <v>1</v>
      </c>
      <c r="G90">
        <v>1</v>
      </c>
      <c r="H90">
        <v>1</v>
      </c>
      <c r="I90" t="s">
        <v>486</v>
      </c>
      <c r="J90" t="s">
        <v>3</v>
      </c>
      <c r="K90" t="s">
        <v>487</v>
      </c>
      <c r="L90">
        <v>1191</v>
      </c>
      <c r="N90">
        <v>1013</v>
      </c>
      <c r="O90" t="s">
        <v>374</v>
      </c>
      <c r="P90" t="s">
        <v>374</v>
      </c>
      <c r="Q90">
        <v>1</v>
      </c>
      <c r="X90">
        <v>86.71</v>
      </c>
      <c r="Y90">
        <v>0</v>
      </c>
      <c r="Z90">
        <v>0</v>
      </c>
      <c r="AA90">
        <v>0</v>
      </c>
      <c r="AB90">
        <v>8.17</v>
      </c>
      <c r="AC90">
        <v>0</v>
      </c>
      <c r="AD90">
        <v>1</v>
      </c>
      <c r="AE90">
        <v>1</v>
      </c>
      <c r="AF90" t="s">
        <v>3</v>
      </c>
      <c r="AG90">
        <v>86.71</v>
      </c>
      <c r="AH90">
        <v>2</v>
      </c>
      <c r="AI90">
        <v>143124078</v>
      </c>
      <c r="AJ90">
        <v>72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ROW(Source!A85)</f>
        <v>85</v>
      </c>
      <c r="B91">
        <v>143124088</v>
      </c>
      <c r="C91">
        <v>143124077</v>
      </c>
      <c r="D91">
        <v>140755491</v>
      </c>
      <c r="E91">
        <v>70</v>
      </c>
      <c r="F91">
        <v>1</v>
      </c>
      <c r="G91">
        <v>1</v>
      </c>
      <c r="H91">
        <v>1</v>
      </c>
      <c r="I91" t="s">
        <v>375</v>
      </c>
      <c r="J91" t="s">
        <v>3</v>
      </c>
      <c r="K91" t="s">
        <v>376</v>
      </c>
      <c r="L91">
        <v>1191</v>
      </c>
      <c r="N91">
        <v>1013</v>
      </c>
      <c r="O91" t="s">
        <v>374</v>
      </c>
      <c r="P91" t="s">
        <v>374</v>
      </c>
      <c r="Q91">
        <v>1</v>
      </c>
      <c r="X91">
        <v>0.25</v>
      </c>
      <c r="Y91">
        <v>0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2</v>
      </c>
      <c r="AF91" t="s">
        <v>3</v>
      </c>
      <c r="AG91">
        <v>0.25</v>
      </c>
      <c r="AH91">
        <v>2</v>
      </c>
      <c r="AI91">
        <v>143124079</v>
      </c>
      <c r="AJ91">
        <v>73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ROW(Source!A85)</f>
        <v>85</v>
      </c>
      <c r="B92">
        <v>143124089</v>
      </c>
      <c r="C92">
        <v>143124077</v>
      </c>
      <c r="D92">
        <v>140923145</v>
      </c>
      <c r="E92">
        <v>1</v>
      </c>
      <c r="F92">
        <v>1</v>
      </c>
      <c r="G92">
        <v>1</v>
      </c>
      <c r="H92">
        <v>2</v>
      </c>
      <c r="I92" t="s">
        <v>488</v>
      </c>
      <c r="J92" t="s">
        <v>489</v>
      </c>
      <c r="K92" t="s">
        <v>490</v>
      </c>
      <c r="L92">
        <v>1367</v>
      </c>
      <c r="N92">
        <v>1011</v>
      </c>
      <c r="O92" t="s">
        <v>380</v>
      </c>
      <c r="P92" t="s">
        <v>380</v>
      </c>
      <c r="Q92">
        <v>1</v>
      </c>
      <c r="X92">
        <v>0.18</v>
      </c>
      <c r="Y92">
        <v>0</v>
      </c>
      <c r="Z92">
        <v>31.26</v>
      </c>
      <c r="AA92">
        <v>13.5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0.18</v>
      </c>
      <c r="AH92">
        <v>2</v>
      </c>
      <c r="AI92">
        <v>143124080</v>
      </c>
      <c r="AJ92">
        <v>74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ROW(Source!A85)</f>
        <v>85</v>
      </c>
      <c r="B93">
        <v>143124090</v>
      </c>
      <c r="C93">
        <v>143124077</v>
      </c>
      <c r="D93">
        <v>140923885</v>
      </c>
      <c r="E93">
        <v>1</v>
      </c>
      <c r="F93">
        <v>1</v>
      </c>
      <c r="G93">
        <v>1</v>
      </c>
      <c r="H93">
        <v>2</v>
      </c>
      <c r="I93" t="s">
        <v>387</v>
      </c>
      <c r="J93" t="s">
        <v>388</v>
      </c>
      <c r="K93" t="s">
        <v>389</v>
      </c>
      <c r="L93">
        <v>1367</v>
      </c>
      <c r="N93">
        <v>1011</v>
      </c>
      <c r="O93" t="s">
        <v>380</v>
      </c>
      <c r="P93" t="s">
        <v>380</v>
      </c>
      <c r="Q93">
        <v>1</v>
      </c>
      <c r="X93">
        <v>7.0000000000000007E-2</v>
      </c>
      <c r="Y93">
        <v>0</v>
      </c>
      <c r="Z93">
        <v>65.709999999999994</v>
      </c>
      <c r="AA93">
        <v>11.6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7.0000000000000007E-2</v>
      </c>
      <c r="AH93">
        <v>2</v>
      </c>
      <c r="AI93">
        <v>143124081</v>
      </c>
      <c r="AJ93">
        <v>75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ROW(Source!A85)</f>
        <v>85</v>
      </c>
      <c r="B94">
        <v>143124091</v>
      </c>
      <c r="C94">
        <v>143124077</v>
      </c>
      <c r="D94">
        <v>140775118</v>
      </c>
      <c r="E94">
        <v>1</v>
      </c>
      <c r="F94">
        <v>1</v>
      </c>
      <c r="G94">
        <v>1</v>
      </c>
      <c r="H94">
        <v>3</v>
      </c>
      <c r="I94" t="s">
        <v>404</v>
      </c>
      <c r="J94" t="s">
        <v>405</v>
      </c>
      <c r="K94" t="s">
        <v>406</v>
      </c>
      <c r="L94">
        <v>1348</v>
      </c>
      <c r="N94">
        <v>1009</v>
      </c>
      <c r="O94" t="s">
        <v>199</v>
      </c>
      <c r="P94" t="s">
        <v>199</v>
      </c>
      <c r="Q94">
        <v>1000</v>
      </c>
      <c r="X94">
        <v>1E-3</v>
      </c>
      <c r="Y94">
        <v>11978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1E-3</v>
      </c>
      <c r="AH94">
        <v>2</v>
      </c>
      <c r="AI94">
        <v>143124082</v>
      </c>
      <c r="AJ94">
        <v>76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ROW(Source!A85)</f>
        <v>85</v>
      </c>
      <c r="B95">
        <v>143124092</v>
      </c>
      <c r="C95">
        <v>143124077</v>
      </c>
      <c r="D95">
        <v>140790834</v>
      </c>
      <c r="E95">
        <v>1</v>
      </c>
      <c r="F95">
        <v>1</v>
      </c>
      <c r="G95">
        <v>1</v>
      </c>
      <c r="H95">
        <v>3</v>
      </c>
      <c r="I95" t="s">
        <v>480</v>
      </c>
      <c r="J95" t="s">
        <v>481</v>
      </c>
      <c r="K95" t="s">
        <v>482</v>
      </c>
      <c r="L95">
        <v>1348</v>
      </c>
      <c r="N95">
        <v>1009</v>
      </c>
      <c r="O95" t="s">
        <v>199</v>
      </c>
      <c r="P95" t="s">
        <v>199</v>
      </c>
      <c r="Q95">
        <v>1000</v>
      </c>
      <c r="X95">
        <v>0.11700000000000001</v>
      </c>
      <c r="Y95">
        <v>5989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0.11700000000000001</v>
      </c>
      <c r="AH95">
        <v>2</v>
      </c>
      <c r="AI95">
        <v>143124083</v>
      </c>
      <c r="AJ95">
        <v>77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ROW(Source!A85)</f>
        <v>85</v>
      </c>
      <c r="B96">
        <v>143124093</v>
      </c>
      <c r="C96">
        <v>143124077</v>
      </c>
      <c r="D96">
        <v>140792324</v>
      </c>
      <c r="E96">
        <v>1</v>
      </c>
      <c r="F96">
        <v>1</v>
      </c>
      <c r="G96">
        <v>1</v>
      </c>
      <c r="H96">
        <v>3</v>
      </c>
      <c r="I96" t="s">
        <v>491</v>
      </c>
      <c r="J96" t="s">
        <v>492</v>
      </c>
      <c r="K96" t="s">
        <v>493</v>
      </c>
      <c r="L96">
        <v>1348</v>
      </c>
      <c r="N96">
        <v>1009</v>
      </c>
      <c r="O96" t="s">
        <v>199</v>
      </c>
      <c r="P96" t="s">
        <v>199</v>
      </c>
      <c r="Q96">
        <v>1000</v>
      </c>
      <c r="X96">
        <v>6.0000000000000001E-3</v>
      </c>
      <c r="Y96">
        <v>8023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6.0000000000000001E-3</v>
      </c>
      <c r="AH96">
        <v>2</v>
      </c>
      <c r="AI96">
        <v>143124084</v>
      </c>
      <c r="AJ96">
        <v>78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ROW(Source!A85)</f>
        <v>85</v>
      </c>
      <c r="B97">
        <v>143124094</v>
      </c>
      <c r="C97">
        <v>143124077</v>
      </c>
      <c r="D97">
        <v>140762309</v>
      </c>
      <c r="E97">
        <v>70</v>
      </c>
      <c r="F97">
        <v>1</v>
      </c>
      <c r="G97">
        <v>1</v>
      </c>
      <c r="H97">
        <v>3</v>
      </c>
      <c r="I97" t="s">
        <v>549</v>
      </c>
      <c r="J97" t="s">
        <v>3</v>
      </c>
      <c r="K97" t="s">
        <v>550</v>
      </c>
      <c r="L97">
        <v>1348</v>
      </c>
      <c r="N97">
        <v>1009</v>
      </c>
      <c r="O97" t="s">
        <v>199</v>
      </c>
      <c r="P97" t="s">
        <v>199</v>
      </c>
      <c r="Q97">
        <v>1000</v>
      </c>
      <c r="X97">
        <v>0.29799999999999999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 t="s">
        <v>3</v>
      </c>
      <c r="AG97">
        <v>0.29799999999999999</v>
      </c>
      <c r="AH97">
        <v>3</v>
      </c>
      <c r="AI97">
        <v>-1</v>
      </c>
      <c r="AJ97" t="s">
        <v>3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ROW(Source!A85)</f>
        <v>85</v>
      </c>
      <c r="B98">
        <v>143124095</v>
      </c>
      <c r="C98">
        <v>143124077</v>
      </c>
      <c r="D98">
        <v>140765020</v>
      </c>
      <c r="E98">
        <v>70</v>
      </c>
      <c r="F98">
        <v>1</v>
      </c>
      <c r="G98">
        <v>1</v>
      </c>
      <c r="H98">
        <v>3</v>
      </c>
      <c r="I98" t="s">
        <v>551</v>
      </c>
      <c r="J98" t="s">
        <v>3</v>
      </c>
      <c r="K98" t="s">
        <v>552</v>
      </c>
      <c r="L98">
        <v>1348</v>
      </c>
      <c r="N98">
        <v>1009</v>
      </c>
      <c r="O98" t="s">
        <v>199</v>
      </c>
      <c r="P98" t="s">
        <v>199</v>
      </c>
      <c r="Q98">
        <v>1000</v>
      </c>
      <c r="X98">
        <v>0.35799999999999998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 t="s">
        <v>3</v>
      </c>
      <c r="AG98">
        <v>0.35799999999999998</v>
      </c>
      <c r="AH98">
        <v>3</v>
      </c>
      <c r="AI98">
        <v>-1</v>
      </c>
      <c r="AJ98" t="s">
        <v>3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ROW(Source!A88)</f>
        <v>88</v>
      </c>
      <c r="B99">
        <v>143127203</v>
      </c>
      <c r="C99">
        <v>143124049</v>
      </c>
      <c r="D99">
        <v>140759979</v>
      </c>
      <c r="E99">
        <v>70</v>
      </c>
      <c r="F99">
        <v>1</v>
      </c>
      <c r="G99">
        <v>1</v>
      </c>
      <c r="H99">
        <v>1</v>
      </c>
      <c r="I99" t="s">
        <v>494</v>
      </c>
      <c r="J99" t="s">
        <v>3</v>
      </c>
      <c r="K99" t="s">
        <v>495</v>
      </c>
      <c r="L99">
        <v>1191</v>
      </c>
      <c r="N99">
        <v>1013</v>
      </c>
      <c r="O99" t="s">
        <v>374</v>
      </c>
      <c r="P99" t="s">
        <v>374</v>
      </c>
      <c r="Q99">
        <v>1</v>
      </c>
      <c r="X99">
        <v>36.799999999999997</v>
      </c>
      <c r="Y99">
        <v>0</v>
      </c>
      <c r="Z99">
        <v>0</v>
      </c>
      <c r="AA99">
        <v>0</v>
      </c>
      <c r="AB99">
        <v>8.5299999999999994</v>
      </c>
      <c r="AC99">
        <v>0</v>
      </c>
      <c r="AD99">
        <v>1</v>
      </c>
      <c r="AE99">
        <v>1</v>
      </c>
      <c r="AF99" t="s">
        <v>3</v>
      </c>
      <c r="AG99">
        <v>36.799999999999997</v>
      </c>
      <c r="AH99">
        <v>2</v>
      </c>
      <c r="AI99">
        <v>143127203</v>
      </c>
      <c r="AJ99">
        <v>79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ROW(Source!A88)</f>
        <v>88</v>
      </c>
      <c r="B100">
        <v>143127204</v>
      </c>
      <c r="C100">
        <v>143124049</v>
      </c>
      <c r="D100">
        <v>140760225</v>
      </c>
      <c r="E100">
        <v>70</v>
      </c>
      <c r="F100">
        <v>1</v>
      </c>
      <c r="G100">
        <v>1</v>
      </c>
      <c r="H100">
        <v>1</v>
      </c>
      <c r="I100" t="s">
        <v>375</v>
      </c>
      <c r="J100" t="s">
        <v>3</v>
      </c>
      <c r="K100" t="s">
        <v>376</v>
      </c>
      <c r="L100">
        <v>1191</v>
      </c>
      <c r="N100">
        <v>1013</v>
      </c>
      <c r="O100" t="s">
        <v>374</v>
      </c>
      <c r="P100" t="s">
        <v>374</v>
      </c>
      <c r="Q100">
        <v>1</v>
      </c>
      <c r="X100">
        <v>0.13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2</v>
      </c>
      <c r="AF100" t="s">
        <v>3</v>
      </c>
      <c r="AG100">
        <v>0.13</v>
      </c>
      <c r="AH100">
        <v>2</v>
      </c>
      <c r="AI100">
        <v>143127204</v>
      </c>
      <c r="AJ100">
        <v>80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ROW(Source!A88)</f>
        <v>88</v>
      </c>
      <c r="B101">
        <v>143127205</v>
      </c>
      <c r="C101">
        <v>143124049</v>
      </c>
      <c r="D101">
        <v>140923885</v>
      </c>
      <c r="E101">
        <v>1</v>
      </c>
      <c r="F101">
        <v>1</v>
      </c>
      <c r="G101">
        <v>1</v>
      </c>
      <c r="H101">
        <v>2</v>
      </c>
      <c r="I101" t="s">
        <v>387</v>
      </c>
      <c r="J101" t="s">
        <v>388</v>
      </c>
      <c r="K101" t="s">
        <v>389</v>
      </c>
      <c r="L101">
        <v>1367</v>
      </c>
      <c r="N101">
        <v>1011</v>
      </c>
      <c r="O101" t="s">
        <v>380</v>
      </c>
      <c r="P101" t="s">
        <v>380</v>
      </c>
      <c r="Q101">
        <v>1</v>
      </c>
      <c r="X101">
        <v>0.13</v>
      </c>
      <c r="Y101">
        <v>0</v>
      </c>
      <c r="Z101">
        <v>65.709999999999994</v>
      </c>
      <c r="AA101">
        <v>11.6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0.13</v>
      </c>
      <c r="AH101">
        <v>2</v>
      </c>
      <c r="AI101">
        <v>143127205</v>
      </c>
      <c r="AJ101">
        <v>81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ROW(Source!A88)</f>
        <v>88</v>
      </c>
      <c r="B102">
        <v>143127206</v>
      </c>
      <c r="C102">
        <v>143124049</v>
      </c>
      <c r="D102">
        <v>140762126</v>
      </c>
      <c r="E102">
        <v>70</v>
      </c>
      <c r="F102">
        <v>1</v>
      </c>
      <c r="G102">
        <v>1</v>
      </c>
      <c r="H102">
        <v>3</v>
      </c>
      <c r="I102" t="s">
        <v>553</v>
      </c>
      <c r="J102" t="s">
        <v>3</v>
      </c>
      <c r="K102" t="s">
        <v>554</v>
      </c>
      <c r="L102">
        <v>1301</v>
      </c>
      <c r="N102">
        <v>1003</v>
      </c>
      <c r="O102" t="s">
        <v>138</v>
      </c>
      <c r="P102" t="s">
        <v>138</v>
      </c>
      <c r="Q102">
        <v>1</v>
      </c>
      <c r="X102">
        <v>114.5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 t="s">
        <v>3</v>
      </c>
      <c r="AG102">
        <v>114.5</v>
      </c>
      <c r="AH102">
        <v>3</v>
      </c>
      <c r="AI102">
        <v>-1</v>
      </c>
      <c r="AJ102" t="s">
        <v>3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ROW(Source!A88)</f>
        <v>88</v>
      </c>
      <c r="B103">
        <v>143127207</v>
      </c>
      <c r="C103">
        <v>143124049</v>
      </c>
      <c r="D103">
        <v>140792339</v>
      </c>
      <c r="E103">
        <v>1</v>
      </c>
      <c r="F103">
        <v>1</v>
      </c>
      <c r="G103">
        <v>1</v>
      </c>
      <c r="H103">
        <v>3</v>
      </c>
      <c r="I103" t="s">
        <v>414</v>
      </c>
      <c r="J103" t="s">
        <v>415</v>
      </c>
      <c r="K103" t="s">
        <v>416</v>
      </c>
      <c r="L103">
        <v>1348</v>
      </c>
      <c r="N103">
        <v>1009</v>
      </c>
      <c r="O103" t="s">
        <v>199</v>
      </c>
      <c r="P103" t="s">
        <v>199</v>
      </c>
      <c r="Q103">
        <v>1000</v>
      </c>
      <c r="X103">
        <v>5.0000000000000001E-4</v>
      </c>
      <c r="Y103">
        <v>4455.2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5.0000000000000001E-4</v>
      </c>
      <c r="AH103">
        <v>2</v>
      </c>
      <c r="AI103">
        <v>143127207</v>
      </c>
      <c r="AJ103">
        <v>82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ROW(Source!A90)</f>
        <v>90</v>
      </c>
      <c r="B104">
        <v>143124057</v>
      </c>
      <c r="C104">
        <v>143124056</v>
      </c>
      <c r="D104">
        <v>140759979</v>
      </c>
      <c r="E104">
        <v>70</v>
      </c>
      <c r="F104">
        <v>1</v>
      </c>
      <c r="G104">
        <v>1</v>
      </c>
      <c r="H104">
        <v>1</v>
      </c>
      <c r="I104" t="s">
        <v>494</v>
      </c>
      <c r="J104" t="s">
        <v>3</v>
      </c>
      <c r="K104" t="s">
        <v>495</v>
      </c>
      <c r="L104">
        <v>1191</v>
      </c>
      <c r="N104">
        <v>1013</v>
      </c>
      <c r="O104" t="s">
        <v>374</v>
      </c>
      <c r="P104" t="s">
        <v>374</v>
      </c>
      <c r="Q104">
        <v>1</v>
      </c>
      <c r="X104">
        <v>53.6</v>
      </c>
      <c r="Y104">
        <v>0</v>
      </c>
      <c r="Z104">
        <v>0</v>
      </c>
      <c r="AA104">
        <v>0</v>
      </c>
      <c r="AB104">
        <v>8.5299999999999994</v>
      </c>
      <c r="AC104">
        <v>0</v>
      </c>
      <c r="AD104">
        <v>1</v>
      </c>
      <c r="AE104">
        <v>1</v>
      </c>
      <c r="AF104" t="s">
        <v>3</v>
      </c>
      <c r="AG104">
        <v>53.6</v>
      </c>
      <c r="AH104">
        <v>2</v>
      </c>
      <c r="AI104">
        <v>143124057</v>
      </c>
      <c r="AJ104">
        <v>83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ROW(Source!A90)</f>
        <v>90</v>
      </c>
      <c r="B105">
        <v>143124058</v>
      </c>
      <c r="C105">
        <v>143124056</v>
      </c>
      <c r="D105">
        <v>140760225</v>
      </c>
      <c r="E105">
        <v>70</v>
      </c>
      <c r="F105">
        <v>1</v>
      </c>
      <c r="G105">
        <v>1</v>
      </c>
      <c r="H105">
        <v>1</v>
      </c>
      <c r="I105" t="s">
        <v>375</v>
      </c>
      <c r="J105" t="s">
        <v>3</v>
      </c>
      <c r="K105" t="s">
        <v>376</v>
      </c>
      <c r="L105">
        <v>1191</v>
      </c>
      <c r="N105">
        <v>1013</v>
      </c>
      <c r="O105" t="s">
        <v>374</v>
      </c>
      <c r="P105" t="s">
        <v>374</v>
      </c>
      <c r="Q105">
        <v>1</v>
      </c>
      <c r="X105">
        <v>0.08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2</v>
      </c>
      <c r="AF105" t="s">
        <v>3</v>
      </c>
      <c r="AG105">
        <v>0.08</v>
      </c>
      <c r="AH105">
        <v>2</v>
      </c>
      <c r="AI105">
        <v>143124058</v>
      </c>
      <c r="AJ105">
        <v>84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ROW(Source!A90)</f>
        <v>90</v>
      </c>
      <c r="B106">
        <v>143124059</v>
      </c>
      <c r="C106">
        <v>143124056</v>
      </c>
      <c r="D106">
        <v>140923885</v>
      </c>
      <c r="E106">
        <v>1</v>
      </c>
      <c r="F106">
        <v>1</v>
      </c>
      <c r="G106">
        <v>1</v>
      </c>
      <c r="H106">
        <v>2</v>
      </c>
      <c r="I106" t="s">
        <v>387</v>
      </c>
      <c r="J106" t="s">
        <v>388</v>
      </c>
      <c r="K106" t="s">
        <v>389</v>
      </c>
      <c r="L106">
        <v>1367</v>
      </c>
      <c r="N106">
        <v>1011</v>
      </c>
      <c r="O106" t="s">
        <v>380</v>
      </c>
      <c r="P106" t="s">
        <v>380</v>
      </c>
      <c r="Q106">
        <v>1</v>
      </c>
      <c r="X106">
        <v>0.08</v>
      </c>
      <c r="Y106">
        <v>0</v>
      </c>
      <c r="Z106">
        <v>65.709999999999994</v>
      </c>
      <c r="AA106">
        <v>11.6</v>
      </c>
      <c r="AB106">
        <v>0</v>
      </c>
      <c r="AC106">
        <v>0</v>
      </c>
      <c r="AD106">
        <v>1</v>
      </c>
      <c r="AE106">
        <v>0</v>
      </c>
      <c r="AF106" t="s">
        <v>3</v>
      </c>
      <c r="AG106">
        <v>0.08</v>
      </c>
      <c r="AH106">
        <v>2</v>
      </c>
      <c r="AI106">
        <v>143124059</v>
      </c>
      <c r="AJ106">
        <v>85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ROW(Source!A90)</f>
        <v>90</v>
      </c>
      <c r="B107">
        <v>143124060</v>
      </c>
      <c r="C107">
        <v>143124056</v>
      </c>
      <c r="D107">
        <v>140775019</v>
      </c>
      <c r="E107">
        <v>1</v>
      </c>
      <c r="F107">
        <v>1</v>
      </c>
      <c r="G107">
        <v>1</v>
      </c>
      <c r="H107">
        <v>3</v>
      </c>
      <c r="I107" t="s">
        <v>496</v>
      </c>
      <c r="J107" t="s">
        <v>497</v>
      </c>
      <c r="K107" t="s">
        <v>498</v>
      </c>
      <c r="L107">
        <v>1348</v>
      </c>
      <c r="N107">
        <v>1009</v>
      </c>
      <c r="O107" t="s">
        <v>199</v>
      </c>
      <c r="P107" t="s">
        <v>199</v>
      </c>
      <c r="Q107">
        <v>1000</v>
      </c>
      <c r="X107">
        <v>0.01</v>
      </c>
      <c r="Y107">
        <v>16552.689999999999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0.01</v>
      </c>
      <c r="AH107">
        <v>2</v>
      </c>
      <c r="AI107">
        <v>143124060</v>
      </c>
      <c r="AJ107">
        <v>86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ROW(Source!A90)</f>
        <v>90</v>
      </c>
      <c r="B108">
        <v>143124061</v>
      </c>
      <c r="C108">
        <v>143124056</v>
      </c>
      <c r="D108">
        <v>140762174</v>
      </c>
      <c r="E108">
        <v>70</v>
      </c>
      <c r="F108">
        <v>1</v>
      </c>
      <c r="G108">
        <v>1</v>
      </c>
      <c r="H108">
        <v>3</v>
      </c>
      <c r="I108" t="s">
        <v>533</v>
      </c>
      <c r="J108" t="s">
        <v>3</v>
      </c>
      <c r="K108" t="s">
        <v>534</v>
      </c>
      <c r="L108">
        <v>1371</v>
      </c>
      <c r="N108">
        <v>1013</v>
      </c>
      <c r="O108" t="s">
        <v>44</v>
      </c>
      <c r="P108" t="s">
        <v>44</v>
      </c>
      <c r="Q108">
        <v>1</v>
      </c>
      <c r="X108">
        <v>100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 t="s">
        <v>3</v>
      </c>
      <c r="AG108">
        <v>100</v>
      </c>
      <c r="AH108">
        <v>3</v>
      </c>
      <c r="AI108">
        <v>-1</v>
      </c>
      <c r="AJ108" t="s">
        <v>3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ROW(Source!A90)</f>
        <v>90</v>
      </c>
      <c r="B109">
        <v>143124062</v>
      </c>
      <c r="C109">
        <v>143124056</v>
      </c>
      <c r="D109">
        <v>140765020</v>
      </c>
      <c r="E109">
        <v>70</v>
      </c>
      <c r="F109">
        <v>1</v>
      </c>
      <c r="G109">
        <v>1</v>
      </c>
      <c r="H109">
        <v>3</v>
      </c>
      <c r="I109" t="s">
        <v>551</v>
      </c>
      <c r="J109" t="s">
        <v>3</v>
      </c>
      <c r="K109" t="s">
        <v>552</v>
      </c>
      <c r="L109">
        <v>1348</v>
      </c>
      <c r="N109">
        <v>1009</v>
      </c>
      <c r="O109" t="s">
        <v>199</v>
      </c>
      <c r="P109" t="s">
        <v>199</v>
      </c>
      <c r="Q109">
        <v>1000</v>
      </c>
      <c r="X109">
        <v>0.08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 t="s">
        <v>3</v>
      </c>
      <c r="AG109">
        <v>0.08</v>
      </c>
      <c r="AH109">
        <v>3</v>
      </c>
      <c r="AI109">
        <v>-1</v>
      </c>
      <c r="AJ109" t="s">
        <v>3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ROW(Source!A92)</f>
        <v>92</v>
      </c>
      <c r="B110">
        <v>143124335</v>
      </c>
      <c r="C110">
        <v>143124334</v>
      </c>
      <c r="D110">
        <v>140759979</v>
      </c>
      <c r="E110">
        <v>70</v>
      </c>
      <c r="F110">
        <v>1</v>
      </c>
      <c r="G110">
        <v>1</v>
      </c>
      <c r="H110">
        <v>1</v>
      </c>
      <c r="I110" t="s">
        <v>494</v>
      </c>
      <c r="J110" t="s">
        <v>3</v>
      </c>
      <c r="K110" t="s">
        <v>495</v>
      </c>
      <c r="L110">
        <v>1191</v>
      </c>
      <c r="N110">
        <v>1013</v>
      </c>
      <c r="O110" t="s">
        <v>374</v>
      </c>
      <c r="P110" t="s">
        <v>374</v>
      </c>
      <c r="Q110">
        <v>1</v>
      </c>
      <c r="X110">
        <v>0.9</v>
      </c>
      <c r="Y110">
        <v>0</v>
      </c>
      <c r="Z110">
        <v>0</v>
      </c>
      <c r="AA110">
        <v>0</v>
      </c>
      <c r="AB110">
        <v>8.5299999999999994</v>
      </c>
      <c r="AC110">
        <v>0</v>
      </c>
      <c r="AD110">
        <v>1</v>
      </c>
      <c r="AE110">
        <v>1</v>
      </c>
      <c r="AF110" t="s">
        <v>17</v>
      </c>
      <c r="AG110">
        <v>1.2419999999999998</v>
      </c>
      <c r="AH110">
        <v>2</v>
      </c>
      <c r="AI110">
        <v>143124335</v>
      </c>
      <c r="AJ110">
        <v>87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ROW(Source!A93)</f>
        <v>93</v>
      </c>
      <c r="B111">
        <v>143124337</v>
      </c>
      <c r="C111">
        <v>143124336</v>
      </c>
      <c r="D111">
        <v>140759979</v>
      </c>
      <c r="E111">
        <v>70</v>
      </c>
      <c r="F111">
        <v>1</v>
      </c>
      <c r="G111">
        <v>1</v>
      </c>
      <c r="H111">
        <v>1</v>
      </c>
      <c r="I111" t="s">
        <v>494</v>
      </c>
      <c r="J111" t="s">
        <v>3</v>
      </c>
      <c r="K111" t="s">
        <v>495</v>
      </c>
      <c r="L111">
        <v>1191</v>
      </c>
      <c r="N111">
        <v>1013</v>
      </c>
      <c r="O111" t="s">
        <v>374</v>
      </c>
      <c r="P111" t="s">
        <v>374</v>
      </c>
      <c r="Q111">
        <v>1</v>
      </c>
      <c r="X111">
        <v>7.0000000000000007E-2</v>
      </c>
      <c r="Y111">
        <v>0</v>
      </c>
      <c r="Z111">
        <v>0</v>
      </c>
      <c r="AA111">
        <v>0</v>
      </c>
      <c r="AB111">
        <v>8.5299999999999994</v>
      </c>
      <c r="AC111">
        <v>0</v>
      </c>
      <c r="AD111">
        <v>1</v>
      </c>
      <c r="AE111">
        <v>1</v>
      </c>
      <c r="AF111" t="s">
        <v>17</v>
      </c>
      <c r="AG111">
        <v>9.6600000000000005E-2</v>
      </c>
      <c r="AH111">
        <v>2</v>
      </c>
      <c r="AI111">
        <v>143124337</v>
      </c>
      <c r="AJ111">
        <v>88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ROW(Source!A93)</f>
        <v>93</v>
      </c>
      <c r="B112">
        <v>143124338</v>
      </c>
      <c r="C112">
        <v>143124336</v>
      </c>
      <c r="D112">
        <v>140924755</v>
      </c>
      <c r="E112">
        <v>1</v>
      </c>
      <c r="F112">
        <v>1</v>
      </c>
      <c r="G112">
        <v>1</v>
      </c>
      <c r="H112">
        <v>2</v>
      </c>
      <c r="I112" t="s">
        <v>499</v>
      </c>
      <c r="J112" t="s">
        <v>500</v>
      </c>
      <c r="K112" t="s">
        <v>501</v>
      </c>
      <c r="L112">
        <v>1367</v>
      </c>
      <c r="N112">
        <v>1011</v>
      </c>
      <c r="O112" t="s">
        <v>380</v>
      </c>
      <c r="P112" t="s">
        <v>380</v>
      </c>
      <c r="Q112">
        <v>1</v>
      </c>
      <c r="X112">
        <v>0.1</v>
      </c>
      <c r="Y112">
        <v>0</v>
      </c>
      <c r="Z112">
        <v>3.29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16</v>
      </c>
      <c r="AG112">
        <v>0.15</v>
      </c>
      <c r="AH112">
        <v>2</v>
      </c>
      <c r="AI112">
        <v>143124338</v>
      </c>
      <c r="AJ112">
        <v>89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ROW(Source!A94)</f>
        <v>94</v>
      </c>
      <c r="B113">
        <v>143124340</v>
      </c>
      <c r="C113">
        <v>143124339</v>
      </c>
      <c r="D113">
        <v>140760060</v>
      </c>
      <c r="E113">
        <v>70</v>
      </c>
      <c r="F113">
        <v>1</v>
      </c>
      <c r="G113">
        <v>1</v>
      </c>
      <c r="H113">
        <v>1</v>
      </c>
      <c r="I113" t="s">
        <v>502</v>
      </c>
      <c r="J113" t="s">
        <v>3</v>
      </c>
      <c r="K113" t="s">
        <v>503</v>
      </c>
      <c r="L113">
        <v>1191</v>
      </c>
      <c r="N113">
        <v>1013</v>
      </c>
      <c r="O113" t="s">
        <v>374</v>
      </c>
      <c r="P113" t="s">
        <v>374</v>
      </c>
      <c r="Q113">
        <v>1</v>
      </c>
      <c r="X113">
        <v>5.31</v>
      </c>
      <c r="Y113">
        <v>0</v>
      </c>
      <c r="Z113">
        <v>0</v>
      </c>
      <c r="AA113">
        <v>0</v>
      </c>
      <c r="AB113">
        <v>10.65</v>
      </c>
      <c r="AC113">
        <v>0</v>
      </c>
      <c r="AD113">
        <v>1</v>
      </c>
      <c r="AE113">
        <v>1</v>
      </c>
      <c r="AF113" t="s">
        <v>256</v>
      </c>
      <c r="AG113">
        <v>8.0605799999999981</v>
      </c>
      <c r="AH113">
        <v>2</v>
      </c>
      <c r="AI113">
        <v>143124340</v>
      </c>
      <c r="AJ113">
        <v>90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ROW(Source!A94)</f>
        <v>94</v>
      </c>
      <c r="B114">
        <v>143124341</v>
      </c>
      <c r="C114">
        <v>143124339</v>
      </c>
      <c r="D114">
        <v>140760225</v>
      </c>
      <c r="E114">
        <v>70</v>
      </c>
      <c r="F114">
        <v>1</v>
      </c>
      <c r="G114">
        <v>1</v>
      </c>
      <c r="H114">
        <v>1</v>
      </c>
      <c r="I114" t="s">
        <v>375</v>
      </c>
      <c r="J114" t="s">
        <v>3</v>
      </c>
      <c r="K114" t="s">
        <v>376</v>
      </c>
      <c r="L114">
        <v>1191</v>
      </c>
      <c r="N114">
        <v>1013</v>
      </c>
      <c r="O114" t="s">
        <v>374</v>
      </c>
      <c r="P114" t="s">
        <v>374</v>
      </c>
      <c r="Q114">
        <v>1</v>
      </c>
      <c r="X114">
        <v>0.02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2</v>
      </c>
      <c r="AF114" t="s">
        <v>16</v>
      </c>
      <c r="AG114">
        <v>0.03</v>
      </c>
      <c r="AH114">
        <v>2</v>
      </c>
      <c r="AI114">
        <v>143124341</v>
      </c>
      <c r="AJ114">
        <v>91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ROW(Source!A94)</f>
        <v>94</v>
      </c>
      <c r="B115">
        <v>143124342</v>
      </c>
      <c r="C115">
        <v>143124339</v>
      </c>
      <c r="D115">
        <v>140923086</v>
      </c>
      <c r="E115">
        <v>1</v>
      </c>
      <c r="F115">
        <v>1</v>
      </c>
      <c r="G115">
        <v>1</v>
      </c>
      <c r="H115">
        <v>2</v>
      </c>
      <c r="I115" t="s">
        <v>450</v>
      </c>
      <c r="J115" t="s">
        <v>451</v>
      </c>
      <c r="K115" t="s">
        <v>452</v>
      </c>
      <c r="L115">
        <v>1367</v>
      </c>
      <c r="N115">
        <v>1011</v>
      </c>
      <c r="O115" t="s">
        <v>380</v>
      </c>
      <c r="P115" t="s">
        <v>380</v>
      </c>
      <c r="Q115">
        <v>1</v>
      </c>
      <c r="X115">
        <v>0.01</v>
      </c>
      <c r="Y115">
        <v>0</v>
      </c>
      <c r="Z115">
        <v>1.7</v>
      </c>
      <c r="AA115">
        <v>0</v>
      </c>
      <c r="AB115">
        <v>0</v>
      </c>
      <c r="AC115">
        <v>0</v>
      </c>
      <c r="AD115">
        <v>1</v>
      </c>
      <c r="AE115">
        <v>0</v>
      </c>
      <c r="AF115" t="s">
        <v>16</v>
      </c>
      <c r="AG115">
        <v>1.4999999999999999E-2</v>
      </c>
      <c r="AH115">
        <v>2</v>
      </c>
      <c r="AI115">
        <v>143124342</v>
      </c>
      <c r="AJ115">
        <v>92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ROW(Source!A94)</f>
        <v>94</v>
      </c>
      <c r="B116">
        <v>143124343</v>
      </c>
      <c r="C116">
        <v>143124339</v>
      </c>
      <c r="D116">
        <v>140923105</v>
      </c>
      <c r="E116">
        <v>1</v>
      </c>
      <c r="F116">
        <v>1</v>
      </c>
      <c r="G116">
        <v>1</v>
      </c>
      <c r="H116">
        <v>2</v>
      </c>
      <c r="I116" t="s">
        <v>504</v>
      </c>
      <c r="J116" t="s">
        <v>505</v>
      </c>
      <c r="K116" t="s">
        <v>506</v>
      </c>
      <c r="L116">
        <v>1367</v>
      </c>
      <c r="N116">
        <v>1011</v>
      </c>
      <c r="O116" t="s">
        <v>380</v>
      </c>
      <c r="P116" t="s">
        <v>380</v>
      </c>
      <c r="Q116">
        <v>1</v>
      </c>
      <c r="X116">
        <v>0.01</v>
      </c>
      <c r="Y116">
        <v>0</v>
      </c>
      <c r="Z116">
        <v>89.99</v>
      </c>
      <c r="AA116">
        <v>10.06</v>
      </c>
      <c r="AB116">
        <v>0</v>
      </c>
      <c r="AC116">
        <v>0</v>
      </c>
      <c r="AD116">
        <v>1</v>
      </c>
      <c r="AE116">
        <v>0</v>
      </c>
      <c r="AF116" t="s">
        <v>16</v>
      </c>
      <c r="AG116">
        <v>1.4999999999999999E-2</v>
      </c>
      <c r="AH116">
        <v>2</v>
      </c>
      <c r="AI116">
        <v>143124343</v>
      </c>
      <c r="AJ116">
        <v>93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ROW(Source!A94)</f>
        <v>94</v>
      </c>
      <c r="B117">
        <v>143124344</v>
      </c>
      <c r="C117">
        <v>143124339</v>
      </c>
      <c r="D117">
        <v>140923885</v>
      </c>
      <c r="E117">
        <v>1</v>
      </c>
      <c r="F117">
        <v>1</v>
      </c>
      <c r="G117">
        <v>1</v>
      </c>
      <c r="H117">
        <v>2</v>
      </c>
      <c r="I117" t="s">
        <v>387</v>
      </c>
      <c r="J117" t="s">
        <v>388</v>
      </c>
      <c r="K117" t="s">
        <v>389</v>
      </c>
      <c r="L117">
        <v>1367</v>
      </c>
      <c r="N117">
        <v>1011</v>
      </c>
      <c r="O117" t="s">
        <v>380</v>
      </c>
      <c r="P117" t="s">
        <v>380</v>
      </c>
      <c r="Q117">
        <v>1</v>
      </c>
      <c r="X117">
        <v>0.01</v>
      </c>
      <c r="Y117">
        <v>0</v>
      </c>
      <c r="Z117">
        <v>65.709999999999994</v>
      </c>
      <c r="AA117">
        <v>11.6</v>
      </c>
      <c r="AB117">
        <v>0</v>
      </c>
      <c r="AC117">
        <v>0</v>
      </c>
      <c r="AD117">
        <v>1</v>
      </c>
      <c r="AE117">
        <v>0</v>
      </c>
      <c r="AF117" t="s">
        <v>16</v>
      </c>
      <c r="AG117">
        <v>1.4999999999999999E-2</v>
      </c>
      <c r="AH117">
        <v>2</v>
      </c>
      <c r="AI117">
        <v>143124344</v>
      </c>
      <c r="AJ117">
        <v>94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ROW(Source!A94)</f>
        <v>94</v>
      </c>
      <c r="B118">
        <v>143124345</v>
      </c>
      <c r="C118">
        <v>143124339</v>
      </c>
      <c r="D118">
        <v>140924526</v>
      </c>
      <c r="E118">
        <v>1</v>
      </c>
      <c r="F118">
        <v>1</v>
      </c>
      <c r="G118">
        <v>1</v>
      </c>
      <c r="H118">
        <v>2</v>
      </c>
      <c r="I118" t="s">
        <v>507</v>
      </c>
      <c r="J118" t="s">
        <v>508</v>
      </c>
      <c r="K118" t="s">
        <v>509</v>
      </c>
      <c r="L118">
        <v>1367</v>
      </c>
      <c r="N118">
        <v>1011</v>
      </c>
      <c r="O118" t="s">
        <v>380</v>
      </c>
      <c r="P118" t="s">
        <v>380</v>
      </c>
      <c r="Q118">
        <v>1</v>
      </c>
      <c r="X118">
        <v>1.1200000000000001</v>
      </c>
      <c r="Y118">
        <v>0</v>
      </c>
      <c r="Z118">
        <v>6.82</v>
      </c>
      <c r="AA118">
        <v>0</v>
      </c>
      <c r="AB118">
        <v>0</v>
      </c>
      <c r="AC118">
        <v>0</v>
      </c>
      <c r="AD118">
        <v>1</v>
      </c>
      <c r="AE118">
        <v>0</v>
      </c>
      <c r="AF118" t="s">
        <v>16</v>
      </c>
      <c r="AG118">
        <v>1.6800000000000002</v>
      </c>
      <c r="AH118">
        <v>2</v>
      </c>
      <c r="AI118">
        <v>143124345</v>
      </c>
      <c r="AJ118">
        <v>95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ROW(Source!A94)</f>
        <v>94</v>
      </c>
      <c r="B119">
        <v>143124346</v>
      </c>
      <c r="C119">
        <v>143124339</v>
      </c>
      <c r="D119">
        <v>140804058</v>
      </c>
      <c r="E119">
        <v>1</v>
      </c>
      <c r="F119">
        <v>1</v>
      </c>
      <c r="G119">
        <v>1</v>
      </c>
      <c r="H119">
        <v>3</v>
      </c>
      <c r="I119" t="s">
        <v>420</v>
      </c>
      <c r="J119" t="s">
        <v>421</v>
      </c>
      <c r="K119" t="s">
        <v>422</v>
      </c>
      <c r="L119">
        <v>1348</v>
      </c>
      <c r="N119">
        <v>1009</v>
      </c>
      <c r="O119" t="s">
        <v>199</v>
      </c>
      <c r="P119" t="s">
        <v>199</v>
      </c>
      <c r="Q119">
        <v>1000</v>
      </c>
      <c r="X119">
        <v>8.9999999999999993E-3</v>
      </c>
      <c r="Y119">
        <v>15620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8.9999999999999993E-3</v>
      </c>
      <c r="AH119">
        <v>2</v>
      </c>
      <c r="AI119">
        <v>143124346</v>
      </c>
      <c r="AJ119">
        <v>96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ROW(Source!A94)</f>
        <v>94</v>
      </c>
      <c r="B120">
        <v>143124347</v>
      </c>
      <c r="C120">
        <v>143124339</v>
      </c>
      <c r="D120">
        <v>140805125</v>
      </c>
      <c r="E120">
        <v>1</v>
      </c>
      <c r="F120">
        <v>1</v>
      </c>
      <c r="G120">
        <v>1</v>
      </c>
      <c r="H120">
        <v>3</v>
      </c>
      <c r="I120" t="s">
        <v>510</v>
      </c>
      <c r="J120" t="s">
        <v>511</v>
      </c>
      <c r="K120" t="s">
        <v>512</v>
      </c>
      <c r="L120">
        <v>1348</v>
      </c>
      <c r="N120">
        <v>1009</v>
      </c>
      <c r="O120" t="s">
        <v>199</v>
      </c>
      <c r="P120" t="s">
        <v>199</v>
      </c>
      <c r="Q120">
        <v>1000</v>
      </c>
      <c r="X120">
        <v>1.5E-3</v>
      </c>
      <c r="Y120">
        <v>7640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1.5E-3</v>
      </c>
      <c r="AH120">
        <v>2</v>
      </c>
      <c r="AI120">
        <v>143124347</v>
      </c>
      <c r="AJ120">
        <v>97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ROW(Source!A95)</f>
        <v>95</v>
      </c>
      <c r="B121">
        <v>143124426</v>
      </c>
      <c r="C121">
        <v>143124425</v>
      </c>
      <c r="D121">
        <v>140760001</v>
      </c>
      <c r="E121">
        <v>70</v>
      </c>
      <c r="F121">
        <v>1</v>
      </c>
      <c r="G121">
        <v>1</v>
      </c>
      <c r="H121">
        <v>1</v>
      </c>
      <c r="I121" t="s">
        <v>465</v>
      </c>
      <c r="J121" t="s">
        <v>3</v>
      </c>
      <c r="K121" t="s">
        <v>466</v>
      </c>
      <c r="L121">
        <v>1191</v>
      </c>
      <c r="N121">
        <v>1013</v>
      </c>
      <c r="O121" t="s">
        <v>374</v>
      </c>
      <c r="P121" t="s">
        <v>374</v>
      </c>
      <c r="Q121">
        <v>1</v>
      </c>
      <c r="X121">
        <v>2.48</v>
      </c>
      <c r="Y121">
        <v>0</v>
      </c>
      <c r="Z121">
        <v>0</v>
      </c>
      <c r="AA121">
        <v>0</v>
      </c>
      <c r="AB121">
        <v>9.07</v>
      </c>
      <c r="AC121">
        <v>0</v>
      </c>
      <c r="AD121">
        <v>1</v>
      </c>
      <c r="AE121">
        <v>1</v>
      </c>
      <c r="AF121" t="s">
        <v>264</v>
      </c>
      <c r="AG121">
        <v>7.52928</v>
      </c>
      <c r="AH121">
        <v>2</v>
      </c>
      <c r="AI121">
        <v>143124426</v>
      </c>
      <c r="AJ121">
        <v>98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ROW(Source!A95)</f>
        <v>95</v>
      </c>
      <c r="B122">
        <v>143124427</v>
      </c>
      <c r="C122">
        <v>143124425</v>
      </c>
      <c r="D122">
        <v>140760225</v>
      </c>
      <c r="E122">
        <v>70</v>
      </c>
      <c r="F122">
        <v>1</v>
      </c>
      <c r="G122">
        <v>1</v>
      </c>
      <c r="H122">
        <v>1</v>
      </c>
      <c r="I122" t="s">
        <v>375</v>
      </c>
      <c r="J122" t="s">
        <v>3</v>
      </c>
      <c r="K122" t="s">
        <v>376</v>
      </c>
      <c r="L122">
        <v>1191</v>
      </c>
      <c r="N122">
        <v>1013</v>
      </c>
      <c r="O122" t="s">
        <v>374</v>
      </c>
      <c r="P122" t="s">
        <v>374</v>
      </c>
      <c r="Q122">
        <v>1</v>
      </c>
      <c r="X122">
        <v>0.02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2</v>
      </c>
      <c r="AF122" t="s">
        <v>263</v>
      </c>
      <c r="AG122">
        <v>0.06</v>
      </c>
      <c r="AH122">
        <v>2</v>
      </c>
      <c r="AI122">
        <v>143124427</v>
      </c>
      <c r="AJ122">
        <v>99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ROW(Source!A95)</f>
        <v>95</v>
      </c>
      <c r="B123">
        <v>143124428</v>
      </c>
      <c r="C123">
        <v>143124425</v>
      </c>
      <c r="D123">
        <v>140923086</v>
      </c>
      <c r="E123">
        <v>1</v>
      </c>
      <c r="F123">
        <v>1</v>
      </c>
      <c r="G123">
        <v>1</v>
      </c>
      <c r="H123">
        <v>2</v>
      </c>
      <c r="I123" t="s">
        <v>450</v>
      </c>
      <c r="J123" t="s">
        <v>451</v>
      </c>
      <c r="K123" t="s">
        <v>452</v>
      </c>
      <c r="L123">
        <v>1367</v>
      </c>
      <c r="N123">
        <v>1011</v>
      </c>
      <c r="O123" t="s">
        <v>380</v>
      </c>
      <c r="P123" t="s">
        <v>380</v>
      </c>
      <c r="Q123">
        <v>1</v>
      </c>
      <c r="X123">
        <v>0.01</v>
      </c>
      <c r="Y123">
        <v>0</v>
      </c>
      <c r="Z123">
        <v>1.7</v>
      </c>
      <c r="AA123">
        <v>0</v>
      </c>
      <c r="AB123">
        <v>0</v>
      </c>
      <c r="AC123">
        <v>0</v>
      </c>
      <c r="AD123">
        <v>1</v>
      </c>
      <c r="AE123">
        <v>0</v>
      </c>
      <c r="AF123" t="s">
        <v>263</v>
      </c>
      <c r="AG123">
        <v>0.03</v>
      </c>
      <c r="AH123">
        <v>2</v>
      </c>
      <c r="AI123">
        <v>143124428</v>
      </c>
      <c r="AJ123">
        <v>100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ROW(Source!A95)</f>
        <v>95</v>
      </c>
      <c r="B124">
        <v>143124429</v>
      </c>
      <c r="C124">
        <v>143124425</v>
      </c>
      <c r="D124">
        <v>140923105</v>
      </c>
      <c r="E124">
        <v>1</v>
      </c>
      <c r="F124">
        <v>1</v>
      </c>
      <c r="G124">
        <v>1</v>
      </c>
      <c r="H124">
        <v>2</v>
      </c>
      <c r="I124" t="s">
        <v>504</v>
      </c>
      <c r="J124" t="s">
        <v>505</v>
      </c>
      <c r="K124" t="s">
        <v>506</v>
      </c>
      <c r="L124">
        <v>1367</v>
      </c>
      <c r="N124">
        <v>1011</v>
      </c>
      <c r="O124" t="s">
        <v>380</v>
      </c>
      <c r="P124" t="s">
        <v>380</v>
      </c>
      <c r="Q124">
        <v>1</v>
      </c>
      <c r="X124">
        <v>0.01</v>
      </c>
      <c r="Y124">
        <v>0</v>
      </c>
      <c r="Z124">
        <v>89.99</v>
      </c>
      <c r="AA124">
        <v>10.06</v>
      </c>
      <c r="AB124">
        <v>0</v>
      </c>
      <c r="AC124">
        <v>0</v>
      </c>
      <c r="AD124">
        <v>1</v>
      </c>
      <c r="AE124">
        <v>0</v>
      </c>
      <c r="AF124" t="s">
        <v>263</v>
      </c>
      <c r="AG124">
        <v>0.03</v>
      </c>
      <c r="AH124">
        <v>2</v>
      </c>
      <c r="AI124">
        <v>143124429</v>
      </c>
      <c r="AJ124">
        <v>101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ROW(Source!A95)</f>
        <v>95</v>
      </c>
      <c r="B125">
        <v>143124430</v>
      </c>
      <c r="C125">
        <v>143124425</v>
      </c>
      <c r="D125">
        <v>140923885</v>
      </c>
      <c r="E125">
        <v>1</v>
      </c>
      <c r="F125">
        <v>1</v>
      </c>
      <c r="G125">
        <v>1</v>
      </c>
      <c r="H125">
        <v>2</v>
      </c>
      <c r="I125" t="s">
        <v>387</v>
      </c>
      <c r="J125" t="s">
        <v>388</v>
      </c>
      <c r="K125" t="s">
        <v>389</v>
      </c>
      <c r="L125">
        <v>1367</v>
      </c>
      <c r="N125">
        <v>1011</v>
      </c>
      <c r="O125" t="s">
        <v>380</v>
      </c>
      <c r="P125" t="s">
        <v>380</v>
      </c>
      <c r="Q125">
        <v>1</v>
      </c>
      <c r="X125">
        <v>0.01</v>
      </c>
      <c r="Y125">
        <v>0</v>
      </c>
      <c r="Z125">
        <v>65.709999999999994</v>
      </c>
      <c r="AA125">
        <v>11.6</v>
      </c>
      <c r="AB125">
        <v>0</v>
      </c>
      <c r="AC125">
        <v>0</v>
      </c>
      <c r="AD125">
        <v>1</v>
      </c>
      <c r="AE125">
        <v>0</v>
      </c>
      <c r="AF125" t="s">
        <v>263</v>
      </c>
      <c r="AG125">
        <v>0.03</v>
      </c>
      <c r="AH125">
        <v>2</v>
      </c>
      <c r="AI125">
        <v>143124430</v>
      </c>
      <c r="AJ125">
        <v>102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ROW(Source!A95)</f>
        <v>95</v>
      </c>
      <c r="B126">
        <v>143124431</v>
      </c>
      <c r="C126">
        <v>143124425</v>
      </c>
      <c r="D126">
        <v>140924526</v>
      </c>
      <c r="E126">
        <v>1</v>
      </c>
      <c r="F126">
        <v>1</v>
      </c>
      <c r="G126">
        <v>1</v>
      </c>
      <c r="H126">
        <v>2</v>
      </c>
      <c r="I126" t="s">
        <v>507</v>
      </c>
      <c r="J126" t="s">
        <v>508</v>
      </c>
      <c r="K126" t="s">
        <v>509</v>
      </c>
      <c r="L126">
        <v>1367</v>
      </c>
      <c r="N126">
        <v>1011</v>
      </c>
      <c r="O126" t="s">
        <v>380</v>
      </c>
      <c r="P126" t="s">
        <v>380</v>
      </c>
      <c r="Q126">
        <v>1</v>
      </c>
      <c r="X126">
        <v>1.1200000000000001</v>
      </c>
      <c r="Y126">
        <v>0</v>
      </c>
      <c r="Z126">
        <v>6.82</v>
      </c>
      <c r="AA126">
        <v>0</v>
      </c>
      <c r="AB126">
        <v>0</v>
      </c>
      <c r="AC126">
        <v>0</v>
      </c>
      <c r="AD126">
        <v>1</v>
      </c>
      <c r="AE126">
        <v>0</v>
      </c>
      <c r="AF126" t="s">
        <v>263</v>
      </c>
      <c r="AG126">
        <v>3.3600000000000003</v>
      </c>
      <c r="AH126">
        <v>2</v>
      </c>
      <c r="AI126">
        <v>143124431</v>
      </c>
      <c r="AJ126">
        <v>103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ROW(Source!A95)</f>
        <v>95</v>
      </c>
      <c r="B127">
        <v>143124432</v>
      </c>
      <c r="C127">
        <v>143124425</v>
      </c>
      <c r="D127">
        <v>140804699</v>
      </c>
      <c r="E127">
        <v>1</v>
      </c>
      <c r="F127">
        <v>1</v>
      </c>
      <c r="G127">
        <v>1</v>
      </c>
      <c r="H127">
        <v>3</v>
      </c>
      <c r="I127" t="s">
        <v>266</v>
      </c>
      <c r="J127" t="s">
        <v>268</v>
      </c>
      <c r="K127" t="s">
        <v>267</v>
      </c>
      <c r="L127">
        <v>1348</v>
      </c>
      <c r="N127">
        <v>1009</v>
      </c>
      <c r="O127" t="s">
        <v>199</v>
      </c>
      <c r="P127" t="s">
        <v>199</v>
      </c>
      <c r="Q127">
        <v>1000</v>
      </c>
      <c r="X127">
        <v>1.4999999999999999E-2</v>
      </c>
      <c r="Y127">
        <v>75000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0</v>
      </c>
      <c r="AF127" t="s">
        <v>262</v>
      </c>
      <c r="AG127">
        <v>0.03</v>
      </c>
      <c r="AH127">
        <v>2</v>
      </c>
      <c r="AI127">
        <v>143124432</v>
      </c>
      <c r="AJ127">
        <v>104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ROW(Source!A95)</f>
        <v>95</v>
      </c>
      <c r="B128">
        <v>143124433</v>
      </c>
      <c r="C128">
        <v>143124425</v>
      </c>
      <c r="D128">
        <v>140805136</v>
      </c>
      <c r="E128">
        <v>1</v>
      </c>
      <c r="F128">
        <v>1</v>
      </c>
      <c r="G128">
        <v>1</v>
      </c>
      <c r="H128">
        <v>3</v>
      </c>
      <c r="I128" t="s">
        <v>513</v>
      </c>
      <c r="J128" t="s">
        <v>514</v>
      </c>
      <c r="K128" t="s">
        <v>515</v>
      </c>
      <c r="L128">
        <v>1348</v>
      </c>
      <c r="N128">
        <v>1009</v>
      </c>
      <c r="O128" t="s">
        <v>199</v>
      </c>
      <c r="P128" t="s">
        <v>199</v>
      </c>
      <c r="Q128">
        <v>1000</v>
      </c>
      <c r="X128">
        <v>4.6999999999999999E-4</v>
      </c>
      <c r="Y128">
        <v>67872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0</v>
      </c>
      <c r="AF128" t="s">
        <v>262</v>
      </c>
      <c r="AG128">
        <v>9.3999999999999997E-4</v>
      </c>
      <c r="AH128">
        <v>2</v>
      </c>
      <c r="AI128">
        <v>143124433</v>
      </c>
      <c r="AJ128">
        <v>105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ROW(Source!A95)</f>
        <v>95</v>
      </c>
      <c r="B129">
        <v>143124434</v>
      </c>
      <c r="C129">
        <v>143124425</v>
      </c>
      <c r="D129">
        <v>140805184</v>
      </c>
      <c r="E129">
        <v>1</v>
      </c>
      <c r="F129">
        <v>1</v>
      </c>
      <c r="G129">
        <v>1</v>
      </c>
      <c r="H129">
        <v>3</v>
      </c>
      <c r="I129" t="s">
        <v>516</v>
      </c>
      <c r="J129" t="s">
        <v>517</v>
      </c>
      <c r="K129" t="s">
        <v>518</v>
      </c>
      <c r="L129">
        <v>1348</v>
      </c>
      <c r="N129">
        <v>1009</v>
      </c>
      <c r="O129" t="s">
        <v>199</v>
      </c>
      <c r="P129" t="s">
        <v>199</v>
      </c>
      <c r="Q129">
        <v>1000</v>
      </c>
      <c r="X129">
        <v>2.3999999999999998E-3</v>
      </c>
      <c r="Y129">
        <v>8897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0</v>
      </c>
      <c r="AF129" t="s">
        <v>262</v>
      </c>
      <c r="AG129">
        <v>4.7999999999999996E-3</v>
      </c>
      <c r="AH129">
        <v>2</v>
      </c>
      <c r="AI129">
        <v>143124434</v>
      </c>
      <c r="AJ129">
        <v>106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ROW(Source!A98)</f>
        <v>98</v>
      </c>
      <c r="B130">
        <v>143124497</v>
      </c>
      <c r="C130">
        <v>143124466</v>
      </c>
      <c r="D130">
        <v>140760022</v>
      </c>
      <c r="E130">
        <v>70</v>
      </c>
      <c r="F130">
        <v>1</v>
      </c>
      <c r="G130">
        <v>1</v>
      </c>
      <c r="H130">
        <v>1</v>
      </c>
      <c r="I130" t="s">
        <v>396</v>
      </c>
      <c r="J130" t="s">
        <v>3</v>
      </c>
      <c r="K130" t="s">
        <v>397</v>
      </c>
      <c r="L130">
        <v>1191</v>
      </c>
      <c r="N130">
        <v>1013</v>
      </c>
      <c r="O130" t="s">
        <v>374</v>
      </c>
      <c r="P130" t="s">
        <v>374</v>
      </c>
      <c r="Q130">
        <v>1</v>
      </c>
      <c r="X130">
        <v>113.01</v>
      </c>
      <c r="Y130">
        <v>0</v>
      </c>
      <c r="Z130">
        <v>0</v>
      </c>
      <c r="AA130">
        <v>0</v>
      </c>
      <c r="AB130">
        <v>9.4</v>
      </c>
      <c r="AC130">
        <v>0</v>
      </c>
      <c r="AD130">
        <v>1</v>
      </c>
      <c r="AE130">
        <v>1</v>
      </c>
      <c r="AF130" t="s">
        <v>17</v>
      </c>
      <c r="AG130">
        <v>155.9538</v>
      </c>
      <c r="AH130">
        <v>2</v>
      </c>
      <c r="AI130">
        <v>143124497</v>
      </c>
      <c r="AJ130">
        <v>107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ROW(Source!A98)</f>
        <v>98</v>
      </c>
      <c r="B131">
        <v>143124498</v>
      </c>
      <c r="C131">
        <v>143124466</v>
      </c>
      <c r="D131">
        <v>140760225</v>
      </c>
      <c r="E131">
        <v>70</v>
      </c>
      <c r="F131">
        <v>1</v>
      </c>
      <c r="G131">
        <v>1</v>
      </c>
      <c r="H131">
        <v>1</v>
      </c>
      <c r="I131" t="s">
        <v>375</v>
      </c>
      <c r="J131" t="s">
        <v>3</v>
      </c>
      <c r="K131" t="s">
        <v>376</v>
      </c>
      <c r="L131">
        <v>1191</v>
      </c>
      <c r="N131">
        <v>1013</v>
      </c>
      <c r="O131" t="s">
        <v>374</v>
      </c>
      <c r="P131" t="s">
        <v>374</v>
      </c>
      <c r="Q131">
        <v>1</v>
      </c>
      <c r="X131">
        <v>18.5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2</v>
      </c>
      <c r="AF131" t="s">
        <v>16</v>
      </c>
      <c r="AG131">
        <v>27.75</v>
      </c>
      <c r="AH131">
        <v>2</v>
      </c>
      <c r="AI131">
        <v>143124498</v>
      </c>
      <c r="AJ131">
        <v>108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ROW(Source!A98)</f>
        <v>98</v>
      </c>
      <c r="B132">
        <v>143124499</v>
      </c>
      <c r="C132">
        <v>143124466</v>
      </c>
      <c r="D132">
        <v>140922951</v>
      </c>
      <c r="E132">
        <v>1</v>
      </c>
      <c r="F132">
        <v>1</v>
      </c>
      <c r="G132">
        <v>1</v>
      </c>
      <c r="H132">
        <v>2</v>
      </c>
      <c r="I132" t="s">
        <v>381</v>
      </c>
      <c r="J132" t="s">
        <v>382</v>
      </c>
      <c r="K132" t="s">
        <v>383</v>
      </c>
      <c r="L132">
        <v>1367</v>
      </c>
      <c r="N132">
        <v>1011</v>
      </c>
      <c r="O132" t="s">
        <v>380</v>
      </c>
      <c r="P132" t="s">
        <v>380</v>
      </c>
      <c r="Q132">
        <v>1</v>
      </c>
      <c r="X132">
        <v>0.33</v>
      </c>
      <c r="Y132">
        <v>0</v>
      </c>
      <c r="Z132">
        <v>115.4</v>
      </c>
      <c r="AA132">
        <v>13.5</v>
      </c>
      <c r="AB132">
        <v>0</v>
      </c>
      <c r="AC132">
        <v>0</v>
      </c>
      <c r="AD132">
        <v>1</v>
      </c>
      <c r="AE132">
        <v>0</v>
      </c>
      <c r="AF132" t="s">
        <v>16</v>
      </c>
      <c r="AG132">
        <v>0.495</v>
      </c>
      <c r="AH132">
        <v>2</v>
      </c>
      <c r="AI132">
        <v>143124499</v>
      </c>
      <c r="AJ132">
        <v>109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ROW(Source!A98)</f>
        <v>98</v>
      </c>
      <c r="B133">
        <v>143124500</v>
      </c>
      <c r="C133">
        <v>143124466</v>
      </c>
      <c r="D133">
        <v>140922957</v>
      </c>
      <c r="E133">
        <v>1</v>
      </c>
      <c r="F133">
        <v>1</v>
      </c>
      <c r="G133">
        <v>1</v>
      </c>
      <c r="H133">
        <v>2</v>
      </c>
      <c r="I133" t="s">
        <v>398</v>
      </c>
      <c r="J133" t="s">
        <v>399</v>
      </c>
      <c r="K133" t="s">
        <v>400</v>
      </c>
      <c r="L133">
        <v>1367</v>
      </c>
      <c r="N133">
        <v>1011</v>
      </c>
      <c r="O133" t="s">
        <v>380</v>
      </c>
      <c r="P133" t="s">
        <v>380</v>
      </c>
      <c r="Q133">
        <v>1</v>
      </c>
      <c r="X133">
        <v>17.579999999999998</v>
      </c>
      <c r="Y133">
        <v>0</v>
      </c>
      <c r="Z133">
        <v>120.04</v>
      </c>
      <c r="AA133">
        <v>13.5</v>
      </c>
      <c r="AB133">
        <v>0</v>
      </c>
      <c r="AC133">
        <v>0</v>
      </c>
      <c r="AD133">
        <v>1</v>
      </c>
      <c r="AE133">
        <v>0</v>
      </c>
      <c r="AF133" t="s">
        <v>16</v>
      </c>
      <c r="AG133">
        <v>26.369999999999997</v>
      </c>
      <c r="AH133">
        <v>2</v>
      </c>
      <c r="AI133">
        <v>143124500</v>
      </c>
      <c r="AJ133">
        <v>110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ROW(Source!A98)</f>
        <v>98</v>
      </c>
      <c r="B134">
        <v>143124501</v>
      </c>
      <c r="C134">
        <v>143124466</v>
      </c>
      <c r="D134">
        <v>140923885</v>
      </c>
      <c r="E134">
        <v>1</v>
      </c>
      <c r="F134">
        <v>1</v>
      </c>
      <c r="G134">
        <v>1</v>
      </c>
      <c r="H134">
        <v>2</v>
      </c>
      <c r="I134" t="s">
        <v>387</v>
      </c>
      <c r="J134" t="s">
        <v>388</v>
      </c>
      <c r="K134" t="s">
        <v>389</v>
      </c>
      <c r="L134">
        <v>1367</v>
      </c>
      <c r="N134">
        <v>1011</v>
      </c>
      <c r="O134" t="s">
        <v>380</v>
      </c>
      <c r="P134" t="s">
        <v>380</v>
      </c>
      <c r="Q134">
        <v>1</v>
      </c>
      <c r="X134">
        <v>0.59</v>
      </c>
      <c r="Y134">
        <v>0</v>
      </c>
      <c r="Z134">
        <v>65.709999999999994</v>
      </c>
      <c r="AA134">
        <v>11.6</v>
      </c>
      <c r="AB134">
        <v>0</v>
      </c>
      <c r="AC134">
        <v>0</v>
      </c>
      <c r="AD134">
        <v>1</v>
      </c>
      <c r="AE134">
        <v>0</v>
      </c>
      <c r="AF134" t="s">
        <v>16</v>
      </c>
      <c r="AG134">
        <v>0.8849999999999999</v>
      </c>
      <c r="AH134">
        <v>2</v>
      </c>
      <c r="AI134">
        <v>143124501</v>
      </c>
      <c r="AJ134">
        <v>111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ROW(Source!A98)</f>
        <v>98</v>
      </c>
      <c r="B135">
        <v>143124502</v>
      </c>
      <c r="C135">
        <v>143124466</v>
      </c>
      <c r="D135">
        <v>140775017</v>
      </c>
      <c r="E135">
        <v>1</v>
      </c>
      <c r="F135">
        <v>1</v>
      </c>
      <c r="G135">
        <v>1</v>
      </c>
      <c r="H135">
        <v>3</v>
      </c>
      <c r="I135" t="s">
        <v>401</v>
      </c>
      <c r="J135" t="s">
        <v>402</v>
      </c>
      <c r="K135" t="s">
        <v>403</v>
      </c>
      <c r="L135">
        <v>1346</v>
      </c>
      <c r="N135">
        <v>1009</v>
      </c>
      <c r="O135" t="s">
        <v>177</v>
      </c>
      <c r="P135" t="s">
        <v>177</v>
      </c>
      <c r="Q135">
        <v>1</v>
      </c>
      <c r="X135">
        <v>1</v>
      </c>
      <c r="Y135">
        <v>9.0399999999999991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1</v>
      </c>
      <c r="AH135">
        <v>2</v>
      </c>
      <c r="AI135">
        <v>143124502</v>
      </c>
      <c r="AJ135">
        <v>112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ROW(Source!A98)</f>
        <v>98</v>
      </c>
      <c r="B136">
        <v>143124503</v>
      </c>
      <c r="C136">
        <v>143124466</v>
      </c>
      <c r="D136">
        <v>140775046</v>
      </c>
      <c r="E136">
        <v>1</v>
      </c>
      <c r="F136">
        <v>1</v>
      </c>
      <c r="G136">
        <v>1</v>
      </c>
      <c r="H136">
        <v>3</v>
      </c>
      <c r="I136" t="s">
        <v>525</v>
      </c>
      <c r="J136" t="s">
        <v>526</v>
      </c>
      <c r="K136" t="s">
        <v>527</v>
      </c>
      <c r="L136">
        <v>1348</v>
      </c>
      <c r="N136">
        <v>1009</v>
      </c>
      <c r="O136" t="s">
        <v>199</v>
      </c>
      <c r="P136" t="s">
        <v>199</v>
      </c>
      <c r="Q136">
        <v>1000</v>
      </c>
      <c r="X136">
        <v>0</v>
      </c>
      <c r="Y136">
        <v>35011</v>
      </c>
      <c r="Z136">
        <v>0</v>
      </c>
      <c r="AA136">
        <v>0</v>
      </c>
      <c r="AB136">
        <v>0</v>
      </c>
      <c r="AC136">
        <v>1</v>
      </c>
      <c r="AD136">
        <v>0</v>
      </c>
      <c r="AE136">
        <v>0</v>
      </c>
      <c r="AF136" t="s">
        <v>3</v>
      </c>
      <c r="AG136">
        <v>0</v>
      </c>
      <c r="AH136">
        <v>3</v>
      </c>
      <c r="AI136">
        <v>-1</v>
      </c>
      <c r="AJ136" t="s">
        <v>3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ROW(Source!A98)</f>
        <v>98</v>
      </c>
      <c r="B137">
        <v>143124504</v>
      </c>
      <c r="C137">
        <v>143124466</v>
      </c>
      <c r="D137">
        <v>140775118</v>
      </c>
      <c r="E137">
        <v>1</v>
      </c>
      <c r="F137">
        <v>1</v>
      </c>
      <c r="G137">
        <v>1</v>
      </c>
      <c r="H137">
        <v>3</v>
      </c>
      <c r="I137" t="s">
        <v>404</v>
      </c>
      <c r="J137" t="s">
        <v>405</v>
      </c>
      <c r="K137" t="s">
        <v>406</v>
      </c>
      <c r="L137">
        <v>1348</v>
      </c>
      <c r="N137">
        <v>1009</v>
      </c>
      <c r="O137" t="s">
        <v>199</v>
      </c>
      <c r="P137" t="s">
        <v>199</v>
      </c>
      <c r="Q137">
        <v>1000</v>
      </c>
      <c r="X137">
        <v>1.0000000000000001E-5</v>
      </c>
      <c r="Y137">
        <v>11978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0</v>
      </c>
      <c r="AF137" t="s">
        <v>3</v>
      </c>
      <c r="AG137">
        <v>1.0000000000000001E-5</v>
      </c>
      <c r="AH137">
        <v>2</v>
      </c>
      <c r="AI137">
        <v>143124504</v>
      </c>
      <c r="AJ137">
        <v>113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ROW(Source!A98)</f>
        <v>98</v>
      </c>
      <c r="B138">
        <v>143124505</v>
      </c>
      <c r="C138">
        <v>143124466</v>
      </c>
      <c r="D138">
        <v>140776038</v>
      </c>
      <c r="E138">
        <v>1</v>
      </c>
      <c r="F138">
        <v>1</v>
      </c>
      <c r="G138">
        <v>1</v>
      </c>
      <c r="H138">
        <v>3</v>
      </c>
      <c r="I138" t="s">
        <v>528</v>
      </c>
      <c r="J138" t="s">
        <v>529</v>
      </c>
      <c r="K138" t="s">
        <v>530</v>
      </c>
      <c r="L138">
        <v>1346</v>
      </c>
      <c r="N138">
        <v>1009</v>
      </c>
      <c r="O138" t="s">
        <v>177</v>
      </c>
      <c r="P138" t="s">
        <v>177</v>
      </c>
      <c r="Q138">
        <v>1</v>
      </c>
      <c r="X138">
        <v>0</v>
      </c>
      <c r="Y138">
        <v>23.09</v>
      </c>
      <c r="Z138">
        <v>0</v>
      </c>
      <c r="AA138">
        <v>0</v>
      </c>
      <c r="AB138">
        <v>0</v>
      </c>
      <c r="AC138">
        <v>1</v>
      </c>
      <c r="AD138">
        <v>0</v>
      </c>
      <c r="AE138">
        <v>0</v>
      </c>
      <c r="AF138" t="s">
        <v>3</v>
      </c>
      <c r="AG138">
        <v>0</v>
      </c>
      <c r="AH138">
        <v>3</v>
      </c>
      <c r="AI138">
        <v>-1</v>
      </c>
      <c r="AJ138" t="s">
        <v>3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ROW(Source!A98)</f>
        <v>98</v>
      </c>
      <c r="B139">
        <v>143124506</v>
      </c>
      <c r="C139">
        <v>143124466</v>
      </c>
      <c r="D139">
        <v>140776229</v>
      </c>
      <c r="E139">
        <v>1</v>
      </c>
      <c r="F139">
        <v>1</v>
      </c>
      <c r="G139">
        <v>1</v>
      </c>
      <c r="H139">
        <v>3</v>
      </c>
      <c r="I139" t="s">
        <v>407</v>
      </c>
      <c r="J139" t="s">
        <v>408</v>
      </c>
      <c r="K139" t="s">
        <v>409</v>
      </c>
      <c r="L139">
        <v>1348</v>
      </c>
      <c r="N139">
        <v>1009</v>
      </c>
      <c r="O139" t="s">
        <v>199</v>
      </c>
      <c r="P139" t="s">
        <v>199</v>
      </c>
      <c r="Q139">
        <v>1000</v>
      </c>
      <c r="X139">
        <v>1E-4</v>
      </c>
      <c r="Y139">
        <v>37900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1E-4</v>
      </c>
      <c r="AH139">
        <v>2</v>
      </c>
      <c r="AI139">
        <v>143124506</v>
      </c>
      <c r="AJ139">
        <v>114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ROW(Source!A98)</f>
        <v>98</v>
      </c>
      <c r="B140">
        <v>143124507</v>
      </c>
      <c r="C140">
        <v>143124466</v>
      </c>
      <c r="D140">
        <v>140762044</v>
      </c>
      <c r="E140">
        <v>70</v>
      </c>
      <c r="F140">
        <v>1</v>
      </c>
      <c r="G140">
        <v>1</v>
      </c>
      <c r="H140">
        <v>3</v>
      </c>
      <c r="I140" t="s">
        <v>531</v>
      </c>
      <c r="J140" t="s">
        <v>3</v>
      </c>
      <c r="K140" t="s">
        <v>532</v>
      </c>
      <c r="L140">
        <v>1371</v>
      </c>
      <c r="N140">
        <v>1013</v>
      </c>
      <c r="O140" t="s">
        <v>44</v>
      </c>
      <c r="P140" t="s">
        <v>44</v>
      </c>
      <c r="Q140">
        <v>1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1</v>
      </c>
      <c r="AD140">
        <v>0</v>
      </c>
      <c r="AE140">
        <v>0</v>
      </c>
      <c r="AF140" t="s">
        <v>3</v>
      </c>
      <c r="AG140">
        <v>0</v>
      </c>
      <c r="AH140">
        <v>3</v>
      </c>
      <c r="AI140">
        <v>-1</v>
      </c>
      <c r="AJ140" t="s">
        <v>3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ROW(Source!A98)</f>
        <v>98</v>
      </c>
      <c r="B141">
        <v>143124508</v>
      </c>
      <c r="C141">
        <v>143124466</v>
      </c>
      <c r="D141">
        <v>140791984</v>
      </c>
      <c r="E141">
        <v>1</v>
      </c>
      <c r="F141">
        <v>1</v>
      </c>
      <c r="G141">
        <v>1</v>
      </c>
      <c r="H141">
        <v>3</v>
      </c>
      <c r="I141" t="s">
        <v>410</v>
      </c>
      <c r="J141" t="s">
        <v>411</v>
      </c>
      <c r="K141" t="s">
        <v>412</v>
      </c>
      <c r="L141">
        <v>1302</v>
      </c>
      <c r="N141">
        <v>1003</v>
      </c>
      <c r="O141" t="s">
        <v>413</v>
      </c>
      <c r="P141" t="s">
        <v>413</v>
      </c>
      <c r="Q141">
        <v>10</v>
      </c>
      <c r="X141">
        <v>1.8700000000000001E-2</v>
      </c>
      <c r="Y141">
        <v>50.24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0</v>
      </c>
      <c r="AF141" t="s">
        <v>3</v>
      </c>
      <c r="AG141">
        <v>1.8700000000000001E-2</v>
      </c>
      <c r="AH141">
        <v>2</v>
      </c>
      <c r="AI141">
        <v>143124508</v>
      </c>
      <c r="AJ141">
        <v>115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ROW(Source!A98)</f>
        <v>98</v>
      </c>
      <c r="B142">
        <v>143124509</v>
      </c>
      <c r="C142">
        <v>143124466</v>
      </c>
      <c r="D142">
        <v>140792339</v>
      </c>
      <c r="E142">
        <v>1</v>
      </c>
      <c r="F142">
        <v>1</v>
      </c>
      <c r="G142">
        <v>1</v>
      </c>
      <c r="H142">
        <v>3</v>
      </c>
      <c r="I142" t="s">
        <v>414</v>
      </c>
      <c r="J142" t="s">
        <v>415</v>
      </c>
      <c r="K142" t="s">
        <v>416</v>
      </c>
      <c r="L142">
        <v>1348</v>
      </c>
      <c r="N142">
        <v>1009</v>
      </c>
      <c r="O142" t="s">
        <v>199</v>
      </c>
      <c r="P142" t="s">
        <v>199</v>
      </c>
      <c r="Q142">
        <v>1000</v>
      </c>
      <c r="X142">
        <v>3.0000000000000001E-5</v>
      </c>
      <c r="Y142">
        <v>4455.2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0</v>
      </c>
      <c r="AF142" t="s">
        <v>3</v>
      </c>
      <c r="AG142">
        <v>3.0000000000000001E-5</v>
      </c>
      <c r="AH142">
        <v>2</v>
      </c>
      <c r="AI142">
        <v>143124509</v>
      </c>
      <c r="AJ142">
        <v>116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ROW(Source!A98)</f>
        <v>98</v>
      </c>
      <c r="B143">
        <v>143124510</v>
      </c>
      <c r="C143">
        <v>143124466</v>
      </c>
      <c r="D143">
        <v>140793072</v>
      </c>
      <c r="E143">
        <v>1</v>
      </c>
      <c r="F143">
        <v>1</v>
      </c>
      <c r="G143">
        <v>1</v>
      </c>
      <c r="H143">
        <v>3</v>
      </c>
      <c r="I143" t="s">
        <v>417</v>
      </c>
      <c r="J143" t="s">
        <v>418</v>
      </c>
      <c r="K143" t="s">
        <v>419</v>
      </c>
      <c r="L143">
        <v>1348</v>
      </c>
      <c r="N143">
        <v>1009</v>
      </c>
      <c r="O143" t="s">
        <v>199</v>
      </c>
      <c r="P143" t="s">
        <v>199</v>
      </c>
      <c r="Q143">
        <v>1000</v>
      </c>
      <c r="X143">
        <v>1.9400000000000001E-3</v>
      </c>
      <c r="Y143">
        <v>4920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0</v>
      </c>
      <c r="AF143" t="s">
        <v>3</v>
      </c>
      <c r="AG143">
        <v>1.9400000000000001E-3</v>
      </c>
      <c r="AH143">
        <v>2</v>
      </c>
      <c r="AI143">
        <v>143124510</v>
      </c>
      <c r="AJ143">
        <v>117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ROW(Source!A98)</f>
        <v>98</v>
      </c>
      <c r="B144">
        <v>143124511</v>
      </c>
      <c r="C144">
        <v>143124466</v>
      </c>
      <c r="D144">
        <v>140804058</v>
      </c>
      <c r="E144">
        <v>1</v>
      </c>
      <c r="F144">
        <v>1</v>
      </c>
      <c r="G144">
        <v>1</v>
      </c>
      <c r="H144">
        <v>3</v>
      </c>
      <c r="I144" t="s">
        <v>420</v>
      </c>
      <c r="J144" t="s">
        <v>421</v>
      </c>
      <c r="K144" t="s">
        <v>422</v>
      </c>
      <c r="L144">
        <v>1348</v>
      </c>
      <c r="N144">
        <v>1009</v>
      </c>
      <c r="O144" t="s">
        <v>199</v>
      </c>
      <c r="P144" t="s">
        <v>199</v>
      </c>
      <c r="Q144">
        <v>1000</v>
      </c>
      <c r="X144">
        <v>3.1E-4</v>
      </c>
      <c r="Y144">
        <v>15620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3.1E-4</v>
      </c>
      <c r="AH144">
        <v>2</v>
      </c>
      <c r="AI144">
        <v>143124511</v>
      </c>
      <c r="AJ144">
        <v>118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ROW(Source!A98)</f>
        <v>98</v>
      </c>
      <c r="B145">
        <v>143124512</v>
      </c>
      <c r="C145">
        <v>143124466</v>
      </c>
      <c r="D145">
        <v>140805182</v>
      </c>
      <c r="E145">
        <v>1</v>
      </c>
      <c r="F145">
        <v>1</v>
      </c>
      <c r="G145">
        <v>1</v>
      </c>
      <c r="H145">
        <v>3</v>
      </c>
      <c r="I145" t="s">
        <v>423</v>
      </c>
      <c r="J145" t="s">
        <v>424</v>
      </c>
      <c r="K145" t="s">
        <v>425</v>
      </c>
      <c r="L145">
        <v>1346</v>
      </c>
      <c r="N145">
        <v>1009</v>
      </c>
      <c r="O145" t="s">
        <v>177</v>
      </c>
      <c r="P145" t="s">
        <v>177</v>
      </c>
      <c r="Q145">
        <v>1</v>
      </c>
      <c r="X145">
        <v>0.6</v>
      </c>
      <c r="Y145">
        <v>9.42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0</v>
      </c>
      <c r="AF145" t="s">
        <v>3</v>
      </c>
      <c r="AG145">
        <v>0.6</v>
      </c>
      <c r="AH145">
        <v>2</v>
      </c>
      <c r="AI145">
        <v>143124512</v>
      </c>
      <c r="AJ145">
        <v>119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9.140625" defaultRowHeight="12.75" x14ac:dyDescent="0.2"/>
  <cols>
    <col min="1" max="256" width="9.140625" customWidth="1"/>
  </cols>
  <sheetData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Смета 10 гр. по ФЕР</vt:lpstr>
      <vt:lpstr>Смета 12 гр. по ФЕР</vt:lpstr>
      <vt:lpstr>Source</vt:lpstr>
      <vt:lpstr>SourceObSm</vt:lpstr>
      <vt:lpstr>SmtRes</vt:lpstr>
      <vt:lpstr>EtalonRes</vt:lpstr>
      <vt:lpstr>SrcKA</vt:lpstr>
      <vt:lpstr>'Смета 10 гр. по ФЕР'!Заголовки_для_печати</vt:lpstr>
      <vt:lpstr>'Смета 12 гр. по ФЕР'!Заголовки_для_печати</vt:lpstr>
      <vt:lpstr>'Смета 10 гр. по ФЕР'!Область_печати</vt:lpstr>
      <vt:lpstr>'Смета 12 гр. по ФЕР'!Область_печати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Каракотов Мусса Нурусланович</cp:lastModifiedBy>
  <dcterms:created xsi:type="dcterms:W3CDTF">2023-08-31T13:57:55Z</dcterms:created>
  <dcterms:modified xsi:type="dcterms:W3CDTF">2023-09-13T13:43:01Z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