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2\004-sgrad\04.02-ДЕПАРТАМЕНТЫ\04.2.09-ТЕХНИЧЕСКАЯ_ДОКУМЕНТАЦИЯ\М2\7. ВОР\"/>
    </mc:Choice>
  </mc:AlternateContent>
  <xr:revisionPtr revIDLastSave="0" documentId="13_ncr:1_{4C0539DE-5907-44D5-BA31-7F1EE77E1A43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Шпунтовое ограждение" sheetId="5" r:id="rId1"/>
    <sheet name="ТКП" sheetId="4" state="hidden" r:id="rId2"/>
    <sheet name="выборка объемов" sheetId="1" state="hidden" r:id="rId3"/>
  </sheets>
  <definedNames>
    <definedName name="_xlnm._FilterDatabase" localSheetId="1" hidden="1">ТКП!$A$17:$K$29</definedName>
    <definedName name="_xlnm._FilterDatabase" localSheetId="0" hidden="1">'Шпунтовое ограждение'!$A$17:$K$23</definedName>
    <definedName name="_xlnm._FilterDatabase" hidden="1">#REF!</definedName>
    <definedName name="_xlnm.Print_Area" localSheetId="1">ТКП!$A$1:$K$80</definedName>
    <definedName name="_xlnm.Print_Area" localSheetId="0">'Шпунтовое ограждение'!$A$1:$K$71</definedName>
    <definedName name="привет" localSheetId="1" hidden="1">#REF!</definedName>
    <definedName name="привет" localSheetId="0" hidden="1">#REF!</definedName>
    <definedName name="привет" hidden="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5" l="1"/>
  <c r="I35" i="5"/>
  <c r="I36" i="5"/>
  <c r="G34" i="5"/>
  <c r="J34" i="5"/>
  <c r="G35" i="5"/>
  <c r="J35" i="5"/>
  <c r="J36" i="5"/>
  <c r="H34" i="5"/>
  <c r="H35" i="5"/>
  <c r="H36" i="5"/>
  <c r="I19" i="5"/>
  <c r="I20" i="5"/>
  <c r="I21" i="5"/>
  <c r="I22" i="5"/>
  <c r="I23" i="5"/>
  <c r="I27" i="5"/>
  <c r="D28" i="5"/>
  <c r="I28" i="5"/>
  <c r="I29" i="5"/>
  <c r="I30" i="5"/>
  <c r="I39" i="5"/>
  <c r="I40" i="5"/>
  <c r="I41" i="5"/>
  <c r="G19" i="5"/>
  <c r="J19" i="5"/>
  <c r="G20" i="5"/>
  <c r="J20" i="5"/>
  <c r="G21" i="5"/>
  <c r="J21" i="5"/>
  <c r="G22" i="5"/>
  <c r="J22" i="5"/>
  <c r="J23" i="5"/>
  <c r="G27" i="5"/>
  <c r="J27" i="5"/>
  <c r="G28" i="5"/>
  <c r="J28" i="5"/>
  <c r="G29" i="5"/>
  <c r="J29" i="5"/>
  <c r="J30" i="5"/>
  <c r="J39" i="5"/>
  <c r="J40" i="5"/>
  <c r="J41" i="5"/>
  <c r="H19" i="5"/>
  <c r="H20" i="5"/>
  <c r="H21" i="5"/>
  <c r="H22" i="5"/>
  <c r="H23" i="5"/>
  <c r="H27" i="5"/>
  <c r="H28" i="5"/>
  <c r="H29" i="5"/>
  <c r="H30" i="5"/>
  <c r="H39" i="5"/>
  <c r="H40" i="5"/>
  <c r="H41" i="5"/>
  <c r="J31" i="5"/>
  <c r="I31" i="5"/>
  <c r="H31" i="5"/>
  <c r="H24" i="5"/>
  <c r="H25" i="5"/>
  <c r="I37" i="5"/>
  <c r="I38" i="5"/>
  <c r="J24" i="5"/>
  <c r="J25" i="5"/>
  <c r="I24" i="5"/>
  <c r="I25" i="5"/>
  <c r="J37" i="5"/>
  <c r="J38" i="5"/>
  <c r="H37" i="5"/>
  <c r="H38" i="5"/>
  <c r="I32" i="5"/>
  <c r="J32" i="5"/>
  <c r="H32" i="5"/>
  <c r="D49" i="4"/>
  <c r="D50" i="4"/>
  <c r="D47" i="4"/>
  <c r="D37" i="4"/>
  <c r="D35" i="4"/>
  <c r="I18" i="1"/>
  <c r="C23" i="1"/>
  <c r="H44" i="4"/>
  <c r="H48" i="4"/>
  <c r="I46" i="4"/>
  <c r="H43" i="4"/>
  <c r="D38" i="4"/>
  <c r="I34" i="4"/>
  <c r="G50" i="4"/>
  <c r="G49" i="4"/>
  <c r="G48" i="4"/>
  <c r="G47" i="4"/>
  <c r="G46" i="4"/>
  <c r="G45" i="4"/>
  <c r="G44" i="4"/>
  <c r="G43" i="4"/>
  <c r="G38" i="4"/>
  <c r="G37" i="4"/>
  <c r="G36" i="4"/>
  <c r="G35" i="4"/>
  <c r="G34" i="4"/>
  <c r="G33" i="4"/>
  <c r="G32" i="4"/>
  <c r="G31" i="4"/>
  <c r="H31" i="4"/>
  <c r="J25" i="1"/>
  <c r="J26" i="1"/>
  <c r="F23" i="1"/>
  <c r="E23" i="1"/>
  <c r="D23" i="1"/>
  <c r="AB22" i="1"/>
  <c r="AA22" i="1"/>
  <c r="J22" i="1"/>
  <c r="I22" i="1"/>
  <c r="H22" i="1"/>
  <c r="G22" i="1"/>
  <c r="AB21" i="1"/>
  <c r="AA21" i="1"/>
  <c r="J21" i="1"/>
  <c r="I21" i="1"/>
  <c r="H21" i="1"/>
  <c r="G21" i="1"/>
  <c r="AB20" i="1"/>
  <c r="AA20" i="1"/>
  <c r="J20" i="1"/>
  <c r="I20" i="1"/>
  <c r="H20" i="1"/>
  <c r="G20" i="1"/>
  <c r="AB19" i="1"/>
  <c r="AA19" i="1"/>
  <c r="J19" i="1"/>
  <c r="I19" i="1"/>
  <c r="H19" i="1"/>
  <c r="G19" i="1"/>
  <c r="AB18" i="1"/>
  <c r="AA18" i="1"/>
  <c r="J18" i="1"/>
  <c r="H18" i="1"/>
  <c r="G18" i="1"/>
  <c r="J36" i="1"/>
  <c r="J37" i="1"/>
  <c r="F34" i="1"/>
  <c r="E34" i="1"/>
  <c r="D34" i="1"/>
  <c r="C34" i="1"/>
  <c r="AB33" i="1"/>
  <c r="AA33" i="1"/>
  <c r="J33" i="1"/>
  <c r="I33" i="1"/>
  <c r="H33" i="1"/>
  <c r="G33" i="1"/>
  <c r="AB32" i="1"/>
  <c r="AA32" i="1"/>
  <c r="J32" i="1"/>
  <c r="I32" i="1"/>
  <c r="H32" i="1"/>
  <c r="G32" i="1"/>
  <c r="AB31" i="1"/>
  <c r="AA31" i="1"/>
  <c r="J31" i="1"/>
  <c r="I31" i="1"/>
  <c r="H31" i="1"/>
  <c r="G31" i="1"/>
  <c r="AB30" i="1"/>
  <c r="AA30" i="1"/>
  <c r="J30" i="1"/>
  <c r="I30" i="1"/>
  <c r="H30" i="1"/>
  <c r="G30" i="1"/>
  <c r="I14" i="5"/>
  <c r="H34" i="1"/>
  <c r="J23" i="1"/>
  <c r="I44" i="4"/>
  <c r="J45" i="4"/>
  <c r="J50" i="4"/>
  <c r="J48" i="4"/>
  <c r="I48" i="4"/>
  <c r="J47" i="4"/>
  <c r="J46" i="4"/>
  <c r="I43" i="4"/>
  <c r="J43" i="4"/>
  <c r="I36" i="4"/>
  <c r="H36" i="4"/>
  <c r="H45" i="4"/>
  <c r="I31" i="4"/>
  <c r="J34" i="4"/>
  <c r="J38" i="4"/>
  <c r="I50" i="4"/>
  <c r="J31" i="4"/>
  <c r="J35" i="4"/>
  <c r="J36" i="4"/>
  <c r="J44" i="4"/>
  <c r="H46" i="4"/>
  <c r="H32" i="4"/>
  <c r="H33" i="4"/>
  <c r="J33" i="4"/>
  <c r="I33" i="4"/>
  <c r="H38" i="4"/>
  <c r="I38" i="4"/>
  <c r="I32" i="4"/>
  <c r="J32" i="4"/>
  <c r="H34" i="4"/>
  <c r="AC18" i="1"/>
  <c r="G23" i="1"/>
  <c r="H23" i="1"/>
  <c r="I23" i="1"/>
  <c r="AC30" i="1"/>
  <c r="G34" i="1"/>
  <c r="I34" i="1"/>
  <c r="J34" i="1"/>
  <c r="H50" i="4"/>
  <c r="I45" i="4"/>
  <c r="H47" i="4"/>
  <c r="I47" i="4"/>
  <c r="H35" i="4"/>
  <c r="I35" i="4"/>
  <c r="J49" i="4"/>
  <c r="J51" i="4"/>
  <c r="J52" i="4"/>
  <c r="J53" i="4"/>
  <c r="I49" i="4"/>
  <c r="H49" i="4"/>
  <c r="J37" i="4"/>
  <c r="J39" i="4"/>
  <c r="J40" i="4"/>
  <c r="J41" i="4"/>
  <c r="I37" i="4"/>
  <c r="H37" i="4"/>
  <c r="J5" i="1"/>
  <c r="J13" i="1"/>
  <c r="J14" i="1"/>
  <c r="D20" i="4"/>
  <c r="D26" i="4"/>
  <c r="I12" i="1"/>
  <c r="D22" i="4"/>
  <c r="D23" i="4"/>
  <c r="G12" i="1"/>
  <c r="C11" i="1"/>
  <c r="E11" i="1"/>
  <c r="F11" i="1"/>
  <c r="AB10" i="1"/>
  <c r="AA10" i="1"/>
  <c r="J10" i="1"/>
  <c r="I10" i="1"/>
  <c r="H10" i="1"/>
  <c r="G10" i="1"/>
  <c r="AB9" i="1"/>
  <c r="AA9" i="1"/>
  <c r="J9" i="1"/>
  <c r="I9" i="1"/>
  <c r="H9" i="1"/>
  <c r="G9" i="1"/>
  <c r="AB8" i="1"/>
  <c r="AA8" i="1"/>
  <c r="I8" i="1"/>
  <c r="H8" i="1"/>
  <c r="D8" i="1"/>
  <c r="J8" i="1"/>
  <c r="AB7" i="1"/>
  <c r="AA7" i="1"/>
  <c r="I7" i="1"/>
  <c r="H7" i="1"/>
  <c r="D7" i="1"/>
  <c r="G7" i="1"/>
  <c r="AB6" i="1"/>
  <c r="AA6" i="1"/>
  <c r="J6" i="1"/>
  <c r="I6" i="1"/>
  <c r="H6" i="1"/>
  <c r="G6" i="1"/>
  <c r="AB5" i="1"/>
  <c r="AA5" i="1"/>
  <c r="I5" i="1"/>
  <c r="H5" i="1"/>
  <c r="G5" i="1"/>
  <c r="I11" i="1"/>
  <c r="H11" i="1"/>
  <c r="AC5" i="1"/>
  <c r="G8" i="1"/>
  <c r="G11" i="1"/>
  <c r="D11" i="1"/>
  <c r="J7" i="1"/>
  <c r="J11" i="1"/>
  <c r="D19" i="4"/>
  <c r="D25" i="4"/>
  <c r="H25" i="4"/>
  <c r="G26" i="4"/>
  <c r="G25" i="4"/>
  <c r="I24" i="4"/>
  <c r="H24" i="4"/>
  <c r="G24" i="4"/>
  <c r="J24" i="4"/>
  <c r="G23" i="4"/>
  <c r="I22" i="4"/>
  <c r="H22" i="4"/>
  <c r="G22" i="4"/>
  <c r="J22" i="4"/>
  <c r="G21" i="4"/>
  <c r="G20" i="4"/>
  <c r="H19" i="4"/>
  <c r="G19" i="4"/>
  <c r="J19" i="4"/>
  <c r="I19" i="4"/>
  <c r="J25" i="4"/>
  <c r="H23" i="4"/>
  <c r="J23" i="4"/>
  <c r="I26" i="4"/>
  <c r="J26" i="4"/>
  <c r="H26" i="4"/>
  <c r="I25" i="4"/>
  <c r="I23" i="4"/>
  <c r="H20" i="4"/>
  <c r="I20" i="4"/>
  <c r="D21" i="4"/>
  <c r="J20" i="4"/>
  <c r="J21" i="4"/>
  <c r="J27" i="4"/>
  <c r="J28" i="4"/>
  <c r="J29" i="4"/>
  <c r="H21" i="4"/>
  <c r="I21" i="4"/>
  <c r="I14" i="4"/>
</calcChain>
</file>

<file path=xl/sharedStrings.xml><?xml version="1.0" encoding="utf-8"?>
<sst xmlns="http://schemas.openxmlformats.org/spreadsheetml/2006/main" count="365" uniqueCount="179">
  <si>
    <t>на единицу</t>
  </si>
  <si>
    <t>ВСЕГО</t>
  </si>
  <si>
    <t>ИТОГО</t>
  </si>
  <si>
    <t>М.П.</t>
  </si>
  <si>
    <t xml:space="preserve">Сметная стоимость </t>
  </si>
  <si>
    <t>руб.</t>
  </si>
  <si>
    <t>№ п/п</t>
  </si>
  <si>
    <t>Наименование</t>
  </si>
  <si>
    <t>Ед. изм.</t>
  </si>
  <si>
    <t xml:space="preserve">Объем </t>
  </si>
  <si>
    <t>Цена за единицу, руб. 
(в т.ч. НДС 20%)</t>
  </si>
  <si>
    <t>Общая стоимость, руб. 
(в т.ч. НДС 20%)</t>
  </si>
  <si>
    <t>Примечание</t>
  </si>
  <si>
    <t>Материалы</t>
  </si>
  <si>
    <t>СМР</t>
  </si>
  <si>
    <t>Итого</t>
  </si>
  <si>
    <t>1</t>
  </si>
  <si>
    <t>м3</t>
  </si>
  <si>
    <t>т</t>
  </si>
  <si>
    <t>2</t>
  </si>
  <si>
    <t>2.1</t>
  </si>
  <si>
    <t>4</t>
  </si>
  <si>
    <t>5</t>
  </si>
  <si>
    <t>6</t>
  </si>
  <si>
    <t>м</t>
  </si>
  <si>
    <t>шт.</t>
  </si>
  <si>
    <t>10.1</t>
  </si>
  <si>
    <t>14</t>
  </si>
  <si>
    <t xml:space="preserve">ВСЕГО затрат на выполнение полного комплекса работ </t>
  </si>
  <si>
    <t>в т.ч. НДС (20%):</t>
  </si>
  <si>
    <t>Установка в скважину арматурного каркаса</t>
  </si>
  <si>
    <t>Арматурный каркас</t>
  </si>
  <si>
    <t xml:space="preserve">Бетонирование свай </t>
  </si>
  <si>
    <t>Срубка голов свай</t>
  </si>
  <si>
    <t>Вывоз вынутого грунта с погрузкой на автомобили- самосвалы c приемом в собственность Подрядчиком</t>
  </si>
  <si>
    <t>12.4</t>
  </si>
  <si>
    <t>15.3</t>
  </si>
  <si>
    <t>10,1</t>
  </si>
  <si>
    <t>12,4</t>
  </si>
  <si>
    <t>15,3</t>
  </si>
  <si>
    <t xml:space="preserve">БНС 10.1- 25шт х 10,45м; БНС 12.4- 8шт х 12,75м; БНС 14.0*- 11шт х 14,35м; БНС 14.0- 8шт х 14,35м; БНС 15.3- 22шт х 15,65м; БНС 15.3*- 12шт х 15,65м; БНС 16.5- 51шт х 16,85м; БНС 17.5- 9шт х 17,85м; БНС 18.4- 14шт х 18,75м; БНС 19.7- 30шт х 20,05м; БНС 20.5- 24шт х 20,85м; </t>
  </si>
  <si>
    <t>бетон, м3</t>
  </si>
  <si>
    <t>труба под УЗК, м.п.</t>
  </si>
  <si>
    <t>м.п.</t>
  </si>
  <si>
    <t>общая длинна</t>
  </si>
  <si>
    <t>ТЕХНИКО-КОММЕРЧЕСКОЕ ПРЕДЛОЖЕНИЕ (ТКП)</t>
  </si>
  <si>
    <t>на объекте: «Жилой комплекс», расположенный на земельном участке с кадастровым номером 90:25:000000:2825 по адресу: Республика Крым, город Ялта, поселок городского типа Виноградное, улица Объездная дорога, земельный участок 6</t>
  </si>
  <si>
    <t>(наименование организации)</t>
  </si>
  <si>
    <t>(должность)</t>
  </si>
  <si>
    <t>(подпись)                                                                       (Фамилия И.О.)</t>
  </si>
  <si>
    <t>3</t>
  </si>
  <si>
    <t>3.1</t>
  </si>
  <si>
    <t>Всего по Разделу 1:</t>
  </si>
  <si>
    <t>"_____" __________________________2023г.</t>
  </si>
  <si>
    <t xml:space="preserve">Требования к выполнению Работ в соответствии с настоящим Приложением: </t>
  </si>
  <si>
    <t>Квалификационная и контактная информация</t>
  </si>
  <si>
    <t>Наличие авансирования, размер</t>
  </si>
  <si>
    <t>да (%) /нет</t>
  </si>
  <si>
    <t>Готовность приступить к работе по уведомлению</t>
  </si>
  <si>
    <t>да /нет</t>
  </si>
  <si>
    <t>Срок исполнения предмета тендера</t>
  </si>
  <si>
    <t>мес.</t>
  </si>
  <si>
    <t>Гарантийный срок 5 лет</t>
  </si>
  <si>
    <t>Информация о посещении объекта (были/не были), вопросы по результатам посещения</t>
  </si>
  <si>
    <t>были/не были
да/нет</t>
  </si>
  <si>
    <t>Виды работ, планируемые к выполнению субподрядными организациями</t>
  </si>
  <si>
    <t>вид работ-наименование</t>
  </si>
  <si>
    <t>Готовность подписать договор в редакции Заказчика</t>
  </si>
  <si>
    <t>да/нет</t>
  </si>
  <si>
    <t>Наличие СРО</t>
  </si>
  <si>
    <t>да (сумма) /нет</t>
  </si>
  <si>
    <t>Опыт реализации подобных видов работ за последние 2-3 года (указать не более 5 ключевых объектов и их заказчиков )</t>
  </si>
  <si>
    <t>объект/заказчик/год</t>
  </si>
  <si>
    <t>Численность работающих всего / численность, планируемая для выполнения предмета тендера</t>
  </si>
  <si>
    <t>кол-во/кол-во</t>
  </si>
  <si>
    <t>Дата регистрации компании</t>
  </si>
  <si>
    <t>дд/мм/гг</t>
  </si>
  <si>
    <t>Оборот за последние 3 года (указать оборот (выручку) по данным бухгалтерской отчетности за 2020/2021/2022 год)</t>
  </si>
  <si>
    <t>год-сумма/год-сумма/год-сумма (руб.без НДС)</t>
  </si>
  <si>
    <t>Сайт компании</t>
  </si>
  <si>
    <t>ссылка</t>
  </si>
  <si>
    <t>Генеральный директор : Ф.И.О. полностью, тел., e-mail</t>
  </si>
  <si>
    <t>Контактное лицо: Ф.И.О. полностью, тел., e-mail</t>
  </si>
  <si>
    <t>Примечание к ТКП претендента</t>
  </si>
  <si>
    <t xml:space="preserve">2020-
2021-                                                                                                                        2022 - </t>
  </si>
  <si>
    <t>Количество и технические характеристики планируемой для выполнения работ техники</t>
  </si>
  <si>
    <t>Документальное подтверждение наличия техники (право собственности, договор аренды, договор субподряда)</t>
  </si>
  <si>
    <t>Возможность выполнения работ без авансирования</t>
  </si>
  <si>
    <t>Гарантийное удержание в размере 1 % (Один) процент на срок не менее 1 (Один) года с даты ввода Объекта в эксплуатацию</t>
  </si>
  <si>
    <t>Предоставление банковской гарантии на всю сумму аванса</t>
  </si>
  <si>
    <t>обязательное требование банка</t>
  </si>
  <si>
    <t>арматура, кг</t>
  </si>
  <si>
    <t>Кол-во, 
шт</t>
  </si>
  <si>
    <t>Вид работ</t>
  </si>
  <si>
    <t>Бурение, м</t>
  </si>
  <si>
    <t>Бетон  В25, W10</t>
  </si>
  <si>
    <t>Вывоз отходов (от срубки голов свай) c приемом в собственность Подрядчиком</t>
  </si>
  <si>
    <t>Бурение скважин ø1000 мм вращательным способом под
защитой инвентарных обсадных труб</t>
  </si>
  <si>
    <t>бурение рассчитано с отметки рабочей площадки +197.0</t>
  </si>
  <si>
    <t xml:space="preserve">1. Стоимость СМР учитывает затраты на вспомогательные и сопутствующие материалы и работы, затраты на устройство площадок под складирование и перевалочных баз для материалов; на мобилизацию, аренду и эксплуатацию всех необходимых машин, механизмов, оборудования и инструментов (в том числе кранов и грузовых подъемников);подъем материалов и разноска по этажам, в т.ч. материалов и оборудования поставки Заказчика; выполнение сопутствующих работ; устройство подъездных путей, эксплуатацию мойки колес, бытовые помещения, биотуалеты, освещение зоны производства работ, установку предупредительных знаков, охрану ;оплата испытаний и замеров, необходимых для производства, подтверждения качества и сдачи результатов работ, подготовка и передача Заказчику результатов таких испытаний; сохранение результата работ до момента окончательной приёмки Заказчиком; подготовку и согласование ППР, подготовку и передачу Заказчику/Генеральному Подрядчику полного комплекта исполнительной и технической документации, оформленной надлежащим образом и подписанной у заинтересованных лиц, а так же иной документации, согласно строительных норм; мероприятия, необходимые для комплексной сдачи работ; Комплексная сдача работ (предъявление результата работ Генеральному Подрядчику/Подрядчикам, выполняющим последующие виды работ на предоставленном фронте работ); на обеспечение необходимых мероприятий по охране труда, промышленной безопасности, технике безопасности, пожарной безопасности, электробезопасности, по охране окружающей среды, зеленых насаждений, земли и водных ресурсов; а так же накладные расходы, прибыль организации, налоги и иные издержки Подрядчика.
Стоимость материалов учитывает стоимость всех основных материалов с учетом доставки на Объект. Генеральный Подрядчик вправе указать Подрядчику поставщика  материалов (для обеспечения строительства полностью или частично). В таком случае Подрядчик обязан заключить договор на поставку Материалов с Поставщиком, указанным Генеральным Подрядчиком с соответствующей корректировкой общей стоимости.           
2.  Стоимость основных материалов и СМР на период производства работ является фиксированной.      
3.  Нормы расхода являются фиксированными и изменению не подлежат. Расход материала сверх норм необходимо учесть в СМР. </t>
  </si>
  <si>
    <t>БНС 100-12</t>
  </si>
  <si>
    <t>БНС 100-12а</t>
  </si>
  <si>
    <t>БНС 100-12б</t>
  </si>
  <si>
    <t>БНС 100-12в</t>
  </si>
  <si>
    <t>БНС 100-16</t>
  </si>
  <si>
    <t>БНС 100-16а</t>
  </si>
  <si>
    <t>вес на 1 мп</t>
  </si>
  <si>
    <t>тонн</t>
  </si>
  <si>
    <t>в объеме металла учтена труба для УЗК 63,5х3мм, длиной 547,2м, весом 2,8345т</t>
  </si>
  <si>
    <t>БНС 100-16б</t>
  </si>
  <si>
    <t>Корпус 5</t>
  </si>
  <si>
    <t>Корпус 3</t>
  </si>
  <si>
    <t>Корпус 4</t>
  </si>
  <si>
    <t>Корпуса 3, 4, 5. Свайное поле</t>
  </si>
  <si>
    <t>в объеме металла учтена труба для УЗК 63,5х3мм, длиной 369,1м, весом 1,91194т</t>
  </si>
  <si>
    <t>Шифр проектов:  234-З-КЖ-00 (рев.В), 234-4-КЖ-00 (рев.А), 234-5-КЖ-00 (рев.А)</t>
  </si>
  <si>
    <r>
      <t>Раздел 1.Корпус 3. Сваи буронабивные диаметром 1000мм (</t>
    </r>
    <r>
      <rPr>
        <sz val="10"/>
        <color theme="1"/>
        <rFont val="Arial Narrow"/>
        <family val="2"/>
        <charset val="204"/>
      </rPr>
      <t>БНС-100-12 - 72шт; БНС-100-12а - 2шт; БНС100-12б - 3шт; БНС100-12в 6шт; БНС100-16- 4шт; БНС100-16а - 2шт</t>
    </r>
    <r>
      <rPr>
        <b/>
        <sz val="10"/>
        <color theme="1"/>
        <rFont val="Arial Narrow"/>
        <family val="2"/>
        <charset val="204"/>
      </rPr>
      <t>) Всего: 89  шт.</t>
    </r>
  </si>
  <si>
    <r>
      <t>Раздел 2. Корпус 4. Сваи буронабивные диаметром 1000мм (</t>
    </r>
    <r>
      <rPr>
        <sz val="10"/>
        <color theme="1"/>
        <rFont val="Arial Narrow"/>
        <family val="2"/>
        <charset val="204"/>
      </rPr>
      <t>БНС-100-12 - 18шт; БНС-100-12а - 6шт; БНС100-16 - 40шт; БНС100-16а -5шт; БНС100-16б- 7шт</t>
    </r>
    <r>
      <rPr>
        <b/>
        <sz val="10"/>
        <color theme="1"/>
        <rFont val="Arial Narrow"/>
        <family val="2"/>
        <charset val="204"/>
      </rPr>
      <t>) Всего: 76  шт.</t>
    </r>
  </si>
  <si>
    <r>
      <t>Раздел 3. Корпус 5. Сваи буронабивные диаметром 1000мм (</t>
    </r>
    <r>
      <rPr>
        <sz val="10"/>
        <color theme="1"/>
        <rFont val="Arial Narrow"/>
        <family val="2"/>
        <charset val="204"/>
      </rPr>
      <t>БНС-100-12 - 22шт; БНС100-16 - 59шт; БНС100-16а -9шт; БНС100-16б- 7шт</t>
    </r>
    <r>
      <rPr>
        <b/>
        <sz val="10"/>
        <color theme="1"/>
        <rFont val="Arial Narrow"/>
        <family val="2"/>
        <charset val="204"/>
      </rPr>
      <t>) Всего: 97  шт.</t>
    </r>
  </si>
  <si>
    <t>Всего по Разделу 3:</t>
  </si>
  <si>
    <t>Всего по Разделу 2:</t>
  </si>
  <si>
    <t>7</t>
  </si>
  <si>
    <t>8</t>
  </si>
  <si>
    <t>8.1</t>
  </si>
  <si>
    <t>9</t>
  </si>
  <si>
    <t>9.1</t>
  </si>
  <si>
    <t>10</t>
  </si>
  <si>
    <t>11</t>
  </si>
  <si>
    <t>12</t>
  </si>
  <si>
    <t>13</t>
  </si>
  <si>
    <t>14.1</t>
  </si>
  <si>
    <t>15</t>
  </si>
  <si>
    <t>15.1</t>
  </si>
  <si>
    <t>16</t>
  </si>
  <si>
    <t>17</t>
  </si>
  <si>
    <t>18</t>
  </si>
  <si>
    <t>в объеме металла учтена труба для УЗК 63,5х3мм, длиной 519,4м, весом 2,69т</t>
  </si>
  <si>
    <t xml:space="preserve">Цена за единицу, руб. </t>
  </si>
  <si>
    <t xml:space="preserve">Общая стоимость, руб. </t>
  </si>
  <si>
    <t>Всего с НДС по Разделу 1:</t>
  </si>
  <si>
    <t>Сметная стоимость с НДС</t>
  </si>
  <si>
    <t>НДС 20%</t>
  </si>
  <si>
    <t>ВСЕГО с НДС за полный комплекс работ:</t>
  </si>
  <si>
    <t>на объекте: ЖК «Новая Ливадия», «Жилой комплекс», расположенный на земельном участке с кадастровым номером 90:25:000000:2825. Этап 2» по адресу: Республика Крым, город Ялта, поселок городского типа Виноградное, улица Объездная дорога, земельный участок 6.</t>
  </si>
  <si>
    <t>"_____" __________________________2024г.</t>
  </si>
  <si>
    <t>Оборот за последние 3 года (указать оборот (выручку) по данным бухгалтерской отчетности за 2021/2022/2023 год)</t>
  </si>
  <si>
    <t>Арматура</t>
  </si>
  <si>
    <t>т.</t>
  </si>
  <si>
    <t>1.1</t>
  </si>
  <si>
    <t>Бетон В25, W10</t>
  </si>
  <si>
    <t>Раздел 2. Балки (БМ)</t>
  </si>
  <si>
    <t>Устройство монолитных балок</t>
  </si>
  <si>
    <t>Всего с НДС по Разделу 2</t>
  </si>
  <si>
    <t>Всего с НДС по Разделу 3:</t>
  </si>
  <si>
    <t>1.2</t>
  </si>
  <si>
    <t xml:space="preserve">Шифр проектов:  234-0-К3 (ревD) </t>
  </si>
  <si>
    <t>Устройство микросвай МБ-73х11-12, 12м/шт (с учетом материалов)</t>
  </si>
  <si>
    <t>1.3</t>
  </si>
  <si>
    <t>1.4</t>
  </si>
  <si>
    <t>Устройство микросвай МБ-73х11-10,5, 10,5м/шт (с учетом материалов)</t>
  </si>
  <si>
    <t>Устройство микросвай МБ-73х11-9, 9м/шт (с учетом материалов)</t>
  </si>
  <si>
    <t>Устройство микросвай МБ-73х11-7,5, 7,5м/шт (с учетом материалов)</t>
  </si>
  <si>
    <t>Устройство инъекционного анкера А-57х8-12, 12м/шт (с учетом материалов)</t>
  </si>
  <si>
    <t>Устройство инъекционного анкера А-57х8-9, 9м/шт (с учетом материалов)</t>
  </si>
  <si>
    <t>Раздел 3. Анкера инъекционные (А-57х8-12 - 10 шт.; А-57х8-9 - 7 шт.). Всего - 17 шт.</t>
  </si>
  <si>
    <t>2.1.1</t>
  </si>
  <si>
    <t>2.1.2</t>
  </si>
  <si>
    <t>3.2</t>
  </si>
  <si>
    <t>да (%)/нет</t>
  </si>
  <si>
    <t xml:space="preserve">Оформление страхования риска возникновения ответственности по обязательствам, возникающим вследствие причинения вреда третьим лицам (включая ответственность за вред жизни и здоровью). </t>
  </si>
  <si>
    <t>Гарантийное удержание в размере 5 % (пять) процентов. (Возврат 4% в течении 1 месяца с даты окончания полного комплекса работ по ТКП; оставшегося 1%- по истечению 1 года с даты ввода Объекта в эксплуатацию.)</t>
  </si>
  <si>
    <t>Готовность выполнить часть комплекса</t>
  </si>
  <si>
    <t>да (1/3; 2/3) /нет</t>
  </si>
  <si>
    <t>Готовность открытия расчетного счета в ПАО "МОСКОВСКИЙ КРЕДИТНЫЙ БАНК", при стоимости работ по договору более 500 млн.руб.</t>
  </si>
  <si>
    <t xml:space="preserve">2021-
2022 -                                                                                                                        2023 - </t>
  </si>
  <si>
    <t xml:space="preserve">
1. Стоимость СМР учитывает затраты на вспомогательные и сопутствующие материалы и работы, затраты на устройство площадок под складирование и перевалочных баз для материалов; на мобилизацию, аренду и эксплуатацию всех необходимых машин, механизмов, оборудования и инструментов (в том числе кранов и грузовых подъемников);подъем материалов и разноска по этажам, в т.ч. материалов и оборудования поставки Заказчика; выполнение сопутствующих работ; устройство подъездных путей, эксплуатацию мойки колес, бытовые помещения, биотуалеты, освещение зоны производства работ, установку предупредительных знаков, охрану ;оплата испытаний и замеров, необходимых для производства, подтверждения качества и сдачи результатов работ, подготовка и передача Заказчику результатов таких испытаний; сохранение результата работ до момента окончательной приёмки Заказчиком; подготовку и согласование ППР, подготовку и передачу Заказчику/Генеральному Подрядчику полного комплекта исполнительной и технической документации, оформленной надлежащим образом и подписанной у заинтересованных лиц, а так же иной документации, согласно строительных норм; мероприятия, необходимые для комплексной сдачи работ; Комплексная сдача работ (предъявление результата работ Генеральному Подрядчику/Подрядчикам, выполняющим последующие виды работ на предоставленном фронте работ); на обеспечение необходимых мероприятий по охране труда, промышленной безопасности, технике безопасности, пожарной безопасности, электробезопасности, по охране окружающей среды, зеленых насаждений, земли и водных ресурсов; а так же накладные расходы, прибыль организации, налоги и иные издержки Подрядчика.
Стоимость материалов учитывает стоимость всех основных материалов с учетом доставки на Объект. Генеральный Подрядчик вправе указать Подрядчику поставщика  материалов (для обеспечения строительства полностью или частично). В таком случае Подрядчик обязан заключить договор на поставку Материалов с Поставщиком, указанным Генеральным Подрядчиком с соответствующей корректировкой общей стоимости.          
2.  Стоимость  СМР на период производства работ является фиксированной.      
3.  Нормы расхода являются фиксированными и изменению не подлежат. Расход материала сверх норм необходимо учесть в СМР. </t>
  </si>
  <si>
    <t>Конструкции ограждения котлована корпусов 1,2. Микросваи.</t>
  </si>
  <si>
    <t>ВСЕГО:</t>
  </si>
  <si>
    <t xml:space="preserve">Раздел 1. Микросваи (МБ-73х11-12 - 40 шт.; МБ-73х11-10,5 - 20 шт.; МБ-73х11-9 - 52 шт.; МБ-73х11-7,5 - 58 шт.;  Всего - 170 шт.)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</si>
</sst>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#,##0.0"/>
    <numFmt numFmtId="166" formatCode="#,##0.000"/>
    <numFmt numFmtId="167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0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8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0" fontId="10" fillId="0" borderId="0"/>
    <xf numFmtId="43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</cellStyleXfs>
  <cellXfs count="283">
    <xf numFmtId="0" fontId="0" fillId="0" borderId="0" xfId="0"/>
    <xf numFmtId="165" fontId="3" fillId="3" borderId="1" xfId="0" applyNumberFormat="1" applyFont="1" applyFill="1" applyBorder="1"/>
    <xf numFmtId="1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2" fontId="5" fillId="0" borderId="0" xfId="2" applyNumberFormat="1" applyFont="1" applyAlignment="1">
      <alignment vertical="center"/>
    </xf>
    <xf numFmtId="4" fontId="5" fillId="0" borderId="0" xfId="1" applyNumberFormat="1" applyFont="1"/>
    <xf numFmtId="164" fontId="5" fillId="0" borderId="0" xfId="2" applyFont="1"/>
    <xf numFmtId="2" fontId="7" fillId="0" borderId="0" xfId="2" applyNumberFormat="1" applyFont="1" applyFill="1" applyBorder="1" applyAlignment="1">
      <alignment horizontal="center" vertical="center"/>
    </xf>
    <xf numFmtId="1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2" fontId="7" fillId="0" borderId="0" xfId="2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164" fontId="9" fillId="0" borderId="1" xfId="2" applyFont="1" applyFill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 wrapText="1"/>
    </xf>
    <xf numFmtId="0" fontId="5" fillId="5" borderId="1" xfId="1" applyFont="1" applyFill="1" applyBorder="1"/>
    <xf numFmtId="0" fontId="5" fillId="5" borderId="0" xfId="1" applyFont="1" applyFill="1"/>
    <xf numFmtId="49" fontId="9" fillId="0" borderId="1" xfId="1" applyNumberFormat="1" applyFont="1" applyBorder="1" applyAlignment="1">
      <alignment horizontal="center" vertical="center" wrapText="1"/>
    </xf>
    <xf numFmtId="2" fontId="11" fillId="0" borderId="10" xfId="5" applyNumberFormat="1" applyFont="1" applyBorder="1" applyAlignment="1">
      <alignment horizontal="center" vertical="center" shrinkToFit="1"/>
    </xf>
    <xf numFmtId="164" fontId="9" fillId="6" borderId="1" xfId="2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2" fontId="9" fillId="4" borderId="1" xfId="2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 wrapText="1"/>
    </xf>
    <xf numFmtId="4" fontId="9" fillId="4" borderId="1" xfId="1" applyNumberFormat="1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4" fontId="9" fillId="0" borderId="0" xfId="1" applyNumberFormat="1" applyFont="1" applyAlignment="1">
      <alignment horizontal="center" vertical="center" wrapText="1"/>
    </xf>
    <xf numFmtId="164" fontId="9" fillId="0" borderId="0" xfId="2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justify"/>
    </xf>
    <xf numFmtId="2" fontId="6" fillId="0" borderId="0" xfId="2" applyNumberFormat="1" applyFont="1" applyAlignment="1">
      <alignment vertical="center"/>
    </xf>
    <xf numFmtId="4" fontId="6" fillId="0" borderId="0" xfId="1" applyNumberFormat="1" applyFont="1" applyAlignment="1">
      <alignment vertical="justify"/>
    </xf>
    <xf numFmtId="164" fontId="7" fillId="0" borderId="0" xfId="2" applyFont="1" applyAlignment="1">
      <alignment horizontal="left" vertical="center" wrapText="1"/>
    </xf>
    <xf numFmtId="49" fontId="9" fillId="5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Alignment="1">
      <alignment horizontal="right" vertical="center" wrapText="1"/>
    </xf>
    <xf numFmtId="0" fontId="0" fillId="0" borderId="0" xfId="0" applyNumberFormat="1"/>
    <xf numFmtId="49" fontId="0" fillId="0" borderId="0" xfId="0" applyNumberFormat="1"/>
    <xf numFmtId="2" fontId="11" fillId="0" borderId="10" xfId="5" applyNumberFormat="1" applyFont="1" applyFill="1" applyBorder="1" applyAlignment="1">
      <alignment horizontal="center" vertical="center" shrinkToFit="1"/>
    </xf>
    <xf numFmtId="0" fontId="9" fillId="0" borderId="10" xfId="5" applyFont="1" applyFill="1" applyBorder="1" applyAlignment="1">
      <alignment horizontal="left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9" fillId="0" borderId="11" xfId="5" applyFont="1" applyFill="1" applyBorder="1" applyAlignment="1">
      <alignment horizontal="left" vertical="center" wrapText="1"/>
    </xf>
    <xf numFmtId="0" fontId="9" fillId="0" borderId="11" xfId="5" applyFont="1" applyFill="1" applyBorder="1" applyAlignment="1">
      <alignment horizontal="center" vertical="center" wrapText="1"/>
    </xf>
    <xf numFmtId="1" fontId="7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7" fillId="0" borderId="0" xfId="1" applyNumberFormat="1" applyFont="1" applyFill="1" applyAlignment="1">
      <alignment horizontal="center" vertical="center"/>
    </xf>
    <xf numFmtId="0" fontId="6" fillId="0" borderId="0" xfId="3" applyFont="1" applyFill="1" applyAlignment="1">
      <alignment horizontal="right"/>
    </xf>
    <xf numFmtId="164" fontId="5" fillId="0" borderId="0" xfId="2" applyFont="1" applyFill="1" applyAlignment="1">
      <alignment horizontal="right"/>
    </xf>
    <xf numFmtId="0" fontId="5" fillId="0" borderId="0" xfId="1" applyFont="1" applyFill="1"/>
    <xf numFmtId="1" fontId="9" fillId="0" borderId="0" xfId="1" applyNumberFormat="1" applyFont="1" applyFill="1" applyAlignment="1">
      <alignment horizontal="center" vertical="center"/>
    </xf>
    <xf numFmtId="0" fontId="5" fillId="0" borderId="0" xfId="3" applyFont="1" applyFill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0" fillId="3" borderId="1" xfId="0" applyFill="1" applyBorder="1"/>
    <xf numFmtId="49" fontId="19" fillId="0" borderId="1" xfId="1" applyNumberFormat="1" applyFont="1" applyBorder="1" applyAlignment="1">
      <alignment horizontal="center" vertical="center" wrapText="1"/>
    </xf>
    <xf numFmtId="0" fontId="20" fillId="5" borderId="0" xfId="1" applyFont="1" applyFill="1"/>
    <xf numFmtId="49" fontId="19" fillId="5" borderId="1" xfId="1" applyNumberFormat="1" applyFont="1" applyFill="1" applyBorder="1" applyAlignment="1">
      <alignment horizontal="center" vertical="center" wrapText="1"/>
    </xf>
    <xf numFmtId="0" fontId="19" fillId="0" borderId="10" xfId="5" applyFont="1" applyFill="1" applyBorder="1" applyAlignment="1">
      <alignment horizontal="right" vertical="center" wrapText="1"/>
    </xf>
    <xf numFmtId="164" fontId="7" fillId="0" borderId="1" xfId="2" applyFont="1" applyFill="1" applyBorder="1" applyAlignment="1">
      <alignment horizontal="center" vertical="center" wrapText="1"/>
    </xf>
    <xf numFmtId="0" fontId="6" fillId="5" borderId="1" xfId="1" applyFont="1" applyFill="1" applyBorder="1"/>
    <xf numFmtId="0" fontId="6" fillId="5" borderId="0" xfId="1" applyFont="1" applyFill="1"/>
    <xf numFmtId="49" fontId="9" fillId="5" borderId="5" xfId="1" applyNumberFormat="1" applyFont="1" applyFill="1" applyBorder="1" applyAlignment="1">
      <alignment horizontal="center" vertical="center" wrapText="1"/>
    </xf>
    <xf numFmtId="2" fontId="11" fillId="0" borderId="11" xfId="5" applyNumberFormat="1" applyFont="1" applyBorder="1" applyAlignment="1">
      <alignment horizontal="center" vertical="center" shrinkToFit="1"/>
    </xf>
    <xf numFmtId="164" fontId="9" fillId="0" borderId="5" xfId="2" applyFont="1" applyFill="1" applyBorder="1" applyAlignment="1">
      <alignment horizontal="center" vertical="center" wrapText="1"/>
    </xf>
    <xf numFmtId="164" fontId="9" fillId="6" borderId="5" xfId="2" applyFont="1" applyFill="1" applyBorder="1" applyAlignment="1">
      <alignment horizontal="center" vertical="center" wrapText="1"/>
    </xf>
    <xf numFmtId="0" fontId="5" fillId="5" borderId="5" xfId="1" applyFont="1" applyFill="1" applyBorder="1"/>
    <xf numFmtId="49" fontId="7" fillId="5" borderId="1" xfId="1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right" vertical="center" wrapText="1"/>
    </xf>
    <xf numFmtId="0" fontId="7" fillId="0" borderId="1" xfId="5" applyFont="1" applyFill="1" applyBorder="1" applyAlignment="1">
      <alignment horizontal="center" vertical="center" wrapText="1"/>
    </xf>
    <xf numFmtId="2" fontId="21" fillId="0" borderId="1" xfId="5" applyNumberFormat="1" applyFont="1" applyBorder="1" applyAlignment="1">
      <alignment horizontal="center" vertical="center" shrinkToFit="1"/>
    </xf>
    <xf numFmtId="0" fontId="6" fillId="0" borderId="0" xfId="3" applyFont="1" applyFill="1" applyBorder="1" applyAlignment="1"/>
    <xf numFmtId="0" fontId="6" fillId="0" borderId="0" xfId="3" applyFont="1" applyFill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2" fontId="23" fillId="0" borderId="0" xfId="6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3" fontId="23" fillId="0" borderId="0" xfId="6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8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Border="1"/>
    <xf numFmtId="0" fontId="27" fillId="0" borderId="0" xfId="0" applyFont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8" borderId="23" xfId="0" applyFont="1" applyFill="1" applyBorder="1" applyAlignment="1">
      <alignment horizontal="center" vertical="center" wrapText="1"/>
    </xf>
    <xf numFmtId="0" fontId="25" fillId="8" borderId="26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165" fontId="3" fillId="3" borderId="1" xfId="0" applyNumberFormat="1" applyFont="1" applyFill="1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0" fontId="0" fillId="0" borderId="0" xfId="0" applyFill="1"/>
    <xf numFmtId="3" fontId="3" fillId="3" borderId="1" xfId="0" applyNumberFormat="1" applyFont="1" applyFill="1" applyBorder="1" applyAlignment="1">
      <alignment horizontal="center" wrapText="1"/>
    </xf>
    <xf numFmtId="1" fontId="11" fillId="0" borderId="10" xfId="5" applyNumberFormat="1" applyFont="1" applyBorder="1" applyAlignment="1">
      <alignment horizontal="center" vertical="center" shrinkToFit="1"/>
    </xf>
    <xf numFmtId="0" fontId="6" fillId="5" borderId="1" xfId="1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30" fillId="0" borderId="1" xfId="0" applyFont="1" applyBorder="1" applyAlignment="1">
      <alignment wrapText="1"/>
    </xf>
    <xf numFmtId="166" fontId="0" fillId="11" borderId="9" xfId="0" applyNumberFormat="1" applyFill="1" applyBorder="1" applyAlignment="1">
      <alignment wrapText="1"/>
    </xf>
    <xf numFmtId="167" fontId="11" fillId="0" borderId="10" xfId="5" applyNumberFormat="1" applyFont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right" wrapText="1"/>
    </xf>
    <xf numFmtId="166" fontId="3" fillId="3" borderId="1" xfId="0" applyNumberFormat="1" applyFont="1" applyFill="1" applyBorder="1" applyAlignment="1">
      <alignment horizontal="right" wrapText="1"/>
    </xf>
    <xf numFmtId="3" fontId="3" fillId="3" borderId="1" xfId="0" applyNumberFormat="1" applyFont="1" applyFill="1" applyBorder="1" applyAlignment="1">
      <alignment horizontal="right" wrapText="1"/>
    </xf>
    <xf numFmtId="0" fontId="0" fillId="11" borderId="1" xfId="0" applyFill="1" applyBorder="1" applyAlignment="1">
      <alignment wrapText="1"/>
    </xf>
    <xf numFmtId="0" fontId="28" fillId="0" borderId="0" xfId="0" applyFont="1"/>
    <xf numFmtId="0" fontId="0" fillId="12" borderId="0" xfId="0" applyFill="1"/>
    <xf numFmtId="0" fontId="9" fillId="0" borderId="10" xfId="5" applyFont="1" applyBorder="1" applyAlignment="1">
      <alignment horizontal="left" vertical="center" wrapText="1"/>
    </xf>
    <xf numFmtId="0" fontId="9" fillId="0" borderId="10" xfId="5" applyFont="1" applyBorder="1" applyAlignment="1">
      <alignment horizontal="center" vertical="center" wrapText="1"/>
    </xf>
    <xf numFmtId="0" fontId="19" fillId="0" borderId="10" xfId="5" applyFont="1" applyBorder="1" applyAlignment="1">
      <alignment horizontal="right" vertical="center" wrapText="1"/>
    </xf>
    <xf numFmtId="0" fontId="9" fillId="0" borderId="11" xfId="5" applyFont="1" applyBorder="1" applyAlignment="1">
      <alignment horizontal="left" vertical="center" wrapText="1"/>
    </xf>
    <xf numFmtId="0" fontId="9" fillId="0" borderId="1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right" vertical="center" wrapText="1"/>
    </xf>
    <xf numFmtId="0" fontId="7" fillId="0" borderId="1" xfId="5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5" fillId="5" borderId="0" xfId="1" applyNumberFormat="1" applyFont="1" applyFill="1"/>
    <xf numFmtId="167" fontId="5" fillId="5" borderId="0" xfId="1" applyNumberFormat="1" applyFont="1" applyFill="1"/>
    <xf numFmtId="49" fontId="7" fillId="13" borderId="1" xfId="7" applyNumberFormat="1" applyFont="1" applyFill="1" applyBorder="1" applyAlignment="1">
      <alignment horizontal="center" vertical="center" wrapText="1"/>
    </xf>
    <xf numFmtId="0" fontId="7" fillId="13" borderId="1" xfId="5" applyFont="1" applyFill="1" applyBorder="1" applyAlignment="1">
      <alignment horizontal="right" vertical="center" wrapText="1"/>
    </xf>
    <xf numFmtId="0" fontId="7" fillId="13" borderId="1" xfId="5" applyFont="1" applyFill="1" applyBorder="1" applyAlignment="1">
      <alignment horizontal="center" vertical="center" wrapText="1"/>
    </xf>
    <xf numFmtId="43" fontId="9" fillId="13" borderId="1" xfId="6" applyFont="1" applyFill="1" applyBorder="1" applyAlignment="1">
      <alignment horizontal="center" vertical="center" shrinkToFit="1"/>
    </xf>
    <xf numFmtId="164" fontId="9" fillId="13" borderId="1" xfId="8" applyFont="1" applyFill="1" applyBorder="1" applyAlignment="1">
      <alignment horizontal="center" vertical="center" wrapText="1"/>
    </xf>
    <xf numFmtId="164" fontId="7" fillId="13" borderId="1" xfId="8" applyFont="1" applyFill="1" applyBorder="1" applyAlignment="1">
      <alignment horizontal="center" vertical="center" wrapText="1"/>
    </xf>
    <xf numFmtId="0" fontId="7" fillId="13" borderId="1" xfId="7" applyFont="1" applyFill="1" applyBorder="1"/>
    <xf numFmtId="0" fontId="6" fillId="13" borderId="0" xfId="7" applyFont="1" applyFill="1"/>
    <xf numFmtId="49" fontId="7" fillId="5" borderId="1" xfId="7" applyNumberFormat="1" applyFont="1" applyFill="1" applyBorder="1" applyAlignment="1">
      <alignment horizontal="center" vertical="center" wrapText="1"/>
    </xf>
    <xf numFmtId="43" fontId="9" fillId="0" borderId="1" xfId="6" applyFont="1" applyFill="1" applyBorder="1" applyAlignment="1">
      <alignment horizontal="center" vertical="center" shrinkToFit="1"/>
    </xf>
    <xf numFmtId="164" fontId="9" fillId="0" borderId="1" xfId="8" applyFont="1" applyFill="1" applyBorder="1" applyAlignment="1">
      <alignment horizontal="center" vertical="center" wrapText="1"/>
    </xf>
    <xf numFmtId="0" fontId="7" fillId="5" borderId="1" xfId="7" applyFont="1" applyFill="1" applyBorder="1"/>
    <xf numFmtId="0" fontId="6" fillId="5" borderId="0" xfId="7" applyFont="1" applyFill="1"/>
    <xf numFmtId="164" fontId="7" fillId="0" borderId="1" xfId="8" applyFont="1" applyFill="1" applyBorder="1" applyAlignment="1">
      <alignment horizontal="center" vertical="center" wrapText="1"/>
    </xf>
    <xf numFmtId="49" fontId="7" fillId="6" borderId="1" xfId="7" applyNumberFormat="1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43" fontId="9" fillId="6" borderId="1" xfId="6" applyFont="1" applyFill="1" applyBorder="1" applyAlignment="1">
      <alignment horizontal="center" vertical="center" shrinkToFit="1"/>
    </xf>
    <xf numFmtId="164" fontId="9" fillId="6" borderId="1" xfId="8" applyFont="1" applyFill="1" applyBorder="1" applyAlignment="1">
      <alignment horizontal="center" vertical="center" wrapText="1"/>
    </xf>
    <xf numFmtId="164" fontId="7" fillId="6" borderId="1" xfId="8" applyFont="1" applyFill="1" applyBorder="1" applyAlignment="1">
      <alignment horizontal="center" vertical="center" wrapText="1"/>
    </xf>
    <xf numFmtId="0" fontId="7" fillId="6" borderId="1" xfId="7" applyFont="1" applyFill="1" applyBorder="1"/>
    <xf numFmtId="0" fontId="5" fillId="0" borderId="0" xfId="7" applyFont="1"/>
    <xf numFmtId="49" fontId="9" fillId="0" borderId="1" xfId="7" applyNumberFormat="1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2" fontId="9" fillId="0" borderId="1" xfId="5" applyNumberFormat="1" applyFont="1" applyBorder="1" applyAlignment="1">
      <alignment horizontal="center" vertical="center" shrinkToFit="1"/>
    </xf>
    <xf numFmtId="0" fontId="9" fillId="5" borderId="1" xfId="7" applyFont="1" applyFill="1" applyBorder="1"/>
    <xf numFmtId="0" fontId="5" fillId="5" borderId="0" xfId="7" applyFont="1" applyFill="1"/>
    <xf numFmtId="0" fontId="9" fillId="0" borderId="1" xfId="5" applyFont="1" applyBorder="1" applyAlignment="1">
      <alignment horizontal="right" vertical="center" wrapText="1"/>
    </xf>
    <xf numFmtId="43" fontId="7" fillId="13" borderId="1" xfId="6" applyFont="1" applyFill="1" applyBorder="1" applyAlignment="1">
      <alignment horizontal="center" vertical="center" shrinkToFit="1"/>
    </xf>
    <xf numFmtId="43" fontId="7" fillId="0" borderId="1" xfId="6" applyFont="1" applyFill="1" applyBorder="1" applyAlignment="1">
      <alignment horizontal="center" vertical="center" shrinkToFit="1"/>
    </xf>
    <xf numFmtId="0" fontId="26" fillId="8" borderId="16" xfId="0" applyFont="1" applyFill="1" applyBorder="1"/>
    <xf numFmtId="0" fontId="27" fillId="8" borderId="24" xfId="0" applyFont="1" applyFill="1" applyBorder="1" applyAlignment="1">
      <alignment horizontal="center" vertical="center" wrapText="1"/>
    </xf>
    <xf numFmtId="0" fontId="25" fillId="8" borderId="23" xfId="0" applyFont="1" applyFill="1" applyBorder="1" applyAlignment="1">
      <alignment horizontal="left" vertical="center" wrapText="1"/>
    </xf>
    <xf numFmtId="0" fontId="26" fillId="8" borderId="13" xfId="0" applyFont="1" applyFill="1" applyBorder="1"/>
    <xf numFmtId="0" fontId="25" fillId="8" borderId="34" xfId="0" applyFont="1" applyFill="1" applyBorder="1" applyAlignment="1">
      <alignment horizontal="center" vertical="center" wrapText="1"/>
    </xf>
    <xf numFmtId="0" fontId="25" fillId="8" borderId="35" xfId="0" applyFont="1" applyFill="1" applyBorder="1" applyAlignment="1">
      <alignment horizontal="center" vertical="center" wrapText="1"/>
    </xf>
    <xf numFmtId="0" fontId="25" fillId="8" borderId="36" xfId="0" applyFont="1" applyFill="1" applyBorder="1" applyAlignment="1">
      <alignment horizontal="center" vertical="center" wrapText="1"/>
    </xf>
    <xf numFmtId="0" fontId="25" fillId="8" borderId="37" xfId="0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8" borderId="39" xfId="0" applyFont="1" applyFill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1" fontId="5" fillId="0" borderId="0" xfId="7" applyNumberFormat="1" applyFont="1" applyAlignment="1">
      <alignment horizontal="center" vertical="center"/>
    </xf>
    <xf numFmtId="0" fontId="6" fillId="0" borderId="0" xfId="7" applyFont="1" applyAlignment="1">
      <alignment vertical="justify"/>
    </xf>
    <xf numFmtId="0" fontId="6" fillId="0" borderId="0" xfId="7" applyFont="1" applyAlignment="1">
      <alignment horizontal="center" vertical="center"/>
    </xf>
    <xf numFmtId="4" fontId="6" fillId="0" borderId="0" xfId="6" applyNumberFormat="1" applyFont="1" applyFill="1" applyAlignment="1">
      <alignment vertical="center"/>
    </xf>
    <xf numFmtId="164" fontId="6" fillId="0" borderId="0" xfId="7" applyNumberFormat="1" applyFont="1" applyAlignment="1">
      <alignment vertical="justify"/>
    </xf>
    <xf numFmtId="4" fontId="6" fillId="0" borderId="0" xfId="7" applyNumberFormat="1" applyFont="1" applyAlignment="1">
      <alignment vertical="justify"/>
    </xf>
    <xf numFmtId="164" fontId="5" fillId="0" borderId="0" xfId="8" applyFont="1"/>
    <xf numFmtId="0" fontId="5" fillId="0" borderId="0" xfId="7" applyFont="1" applyAlignment="1">
      <alignment horizontal="center" vertical="center"/>
    </xf>
    <xf numFmtId="4" fontId="5" fillId="0" borderId="0" xfId="6" applyNumberFormat="1" applyFont="1" applyFill="1" applyAlignment="1">
      <alignment vertical="center"/>
    </xf>
    <xf numFmtId="4" fontId="5" fillId="0" borderId="0" xfId="7" applyNumberFormat="1" applyFont="1"/>
    <xf numFmtId="4" fontId="23" fillId="0" borderId="0" xfId="6" applyNumberFormat="1" applyFont="1" applyFill="1" applyAlignment="1">
      <alignment horizontal="center" vertical="center"/>
    </xf>
    <xf numFmtId="4" fontId="8" fillId="0" borderId="0" xfId="6" applyNumberFormat="1" applyFont="1" applyFill="1" applyAlignment="1">
      <alignment vertical="top" wrapText="1"/>
    </xf>
    <xf numFmtId="0" fontId="26" fillId="8" borderId="42" xfId="0" applyFont="1" applyFill="1" applyBorder="1"/>
    <xf numFmtId="0" fontId="6" fillId="0" borderId="0" xfId="7" applyFont="1"/>
    <xf numFmtId="0" fontId="25" fillId="0" borderId="20" xfId="0" applyFont="1" applyBorder="1" applyAlignment="1">
      <alignment horizontal="center" vertical="center" wrapText="1"/>
    </xf>
    <xf numFmtId="0" fontId="26" fillId="0" borderId="21" xfId="0" applyFont="1" applyBorder="1"/>
    <xf numFmtId="0" fontId="27" fillId="0" borderId="25" xfId="0" applyFont="1" applyBorder="1" applyAlignment="1">
      <alignment horizontal="center" vertical="center" wrapText="1"/>
    </xf>
    <xf numFmtId="0" fontId="26" fillId="0" borderId="43" xfId="0" applyFont="1" applyBorder="1"/>
    <xf numFmtId="0" fontId="8" fillId="0" borderId="0" xfId="0" applyFont="1" applyAlignment="1">
      <alignment horizontal="left" vertical="top" wrapText="1"/>
    </xf>
    <xf numFmtId="0" fontId="25" fillId="8" borderId="24" xfId="0" applyFont="1" applyFill="1" applyBorder="1" applyAlignment="1">
      <alignment horizontal="left" vertical="center" wrapText="1"/>
    </xf>
    <xf numFmtId="0" fontId="26" fillId="8" borderId="18" xfId="0" applyFont="1" applyFill="1" applyBorder="1"/>
    <xf numFmtId="0" fontId="25" fillId="8" borderId="15" xfId="0" applyFont="1" applyFill="1" applyBorder="1" applyAlignment="1">
      <alignment horizontal="center" vertical="center" wrapText="1"/>
    </xf>
    <xf numFmtId="0" fontId="26" fillId="8" borderId="16" xfId="0" applyFont="1" applyFill="1" applyBorder="1"/>
    <xf numFmtId="0" fontId="25" fillId="0" borderId="24" xfId="0" applyFont="1" applyBorder="1" applyAlignment="1">
      <alignment horizontal="left" vertical="center" wrapText="1"/>
    </xf>
    <xf numFmtId="0" fontId="26" fillId="0" borderId="18" xfId="0" applyFont="1" applyBorder="1"/>
    <xf numFmtId="0" fontId="25" fillId="0" borderId="15" xfId="0" applyFont="1" applyBorder="1" applyAlignment="1">
      <alignment horizontal="center" vertical="center" wrapText="1"/>
    </xf>
    <xf numFmtId="0" fontId="26" fillId="0" borderId="16" xfId="0" applyFont="1" applyBorder="1"/>
    <xf numFmtId="0" fontId="27" fillId="8" borderId="24" xfId="0" applyFont="1" applyFill="1" applyBorder="1" applyAlignment="1">
      <alignment horizontal="center" vertical="center" wrapText="1"/>
    </xf>
    <xf numFmtId="0" fontId="26" fillId="8" borderId="42" xfId="0" applyFont="1" applyFill="1" applyBorder="1"/>
    <xf numFmtId="0" fontId="27" fillId="0" borderId="24" xfId="0" applyFont="1" applyBorder="1" applyAlignment="1">
      <alignment horizontal="center" vertical="center" wrapText="1"/>
    </xf>
    <xf numFmtId="0" fontId="26" fillId="0" borderId="42" xfId="0" applyFont="1" applyBorder="1"/>
    <xf numFmtId="0" fontId="25" fillId="0" borderId="25" xfId="0" applyFont="1" applyBorder="1" applyAlignment="1">
      <alignment horizontal="left" vertical="center" wrapText="1"/>
    </xf>
    <xf numFmtId="0" fontId="26" fillId="0" borderId="19" xfId="0" applyFont="1" applyBorder="1"/>
    <xf numFmtId="0" fontId="25" fillId="0" borderId="14" xfId="0" applyFont="1" applyBorder="1" applyAlignment="1">
      <alignment horizontal="center" vertical="center" wrapText="1"/>
    </xf>
    <xf numFmtId="0" fontId="26" fillId="0" borderId="13" xfId="0" applyFont="1" applyBorder="1"/>
    <xf numFmtId="0" fontId="25" fillId="0" borderId="23" xfId="0" applyFont="1" applyBorder="1" applyAlignment="1">
      <alignment horizontal="left" vertical="center" wrapText="1"/>
    </xf>
    <xf numFmtId="0" fontId="25" fillId="8" borderId="23" xfId="0" applyFont="1" applyFill="1" applyBorder="1" applyAlignment="1">
      <alignment horizontal="left" vertical="center" wrapText="1"/>
    </xf>
    <xf numFmtId="0" fontId="26" fillId="8" borderId="13" xfId="0" applyFont="1" applyFill="1" applyBorder="1"/>
    <xf numFmtId="0" fontId="25" fillId="8" borderId="14" xfId="0" applyFont="1" applyFill="1" applyBorder="1" applyAlignment="1">
      <alignment horizontal="center" vertical="center" wrapText="1"/>
    </xf>
    <xf numFmtId="0" fontId="7" fillId="6" borderId="2" xfId="7" applyFont="1" applyFill="1" applyBorder="1" applyAlignment="1">
      <alignment horizontal="left" vertical="center" wrapText="1"/>
    </xf>
    <xf numFmtId="0" fontId="7" fillId="6" borderId="6" xfId="7" applyFont="1" applyFill="1" applyBorder="1" applyAlignment="1">
      <alignment horizontal="left" vertical="center" wrapText="1"/>
    </xf>
    <xf numFmtId="0" fontId="7" fillId="6" borderId="3" xfId="7" applyFont="1" applyFill="1" applyBorder="1" applyAlignment="1">
      <alignment horizontal="left" vertical="center" wrapText="1"/>
    </xf>
    <xf numFmtId="0" fontId="25" fillId="8" borderId="26" xfId="0" applyFont="1" applyFill="1" applyBorder="1" applyAlignment="1">
      <alignment horizontal="left" vertical="center" wrapText="1"/>
    </xf>
    <xf numFmtId="0" fontId="26" fillId="8" borderId="27" xfId="0" applyFont="1" applyFill="1" applyBorder="1"/>
    <xf numFmtId="0" fontId="25" fillId="8" borderId="28" xfId="0" applyFont="1" applyFill="1" applyBorder="1" applyAlignment="1">
      <alignment horizontal="center" vertical="center" wrapText="1"/>
    </xf>
    <xf numFmtId="0" fontId="26" fillId="8" borderId="29" xfId="0" applyFont="1" applyFill="1" applyBorder="1"/>
    <xf numFmtId="0" fontId="25" fillId="7" borderId="32" xfId="0" applyFont="1" applyFill="1" applyBorder="1" applyAlignment="1">
      <alignment horizontal="left" vertical="center"/>
    </xf>
    <xf numFmtId="0" fontId="25" fillId="7" borderId="33" xfId="0" applyFont="1" applyFill="1" applyBorder="1" applyAlignment="1">
      <alignment horizontal="left" vertical="center"/>
    </xf>
    <xf numFmtId="0" fontId="27" fillId="8" borderId="26" xfId="0" applyFont="1" applyFill="1" applyBorder="1" applyAlignment="1">
      <alignment horizontal="center" vertical="center" wrapText="1"/>
    </xf>
    <xf numFmtId="0" fontId="26" fillId="8" borderId="41" xfId="0" applyFont="1" applyFill="1" applyBorder="1"/>
    <xf numFmtId="0" fontId="7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right"/>
    </xf>
    <xf numFmtId="44" fontId="7" fillId="0" borderId="0" xfId="4" applyFont="1" applyFill="1" applyBorder="1" applyAlignment="1" applyProtection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7" fillId="0" borderId="4" xfId="1" applyFont="1" applyBorder="1" applyAlignment="1">
      <alignment horizontal="right" vertical="center" wrapText="1"/>
    </xf>
    <xf numFmtId="1" fontId="9" fillId="0" borderId="5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9" fillId="0" borderId="5" xfId="2" applyNumberFormat="1" applyFont="1" applyFill="1" applyBorder="1" applyAlignment="1">
      <alignment horizontal="center" vertical="center"/>
    </xf>
    <xf numFmtId="2" fontId="9" fillId="0" borderId="9" xfId="2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top"/>
    </xf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26" fillId="0" borderId="22" xfId="0" applyFont="1" applyBorder="1"/>
    <xf numFmtId="0" fontId="26" fillId="0" borderId="17" xfId="0" applyFont="1" applyBorder="1"/>
    <xf numFmtId="0" fontId="26" fillId="8" borderId="17" xfId="0" applyFont="1" applyFill="1" applyBorder="1"/>
    <xf numFmtId="0" fontId="26" fillId="8" borderId="30" xfId="0" applyFont="1" applyFill="1" applyBorder="1"/>
    <xf numFmtId="0" fontId="25" fillId="7" borderId="31" xfId="0" applyFont="1" applyFill="1" applyBorder="1" applyAlignment="1" applyProtection="1">
      <alignment horizontal="left" vertical="center"/>
    </xf>
    <xf numFmtId="0" fontId="25" fillId="7" borderId="0" xfId="0" applyFont="1" applyFill="1" applyBorder="1" applyAlignment="1" applyProtection="1">
      <alignment horizontal="left" vertical="center"/>
    </xf>
    <xf numFmtId="0" fontId="6" fillId="4" borderId="7" xfId="1" applyFont="1" applyFill="1" applyBorder="1" applyAlignment="1">
      <alignment horizontal="left" vertical="center" wrapText="1"/>
    </xf>
    <xf numFmtId="0" fontId="6" fillId="4" borderId="12" xfId="1" applyFont="1" applyFill="1" applyBorder="1" applyAlignment="1">
      <alignment horizontal="left" vertical="center" wrapText="1"/>
    </xf>
    <xf numFmtId="0" fontId="6" fillId="4" borderId="8" xfId="1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3" xfId="0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</cellXfs>
  <cellStyles count="10">
    <cellStyle name="Денежный 2" xfId="4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2 3 2 2" xfId="7" xr:uid="{00000000-0005-0000-0000-000004000000}"/>
    <cellStyle name="Обычный 3" xfId="5" xr:uid="{00000000-0005-0000-0000-000005000000}"/>
    <cellStyle name="Обычный 3 2" xfId="9" xr:uid="{00000000-0005-0000-0000-000006000000}"/>
    <cellStyle name="Финансовый" xfId="6" builtinId="3"/>
    <cellStyle name="Финансовый 2" xfId="2" xr:uid="{00000000-0005-0000-0000-000008000000}"/>
    <cellStyle name="Финансовый 2 2 2 2" xfId="8" xr:uid="{00000000-0005-0000-0000-000009000000}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78"/>
  <sheetViews>
    <sheetView tabSelected="1" zoomScale="115" zoomScaleNormal="115" zoomScaleSheetLayoutView="55" workbookViewId="0">
      <selection activeCell="A23" sqref="A23:XFD23"/>
    </sheetView>
  </sheetViews>
  <sheetFormatPr defaultColWidth="9.7109375" defaultRowHeight="12.75" x14ac:dyDescent="0.2"/>
  <cols>
    <col min="1" max="1" width="7.140625" style="2" customWidth="1"/>
    <col min="2" max="2" width="44.42578125" style="3" customWidth="1"/>
    <col min="3" max="3" width="6.42578125" style="4" customWidth="1"/>
    <col min="4" max="4" width="10.7109375" style="5" customWidth="1"/>
    <col min="5" max="5" width="12.7109375" style="3" customWidth="1"/>
    <col min="6" max="6" width="12.7109375" style="6" customWidth="1"/>
    <col min="7" max="7" width="14.42578125" style="3" customWidth="1"/>
    <col min="8" max="8" width="16.28515625" style="3" customWidth="1"/>
    <col min="9" max="9" width="15.7109375" style="3" customWidth="1"/>
    <col min="10" max="10" width="15" style="7" customWidth="1"/>
    <col min="11" max="11" width="28" style="3" customWidth="1"/>
    <col min="12" max="12" width="9.7109375" style="3"/>
    <col min="13" max="13" width="11.5703125" style="3" customWidth="1"/>
    <col min="14" max="16384" width="9.7109375" style="3"/>
  </cols>
  <sheetData>
    <row r="1" spans="1:11" s="66" customFormat="1" x14ac:dyDescent="0.2">
      <c r="A1" s="260"/>
      <c r="B1" s="260"/>
      <c r="C1" s="61"/>
      <c r="D1" s="62"/>
      <c r="E1" s="61"/>
      <c r="F1" s="61"/>
      <c r="G1" s="63"/>
      <c r="H1" s="63"/>
      <c r="I1" s="63"/>
      <c r="J1" s="64"/>
      <c r="K1" s="65"/>
    </row>
    <row r="2" spans="1:11" s="66" customFormat="1" x14ac:dyDescent="0.2">
      <c r="A2" s="259" t="s">
        <v>47</v>
      </c>
      <c r="B2" s="259"/>
      <c r="C2" s="67"/>
      <c r="D2" s="62"/>
      <c r="E2" s="61"/>
      <c r="F2" s="61"/>
      <c r="G2" s="63"/>
      <c r="H2" s="63"/>
      <c r="I2" s="63"/>
      <c r="J2" s="64"/>
      <c r="K2" s="65"/>
    </row>
    <row r="3" spans="1:11" s="66" customFormat="1" x14ac:dyDescent="0.2">
      <c r="A3" s="261"/>
      <c r="B3" s="261"/>
      <c r="C3" s="61"/>
      <c r="D3" s="62"/>
      <c r="E3" s="61"/>
      <c r="F3" s="61"/>
      <c r="G3" s="63"/>
      <c r="H3" s="63"/>
      <c r="I3" s="63"/>
      <c r="J3" s="64"/>
      <c r="K3" s="65"/>
    </row>
    <row r="4" spans="1:11" s="66" customFormat="1" x14ac:dyDescent="0.2">
      <c r="A4" s="259" t="s">
        <v>48</v>
      </c>
      <c r="B4" s="259"/>
      <c r="C4" s="67"/>
      <c r="D4" s="62"/>
      <c r="E4" s="61"/>
      <c r="F4" s="61"/>
      <c r="G4" s="63"/>
      <c r="H4" s="63"/>
      <c r="I4" s="63"/>
      <c r="J4" s="64"/>
      <c r="K4" s="65"/>
    </row>
    <row r="5" spans="1:11" s="66" customFormat="1" x14ac:dyDescent="0.2">
      <c r="A5" s="261"/>
      <c r="B5" s="261"/>
      <c r="C5" s="61"/>
      <c r="D5" s="62"/>
      <c r="E5" s="61"/>
      <c r="F5" s="61"/>
      <c r="G5" s="63"/>
      <c r="H5" s="63"/>
      <c r="I5" s="63"/>
      <c r="J5" s="64"/>
      <c r="K5" s="65"/>
    </row>
    <row r="6" spans="1:11" s="66" customFormat="1" x14ac:dyDescent="0.2">
      <c r="A6" s="259" t="s">
        <v>49</v>
      </c>
      <c r="B6" s="259"/>
      <c r="C6" s="67"/>
      <c r="D6" s="62"/>
      <c r="E6" s="61"/>
      <c r="F6" s="61"/>
      <c r="G6" s="63"/>
      <c r="H6" s="63"/>
      <c r="I6" s="63"/>
      <c r="J6" s="64"/>
      <c r="K6" s="65"/>
    </row>
    <row r="7" spans="1:11" s="58" customFormat="1" ht="11.25" customHeight="1" x14ac:dyDescent="0.2">
      <c r="A7" s="248"/>
      <c r="B7" s="248"/>
      <c r="C7" s="54"/>
      <c r="D7" s="8"/>
      <c r="E7" s="54"/>
      <c r="F7" s="55"/>
      <c r="G7" s="56"/>
      <c r="H7" s="56"/>
      <c r="I7" s="85"/>
      <c r="J7" s="85"/>
      <c r="K7" s="86" t="s">
        <v>144</v>
      </c>
    </row>
    <row r="8" spans="1:11" s="58" customFormat="1" ht="14.45" customHeight="1" x14ac:dyDescent="0.2">
      <c r="A8" s="59" t="s">
        <v>3</v>
      </c>
      <c r="B8" s="52"/>
      <c r="C8" s="53"/>
      <c r="D8" s="8"/>
      <c r="E8" s="54"/>
      <c r="F8" s="55"/>
      <c r="G8" s="56"/>
      <c r="H8" s="56"/>
      <c r="I8" s="60"/>
      <c r="J8" s="57"/>
    </row>
    <row r="9" spans="1:11" s="58" customFormat="1" x14ac:dyDescent="0.2">
      <c r="A9" s="51"/>
      <c r="B9" s="52"/>
      <c r="C9" s="53"/>
      <c r="D9" s="8"/>
      <c r="E9" s="54"/>
      <c r="F9" s="55"/>
      <c r="G9" s="56"/>
      <c r="H9" s="56"/>
      <c r="I9" s="56"/>
      <c r="J9" s="57"/>
    </row>
    <row r="10" spans="1:11" s="58" customFormat="1" ht="13.9" customHeight="1" x14ac:dyDescent="0.2">
      <c r="A10" s="249" t="s">
        <v>45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</row>
    <row r="11" spans="1:11" s="58" customFormat="1" ht="13.9" customHeight="1" x14ac:dyDescent="0.2">
      <c r="A11" s="249" t="s">
        <v>176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</row>
    <row r="12" spans="1:11" s="58" customFormat="1" ht="13.9" customHeight="1" x14ac:dyDescent="0.2">
      <c r="A12" s="249" t="s">
        <v>155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</row>
    <row r="13" spans="1:11" s="58" customFormat="1" ht="34.5" customHeight="1" x14ac:dyDescent="0.2">
      <c r="A13" s="250" t="s">
        <v>143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4" spans="1:11" ht="12.75" customHeight="1" x14ac:dyDescent="0.2">
      <c r="A14" s="9"/>
      <c r="B14" s="10"/>
      <c r="C14" s="10"/>
      <c r="D14" s="11"/>
      <c r="E14" s="251" t="s">
        <v>140</v>
      </c>
      <c r="F14" s="251"/>
      <c r="G14" s="251"/>
      <c r="H14" s="251"/>
      <c r="I14" s="43">
        <f>J41</f>
        <v>0</v>
      </c>
      <c r="J14" s="41" t="s">
        <v>5</v>
      </c>
    </row>
    <row r="15" spans="1:11" ht="26.25" customHeight="1" x14ac:dyDescent="0.2">
      <c r="A15" s="252" t="s">
        <v>6</v>
      </c>
      <c r="B15" s="254" t="s">
        <v>7</v>
      </c>
      <c r="C15" s="256" t="s">
        <v>8</v>
      </c>
      <c r="D15" s="257" t="s">
        <v>9</v>
      </c>
      <c r="E15" s="245" t="s">
        <v>137</v>
      </c>
      <c r="F15" s="246"/>
      <c r="G15" s="247"/>
      <c r="H15" s="245" t="s">
        <v>138</v>
      </c>
      <c r="I15" s="246"/>
      <c r="J15" s="247"/>
      <c r="K15" s="12" t="s">
        <v>12</v>
      </c>
    </row>
    <row r="16" spans="1:11" x14ac:dyDescent="0.2">
      <c r="A16" s="253"/>
      <c r="B16" s="255"/>
      <c r="C16" s="256"/>
      <c r="D16" s="258"/>
      <c r="E16" s="150" t="s">
        <v>13</v>
      </c>
      <c r="F16" s="15" t="s">
        <v>14</v>
      </c>
      <c r="G16" s="150" t="s">
        <v>15</v>
      </c>
      <c r="H16" s="150" t="s">
        <v>13</v>
      </c>
      <c r="I16" s="150" t="s">
        <v>14</v>
      </c>
      <c r="J16" s="16" t="s">
        <v>15</v>
      </c>
      <c r="K16" s="13"/>
    </row>
    <row r="17" spans="1:11" x14ac:dyDescent="0.2">
      <c r="A17" s="17">
        <v>1</v>
      </c>
      <c r="B17" s="150">
        <v>2</v>
      </c>
      <c r="C17" s="150">
        <v>3</v>
      </c>
      <c r="D17" s="18">
        <v>4</v>
      </c>
      <c r="E17" s="150">
        <v>5</v>
      </c>
      <c r="F17" s="19">
        <v>6</v>
      </c>
      <c r="G17" s="150">
        <v>7</v>
      </c>
      <c r="H17" s="150">
        <v>8</v>
      </c>
      <c r="I17" s="150">
        <v>9</v>
      </c>
      <c r="J17" s="150">
        <v>10</v>
      </c>
      <c r="K17" s="150">
        <v>11</v>
      </c>
    </row>
    <row r="18" spans="1:11" s="174" customFormat="1" ht="12.75" customHeight="1" x14ac:dyDescent="0.2">
      <c r="A18" s="234" t="s">
        <v>178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6"/>
    </row>
    <row r="19" spans="1:11" s="179" customFormat="1" ht="25.5" x14ac:dyDescent="0.2">
      <c r="A19" s="175" t="s">
        <v>148</v>
      </c>
      <c r="B19" s="176" t="s">
        <v>156</v>
      </c>
      <c r="C19" s="177" t="s">
        <v>43</v>
      </c>
      <c r="D19" s="162">
        <v>480</v>
      </c>
      <c r="E19" s="163"/>
      <c r="F19" s="171"/>
      <c r="G19" s="163">
        <f t="shared" ref="G19:G21" si="0">ROUND((E19+F19),2)</f>
        <v>0</v>
      </c>
      <c r="H19" s="163">
        <f t="shared" ref="H19:H21" si="1">ROUND(E19*D19,2)</f>
        <v>0</v>
      </c>
      <c r="I19" s="163">
        <f t="shared" ref="I19:I21" si="2">ROUND(F19*D19,2)</f>
        <v>0</v>
      </c>
      <c r="J19" s="163">
        <f t="shared" ref="J19:J21" si="3">ROUND(D19*G19,2)</f>
        <v>0</v>
      </c>
      <c r="K19" s="178"/>
    </row>
    <row r="20" spans="1:11" s="179" customFormat="1" ht="25.5" x14ac:dyDescent="0.2">
      <c r="A20" s="175" t="s">
        <v>154</v>
      </c>
      <c r="B20" s="176" t="s">
        <v>159</v>
      </c>
      <c r="C20" s="177" t="s">
        <v>43</v>
      </c>
      <c r="D20" s="162">
        <v>210</v>
      </c>
      <c r="E20" s="163"/>
      <c r="F20" s="171"/>
      <c r="G20" s="163">
        <f t="shared" si="0"/>
        <v>0</v>
      </c>
      <c r="H20" s="163">
        <f t="shared" si="1"/>
        <v>0</v>
      </c>
      <c r="I20" s="163">
        <f t="shared" si="2"/>
        <v>0</v>
      </c>
      <c r="J20" s="163">
        <f t="shared" si="3"/>
        <v>0</v>
      </c>
      <c r="K20" s="178"/>
    </row>
    <row r="21" spans="1:11" s="179" customFormat="1" ht="25.5" x14ac:dyDescent="0.2">
      <c r="A21" s="175" t="s">
        <v>157</v>
      </c>
      <c r="B21" s="176" t="s">
        <v>160</v>
      </c>
      <c r="C21" s="177" t="s">
        <v>43</v>
      </c>
      <c r="D21" s="162">
        <v>468</v>
      </c>
      <c r="E21" s="163"/>
      <c r="F21" s="171"/>
      <c r="G21" s="163">
        <f t="shared" si="0"/>
        <v>0</v>
      </c>
      <c r="H21" s="163">
        <f t="shared" si="1"/>
        <v>0</v>
      </c>
      <c r="I21" s="163">
        <f t="shared" si="2"/>
        <v>0</v>
      </c>
      <c r="J21" s="163">
        <f t="shared" si="3"/>
        <v>0</v>
      </c>
      <c r="K21" s="178"/>
    </row>
    <row r="22" spans="1:11" s="179" customFormat="1" ht="25.5" x14ac:dyDescent="0.2">
      <c r="A22" s="175" t="s">
        <v>158</v>
      </c>
      <c r="B22" s="176" t="s">
        <v>161</v>
      </c>
      <c r="C22" s="177" t="s">
        <v>43</v>
      </c>
      <c r="D22" s="162">
        <v>435</v>
      </c>
      <c r="E22" s="163"/>
      <c r="F22" s="171"/>
      <c r="G22" s="163">
        <f t="shared" ref="G22" si="4">ROUND((E22+F22),2)</f>
        <v>0</v>
      </c>
      <c r="H22" s="163">
        <f t="shared" ref="H22" si="5">ROUND(E22*D22,2)</f>
        <v>0</v>
      </c>
      <c r="I22" s="163">
        <f t="shared" ref="I22" si="6">ROUND(F22*D22,2)</f>
        <v>0</v>
      </c>
      <c r="J22" s="163">
        <f t="shared" ref="J22" si="7">ROUND(D22*G22,2)</f>
        <v>0</v>
      </c>
      <c r="K22" s="178"/>
    </row>
    <row r="23" spans="1:11" s="160" customFormat="1" ht="12.75" customHeight="1" x14ac:dyDescent="0.2">
      <c r="A23" s="153"/>
      <c r="B23" s="154" t="s">
        <v>52</v>
      </c>
      <c r="C23" s="155"/>
      <c r="D23" s="156"/>
      <c r="E23" s="157"/>
      <c r="F23" s="157"/>
      <c r="G23" s="157"/>
      <c r="H23" s="158">
        <f>SUM(H19:H22)</f>
        <v>0</v>
      </c>
      <c r="I23" s="158">
        <f>SUM(I19:I22)</f>
        <v>0</v>
      </c>
      <c r="J23" s="158">
        <f>SUM(J19:J22)</f>
        <v>0</v>
      </c>
      <c r="K23" s="159"/>
    </row>
    <row r="24" spans="1:11" s="165" customFormat="1" ht="12.75" customHeight="1" x14ac:dyDescent="0.2">
      <c r="A24" s="161"/>
      <c r="B24" s="148" t="s">
        <v>141</v>
      </c>
      <c r="C24" s="149"/>
      <c r="D24" s="162"/>
      <c r="E24" s="163"/>
      <c r="F24" s="163"/>
      <c r="G24" s="163"/>
      <c r="H24" s="163">
        <f>ROUND(H23*0.2,2)</f>
        <v>0</v>
      </c>
      <c r="I24" s="163">
        <f>ROUND(I23*0.2,2)</f>
        <v>0</v>
      </c>
      <c r="J24" s="163">
        <f>ROUND(J23*0.2,2)</f>
        <v>0</v>
      </c>
      <c r="K24" s="164"/>
    </row>
    <row r="25" spans="1:11" s="165" customFormat="1" ht="12.75" customHeight="1" x14ac:dyDescent="0.2">
      <c r="A25" s="161"/>
      <c r="B25" s="148" t="s">
        <v>139</v>
      </c>
      <c r="C25" s="149"/>
      <c r="D25" s="162"/>
      <c r="E25" s="163"/>
      <c r="F25" s="163"/>
      <c r="G25" s="163"/>
      <c r="H25" s="166">
        <f>H23+H24</f>
        <v>0</v>
      </c>
      <c r="I25" s="166">
        <f>I23+I24</f>
        <v>0</v>
      </c>
      <c r="J25" s="166">
        <f>J23+J24</f>
        <v>0</v>
      </c>
      <c r="K25" s="164"/>
    </row>
    <row r="26" spans="1:11" s="174" customFormat="1" ht="12.75" customHeight="1" x14ac:dyDescent="0.2">
      <c r="A26" s="234" t="s">
        <v>150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6"/>
    </row>
    <row r="27" spans="1:11" s="179" customFormat="1" x14ac:dyDescent="0.2">
      <c r="A27" s="175" t="s">
        <v>20</v>
      </c>
      <c r="B27" s="176" t="s">
        <v>151</v>
      </c>
      <c r="C27" s="177" t="s">
        <v>17</v>
      </c>
      <c r="D27" s="162">
        <v>8.1999999999999993</v>
      </c>
      <c r="E27" s="163"/>
      <c r="F27" s="171"/>
      <c r="G27" s="163">
        <f t="shared" ref="G27:G29" si="8">ROUND((E27+F27),2)</f>
        <v>0</v>
      </c>
      <c r="H27" s="163">
        <f t="shared" ref="H27:H29" si="9">ROUND(E27*D27,2)</f>
        <v>0</v>
      </c>
      <c r="I27" s="163">
        <f t="shared" ref="I27:I29" si="10">ROUND(F27*D27,2)</f>
        <v>0</v>
      </c>
      <c r="J27" s="163">
        <f t="shared" ref="J27:J29" si="11">ROUND(D27*G27,2)</f>
        <v>0</v>
      </c>
      <c r="K27" s="178"/>
    </row>
    <row r="28" spans="1:11" s="179" customFormat="1" x14ac:dyDescent="0.2">
      <c r="A28" s="175" t="s">
        <v>165</v>
      </c>
      <c r="B28" s="180" t="s">
        <v>149</v>
      </c>
      <c r="C28" s="177" t="s">
        <v>17</v>
      </c>
      <c r="D28" s="162">
        <f>ROUND(D27*1.015,2)</f>
        <v>8.32</v>
      </c>
      <c r="E28" s="171"/>
      <c r="F28" s="163"/>
      <c r="G28" s="163">
        <f t="shared" si="8"/>
        <v>0</v>
      </c>
      <c r="H28" s="163">
        <f t="shared" si="9"/>
        <v>0</v>
      </c>
      <c r="I28" s="163">
        <f t="shared" si="10"/>
        <v>0</v>
      </c>
      <c r="J28" s="163">
        <f t="shared" si="11"/>
        <v>0</v>
      </c>
      <c r="K28" s="178"/>
    </row>
    <row r="29" spans="1:11" s="179" customFormat="1" x14ac:dyDescent="0.2">
      <c r="A29" s="175" t="s">
        <v>166</v>
      </c>
      <c r="B29" s="180" t="s">
        <v>146</v>
      </c>
      <c r="C29" s="177" t="s">
        <v>147</v>
      </c>
      <c r="D29" s="162">
        <v>1.33</v>
      </c>
      <c r="E29" s="171"/>
      <c r="F29" s="163"/>
      <c r="G29" s="163">
        <f t="shared" si="8"/>
        <v>0</v>
      </c>
      <c r="H29" s="163">
        <f t="shared" si="9"/>
        <v>0</v>
      </c>
      <c r="I29" s="163">
        <f t="shared" si="10"/>
        <v>0</v>
      </c>
      <c r="J29" s="163">
        <f t="shared" si="11"/>
        <v>0</v>
      </c>
      <c r="K29" s="178"/>
    </row>
    <row r="30" spans="1:11" s="165" customFormat="1" x14ac:dyDescent="0.2">
      <c r="A30" s="153"/>
      <c r="B30" s="154" t="s">
        <v>120</v>
      </c>
      <c r="C30" s="155"/>
      <c r="D30" s="181"/>
      <c r="E30" s="158"/>
      <c r="F30" s="158"/>
      <c r="G30" s="158"/>
      <c r="H30" s="158">
        <f>SUM(H27:H29)</f>
        <v>0</v>
      </c>
      <c r="I30" s="158">
        <f>SUM(I27:I29)</f>
        <v>0</v>
      </c>
      <c r="J30" s="158">
        <f>SUM(J27:J29)</f>
        <v>0</v>
      </c>
      <c r="K30" s="159"/>
    </row>
    <row r="31" spans="1:11" s="165" customFormat="1" x14ac:dyDescent="0.2">
      <c r="A31" s="161"/>
      <c r="B31" s="148" t="s">
        <v>141</v>
      </c>
      <c r="C31" s="149"/>
      <c r="D31" s="182"/>
      <c r="E31" s="166"/>
      <c r="F31" s="166"/>
      <c r="G31" s="166"/>
      <c r="H31" s="166">
        <f>ROUND(H30*0.2,2)</f>
        <v>0</v>
      </c>
      <c r="I31" s="166">
        <f t="shared" ref="I31:J31" si="12">ROUND(I30*0.2,2)</f>
        <v>0</v>
      </c>
      <c r="J31" s="166">
        <f t="shared" si="12"/>
        <v>0</v>
      </c>
      <c r="K31" s="164"/>
    </row>
    <row r="32" spans="1:11" s="165" customFormat="1" x14ac:dyDescent="0.2">
      <c r="A32" s="161"/>
      <c r="B32" s="148" t="s">
        <v>152</v>
      </c>
      <c r="C32" s="149"/>
      <c r="D32" s="182"/>
      <c r="E32" s="166"/>
      <c r="F32" s="166"/>
      <c r="G32" s="166"/>
      <c r="H32" s="166">
        <f>H30+H31</f>
        <v>0</v>
      </c>
      <c r="I32" s="166">
        <f t="shared" ref="I32:J32" si="13">I30+I31</f>
        <v>0</v>
      </c>
      <c r="J32" s="166">
        <f t="shared" si="13"/>
        <v>0</v>
      </c>
      <c r="K32" s="164"/>
    </row>
    <row r="33" spans="1:12" s="174" customFormat="1" ht="12.75" customHeight="1" x14ac:dyDescent="0.2">
      <c r="A33" s="234" t="s">
        <v>164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2" s="179" customFormat="1" ht="25.5" x14ac:dyDescent="0.2">
      <c r="A34" s="175" t="s">
        <v>51</v>
      </c>
      <c r="B34" s="176" t="s">
        <v>162</v>
      </c>
      <c r="C34" s="177" t="s">
        <v>43</v>
      </c>
      <c r="D34" s="162">
        <v>120</v>
      </c>
      <c r="E34" s="163"/>
      <c r="F34" s="171"/>
      <c r="G34" s="163">
        <f t="shared" ref="G34" si="14">ROUND((E34+F34),2)</f>
        <v>0</v>
      </c>
      <c r="H34" s="163">
        <f t="shared" ref="H34" si="15">ROUND(E34*D34,2)</f>
        <v>0</v>
      </c>
      <c r="I34" s="163">
        <f t="shared" ref="I34" si="16">ROUND(F34*D34,2)</f>
        <v>0</v>
      </c>
      <c r="J34" s="163">
        <f t="shared" ref="J34" si="17">ROUND(D34*G34,2)</f>
        <v>0</v>
      </c>
      <c r="K34" s="178"/>
    </row>
    <row r="35" spans="1:12" s="179" customFormat="1" ht="25.5" x14ac:dyDescent="0.2">
      <c r="A35" s="175" t="s">
        <v>167</v>
      </c>
      <c r="B35" s="176" t="s">
        <v>163</v>
      </c>
      <c r="C35" s="177" t="s">
        <v>43</v>
      </c>
      <c r="D35" s="162">
        <v>63</v>
      </c>
      <c r="E35" s="163"/>
      <c r="F35" s="171"/>
      <c r="G35" s="163">
        <f t="shared" ref="G35" si="18">ROUND((E35+F35),2)</f>
        <v>0</v>
      </c>
      <c r="H35" s="163">
        <f t="shared" ref="H35" si="19">ROUND(E35*D35,2)</f>
        <v>0</v>
      </c>
      <c r="I35" s="163">
        <f t="shared" ref="I35" si="20">ROUND(F35*D35,2)</f>
        <v>0</v>
      </c>
      <c r="J35" s="163">
        <f t="shared" ref="J35" si="21">ROUND(D35*G35,2)</f>
        <v>0</v>
      </c>
      <c r="K35" s="178"/>
    </row>
    <row r="36" spans="1:12" s="165" customFormat="1" x14ac:dyDescent="0.2">
      <c r="A36" s="153"/>
      <c r="B36" s="154" t="s">
        <v>119</v>
      </c>
      <c r="C36" s="155"/>
      <c r="D36" s="181"/>
      <c r="E36" s="158"/>
      <c r="F36" s="158"/>
      <c r="G36" s="158"/>
      <c r="H36" s="158">
        <f>SUM(H34:H35)</f>
        <v>0</v>
      </c>
      <c r="I36" s="158">
        <f t="shared" ref="I36:J36" si="22">SUM(I34:I35)</f>
        <v>0</v>
      </c>
      <c r="J36" s="158">
        <f t="shared" si="22"/>
        <v>0</v>
      </c>
      <c r="K36" s="159"/>
    </row>
    <row r="37" spans="1:12" s="165" customFormat="1" x14ac:dyDescent="0.2">
      <c r="A37" s="161"/>
      <c r="B37" s="148" t="s">
        <v>141</v>
      </c>
      <c r="C37" s="149"/>
      <c r="D37" s="182"/>
      <c r="E37" s="166"/>
      <c r="F37" s="166"/>
      <c r="G37" s="166"/>
      <c r="H37" s="166">
        <f>ROUND(H36*0.2,2)</f>
        <v>0</v>
      </c>
      <c r="I37" s="166">
        <f t="shared" ref="I37:J37" si="23">ROUND(I36*0.2,2)</f>
        <v>0</v>
      </c>
      <c r="J37" s="166">
        <f t="shared" si="23"/>
        <v>0</v>
      </c>
      <c r="K37" s="164"/>
    </row>
    <row r="38" spans="1:12" s="165" customFormat="1" x14ac:dyDescent="0.2">
      <c r="A38" s="161"/>
      <c r="B38" s="148" t="s">
        <v>153</v>
      </c>
      <c r="C38" s="149"/>
      <c r="D38" s="182"/>
      <c r="E38" s="166"/>
      <c r="F38" s="166"/>
      <c r="G38" s="166"/>
      <c r="H38" s="166">
        <f>H36+H37</f>
        <v>0</v>
      </c>
      <c r="I38" s="166">
        <f t="shared" ref="I38:J38" si="24">I36+I37</f>
        <v>0</v>
      </c>
      <c r="J38" s="166">
        <f t="shared" si="24"/>
        <v>0</v>
      </c>
      <c r="K38" s="164"/>
    </row>
    <row r="39" spans="1:12" s="165" customFormat="1" x14ac:dyDescent="0.2">
      <c r="A39" s="167"/>
      <c r="B39" s="168" t="s">
        <v>177</v>
      </c>
      <c r="C39" s="169"/>
      <c r="D39" s="170"/>
      <c r="E39" s="171"/>
      <c r="F39" s="171"/>
      <c r="G39" s="171"/>
      <c r="H39" s="172">
        <f>H23+H30+H36</f>
        <v>0</v>
      </c>
      <c r="I39" s="172">
        <f t="shared" ref="I39:J39" si="25">I23+I30+I36</f>
        <v>0</v>
      </c>
      <c r="J39" s="172">
        <f t="shared" si="25"/>
        <v>0</v>
      </c>
      <c r="K39" s="173"/>
      <c r="L39" s="208"/>
    </row>
    <row r="40" spans="1:12" s="165" customFormat="1" x14ac:dyDescent="0.2">
      <c r="A40" s="167"/>
      <c r="B40" s="168" t="s">
        <v>141</v>
      </c>
      <c r="C40" s="169"/>
      <c r="D40" s="170"/>
      <c r="E40" s="171"/>
      <c r="F40" s="171"/>
      <c r="G40" s="171"/>
      <c r="H40" s="171">
        <f>ROUND(H39*0.2,2)</f>
        <v>0</v>
      </c>
      <c r="I40" s="171">
        <f t="shared" ref="I40:J40" si="26">ROUND(I39*0.2,2)</f>
        <v>0</v>
      </c>
      <c r="J40" s="171">
        <f t="shared" si="26"/>
        <v>0</v>
      </c>
      <c r="K40" s="173"/>
    </row>
    <row r="41" spans="1:12" s="165" customFormat="1" x14ac:dyDescent="0.2">
      <c r="A41" s="167"/>
      <c r="B41" s="168" t="s">
        <v>142</v>
      </c>
      <c r="C41" s="169"/>
      <c r="D41" s="170"/>
      <c r="E41" s="171"/>
      <c r="F41" s="171"/>
      <c r="G41" s="171"/>
      <c r="H41" s="172">
        <f>H39+H40</f>
        <v>0</v>
      </c>
      <c r="I41" s="172">
        <f t="shared" ref="I41:J41" si="27">I39+I40</f>
        <v>0</v>
      </c>
      <c r="J41" s="172">
        <f t="shared" si="27"/>
        <v>0</v>
      </c>
      <c r="K41" s="173"/>
    </row>
    <row r="42" spans="1:12" ht="17.45" customHeight="1" x14ac:dyDescent="0.2">
      <c r="A42" s="31"/>
      <c r="B42" s="32"/>
      <c r="C42" s="33"/>
      <c r="D42" s="34"/>
      <c r="E42" s="35"/>
      <c r="F42" s="35"/>
      <c r="G42" s="35"/>
      <c r="H42" s="35"/>
      <c r="I42" s="35"/>
      <c r="J42" s="36"/>
    </row>
    <row r="43" spans="1:12" customFormat="1" ht="15.75" thickBot="1" x14ac:dyDescent="0.3">
      <c r="A43" s="241" t="s">
        <v>55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2"/>
    </row>
    <row r="44" spans="1:12" customFormat="1" ht="15" x14ac:dyDescent="0.25">
      <c r="A44" s="187">
        <v>1</v>
      </c>
      <c r="B44" s="237" t="s">
        <v>56</v>
      </c>
      <c r="C44" s="238"/>
      <c r="D44" s="239" t="s">
        <v>168</v>
      </c>
      <c r="E44" s="240"/>
      <c r="F44" s="240"/>
      <c r="G44" s="243"/>
      <c r="H44" s="240"/>
      <c r="I44" s="240"/>
      <c r="J44" s="240"/>
      <c r="K44" s="244"/>
    </row>
    <row r="45" spans="1:12" customFormat="1" ht="33" customHeight="1" x14ac:dyDescent="0.25">
      <c r="A45" s="188">
        <v>2</v>
      </c>
      <c r="B45" s="231" t="s">
        <v>87</v>
      </c>
      <c r="C45" s="232"/>
      <c r="D45" s="233" t="s">
        <v>59</v>
      </c>
      <c r="E45" s="232"/>
      <c r="F45" s="232"/>
      <c r="G45" s="222"/>
      <c r="H45" s="217"/>
      <c r="I45" s="217"/>
      <c r="J45" s="217"/>
      <c r="K45" s="223"/>
    </row>
    <row r="46" spans="1:12" customFormat="1" ht="86.25" customHeight="1" x14ac:dyDescent="0.25">
      <c r="A46" s="189">
        <v>3</v>
      </c>
      <c r="B46" s="185" t="s">
        <v>169</v>
      </c>
      <c r="C46" s="186"/>
      <c r="D46" s="233" t="s">
        <v>90</v>
      </c>
      <c r="E46" s="232"/>
      <c r="F46" s="232"/>
      <c r="G46" s="184"/>
      <c r="H46" s="183"/>
      <c r="I46" s="183"/>
      <c r="J46" s="183"/>
      <c r="K46" s="207"/>
    </row>
    <row r="47" spans="1:12" customFormat="1" ht="30" customHeight="1" x14ac:dyDescent="0.25">
      <c r="A47" s="188">
        <v>4</v>
      </c>
      <c r="B47" s="231" t="s">
        <v>89</v>
      </c>
      <c r="C47" s="232"/>
      <c r="D47" s="233" t="s">
        <v>90</v>
      </c>
      <c r="E47" s="232"/>
      <c r="F47" s="232"/>
      <c r="G47" s="222"/>
      <c r="H47" s="217"/>
      <c r="I47" s="217"/>
      <c r="J47" s="217"/>
      <c r="K47" s="223"/>
    </row>
    <row r="48" spans="1:12" customFormat="1" ht="79.5" customHeight="1" x14ac:dyDescent="0.25">
      <c r="A48" s="190">
        <v>5</v>
      </c>
      <c r="B48" s="231" t="s">
        <v>170</v>
      </c>
      <c r="C48" s="232"/>
      <c r="D48" s="233" t="s">
        <v>90</v>
      </c>
      <c r="E48" s="232"/>
      <c r="F48" s="232"/>
      <c r="G48" s="222"/>
      <c r="H48" s="217"/>
      <c r="I48" s="217"/>
      <c r="J48" s="217"/>
      <c r="K48" s="223"/>
    </row>
    <row r="49" spans="1:11" customFormat="1" ht="15" x14ac:dyDescent="0.25">
      <c r="A49" s="191">
        <v>6</v>
      </c>
      <c r="B49" s="230" t="s">
        <v>58</v>
      </c>
      <c r="C49" s="229"/>
      <c r="D49" s="228" t="s">
        <v>59</v>
      </c>
      <c r="E49" s="229"/>
      <c r="F49" s="229"/>
      <c r="G49" s="224"/>
      <c r="H49" s="221"/>
      <c r="I49" s="221"/>
      <c r="J49" s="221"/>
      <c r="K49" s="225"/>
    </row>
    <row r="50" spans="1:11" customFormat="1" ht="15" x14ac:dyDescent="0.25">
      <c r="A50" s="192">
        <v>7</v>
      </c>
      <c r="B50" s="218" t="s">
        <v>171</v>
      </c>
      <c r="C50" s="219"/>
      <c r="D50" s="220" t="s">
        <v>172</v>
      </c>
      <c r="E50" s="221"/>
      <c r="F50" s="221"/>
      <c r="G50" s="224"/>
      <c r="H50" s="221"/>
      <c r="I50" s="221"/>
      <c r="J50" s="221"/>
      <c r="K50" s="225"/>
    </row>
    <row r="51" spans="1:11" customFormat="1" ht="48" customHeight="1" x14ac:dyDescent="0.25">
      <c r="A51" s="192">
        <v>8</v>
      </c>
      <c r="B51" s="218" t="s">
        <v>173</v>
      </c>
      <c r="C51" s="219"/>
      <c r="D51" s="228" t="s">
        <v>59</v>
      </c>
      <c r="E51" s="229"/>
      <c r="F51" s="229"/>
      <c r="G51" s="224"/>
      <c r="H51" s="221"/>
      <c r="I51" s="221"/>
      <c r="J51" s="221"/>
      <c r="K51" s="225"/>
    </row>
    <row r="52" spans="1:11" customFormat="1" ht="15" x14ac:dyDescent="0.25">
      <c r="A52" s="192">
        <v>9</v>
      </c>
      <c r="B52" s="218" t="s">
        <v>60</v>
      </c>
      <c r="C52" s="219"/>
      <c r="D52" s="220" t="s">
        <v>61</v>
      </c>
      <c r="E52" s="221"/>
      <c r="F52" s="221"/>
      <c r="G52" s="224"/>
      <c r="H52" s="221"/>
      <c r="I52" s="221"/>
      <c r="J52" s="221"/>
      <c r="K52" s="225"/>
    </row>
    <row r="53" spans="1:11" customFormat="1" ht="15" x14ac:dyDescent="0.25">
      <c r="A53" s="192">
        <v>10</v>
      </c>
      <c r="B53" s="218" t="s">
        <v>62</v>
      </c>
      <c r="C53" s="219"/>
      <c r="D53" s="220" t="s">
        <v>59</v>
      </c>
      <c r="E53" s="221"/>
      <c r="F53" s="221"/>
      <c r="G53" s="224"/>
      <c r="H53" s="221"/>
      <c r="I53" s="221"/>
      <c r="J53" s="221"/>
      <c r="K53" s="225"/>
    </row>
    <row r="54" spans="1:11" customFormat="1" ht="35.25" customHeight="1" x14ac:dyDescent="0.25">
      <c r="A54" s="192">
        <v>11</v>
      </c>
      <c r="B54" s="218" t="s">
        <v>63</v>
      </c>
      <c r="C54" s="219"/>
      <c r="D54" s="220" t="s">
        <v>64</v>
      </c>
      <c r="E54" s="221"/>
      <c r="F54" s="221"/>
      <c r="G54" s="224"/>
      <c r="H54" s="221"/>
      <c r="I54" s="221"/>
      <c r="J54" s="221"/>
      <c r="K54" s="225"/>
    </row>
    <row r="55" spans="1:11" customFormat="1" ht="27.75" customHeight="1" x14ac:dyDescent="0.25">
      <c r="A55" s="192">
        <v>12</v>
      </c>
      <c r="B55" s="218" t="s">
        <v>65</v>
      </c>
      <c r="C55" s="219"/>
      <c r="D55" s="220" t="s">
        <v>66</v>
      </c>
      <c r="E55" s="221"/>
      <c r="F55" s="221"/>
      <c r="G55" s="224"/>
      <c r="H55" s="221"/>
      <c r="I55" s="221"/>
      <c r="J55" s="221"/>
      <c r="K55" s="225"/>
    </row>
    <row r="56" spans="1:11" customFormat="1" ht="29.25" customHeight="1" x14ac:dyDescent="0.25">
      <c r="A56" s="193">
        <v>13</v>
      </c>
      <c r="B56" s="214" t="s">
        <v>67</v>
      </c>
      <c r="C56" s="215"/>
      <c r="D56" s="216" t="s">
        <v>68</v>
      </c>
      <c r="E56" s="217"/>
      <c r="F56" s="217"/>
      <c r="G56" s="222"/>
      <c r="H56" s="217"/>
      <c r="I56" s="217"/>
      <c r="J56" s="217"/>
      <c r="K56" s="223"/>
    </row>
    <row r="57" spans="1:11" customFormat="1" ht="15" x14ac:dyDescent="0.25">
      <c r="A57" s="192">
        <v>14</v>
      </c>
      <c r="B57" s="218" t="s">
        <v>69</v>
      </c>
      <c r="C57" s="219"/>
      <c r="D57" s="220" t="s">
        <v>70</v>
      </c>
      <c r="E57" s="221"/>
      <c r="F57" s="221"/>
      <c r="G57" s="224"/>
      <c r="H57" s="221"/>
      <c r="I57" s="221"/>
      <c r="J57" s="221"/>
      <c r="K57" s="225"/>
    </row>
    <row r="58" spans="1:11" customFormat="1" ht="44.25" customHeight="1" x14ac:dyDescent="0.25">
      <c r="A58" s="192">
        <v>15</v>
      </c>
      <c r="B58" s="218" t="s">
        <v>71</v>
      </c>
      <c r="C58" s="219"/>
      <c r="D58" s="220" t="s">
        <v>72</v>
      </c>
      <c r="E58" s="221"/>
      <c r="F58" s="221"/>
      <c r="G58" s="224"/>
      <c r="H58" s="221"/>
      <c r="I58" s="221"/>
      <c r="J58" s="221"/>
      <c r="K58" s="225"/>
    </row>
    <row r="59" spans="1:11" customFormat="1" ht="29.25" customHeight="1" x14ac:dyDescent="0.25">
      <c r="A59" s="192">
        <v>16</v>
      </c>
      <c r="B59" s="218" t="s">
        <v>73</v>
      </c>
      <c r="C59" s="219"/>
      <c r="D59" s="220" t="s">
        <v>74</v>
      </c>
      <c r="E59" s="221"/>
      <c r="F59" s="221"/>
      <c r="G59" s="224"/>
      <c r="H59" s="221"/>
      <c r="I59" s="221"/>
      <c r="J59" s="221"/>
      <c r="K59" s="225"/>
    </row>
    <row r="60" spans="1:11" customFormat="1" ht="15" x14ac:dyDescent="0.25">
      <c r="A60" s="192">
        <v>17</v>
      </c>
      <c r="B60" s="218" t="s">
        <v>75</v>
      </c>
      <c r="C60" s="219"/>
      <c r="D60" s="220" t="s">
        <v>76</v>
      </c>
      <c r="E60" s="221"/>
      <c r="F60" s="221"/>
      <c r="G60" s="224"/>
      <c r="H60" s="221"/>
      <c r="I60" s="221"/>
      <c r="J60" s="221"/>
      <c r="K60" s="225"/>
    </row>
    <row r="61" spans="1:11" customFormat="1" ht="42.75" customHeight="1" x14ac:dyDescent="0.25">
      <c r="A61" s="192">
        <v>18</v>
      </c>
      <c r="B61" s="218" t="s">
        <v>145</v>
      </c>
      <c r="C61" s="219"/>
      <c r="D61" s="220" t="s">
        <v>78</v>
      </c>
      <c r="E61" s="221"/>
      <c r="F61" s="221"/>
      <c r="G61" s="224" t="s">
        <v>174</v>
      </c>
      <c r="H61" s="221"/>
      <c r="I61" s="221"/>
      <c r="J61" s="221"/>
      <c r="K61" s="225"/>
    </row>
    <row r="62" spans="1:11" customFormat="1" ht="38.25" customHeight="1" x14ac:dyDescent="0.25">
      <c r="A62" s="193">
        <v>19</v>
      </c>
      <c r="B62" s="214" t="s">
        <v>85</v>
      </c>
      <c r="C62" s="215"/>
      <c r="D62" s="216"/>
      <c r="E62" s="217"/>
      <c r="F62" s="217"/>
      <c r="G62" s="222"/>
      <c r="H62" s="217"/>
      <c r="I62" s="217"/>
      <c r="J62" s="217"/>
      <c r="K62" s="223"/>
    </row>
    <row r="63" spans="1:11" customFormat="1" ht="53.25" customHeight="1" x14ac:dyDescent="0.25">
      <c r="A63" s="193">
        <v>20</v>
      </c>
      <c r="B63" s="214" t="s">
        <v>86</v>
      </c>
      <c r="C63" s="215"/>
      <c r="D63" s="216"/>
      <c r="E63" s="217"/>
      <c r="F63" s="217"/>
      <c r="G63" s="222"/>
      <c r="H63" s="217"/>
      <c r="I63" s="217"/>
      <c r="J63" s="217"/>
      <c r="K63" s="223"/>
    </row>
    <row r="64" spans="1:11" customFormat="1" ht="15" x14ac:dyDescent="0.25">
      <c r="A64" s="192">
        <v>21</v>
      </c>
      <c r="B64" s="218" t="s">
        <v>79</v>
      </c>
      <c r="C64" s="219"/>
      <c r="D64" s="220" t="s">
        <v>80</v>
      </c>
      <c r="E64" s="221"/>
      <c r="F64" s="221"/>
      <c r="G64" s="224"/>
      <c r="H64" s="221"/>
      <c r="I64" s="221"/>
      <c r="J64" s="221"/>
      <c r="K64" s="225"/>
    </row>
    <row r="65" spans="1:16" customFormat="1" ht="30.75" customHeight="1" x14ac:dyDescent="0.25">
      <c r="A65" s="192">
        <v>22</v>
      </c>
      <c r="B65" s="218" t="s">
        <v>81</v>
      </c>
      <c r="C65" s="219"/>
      <c r="D65" s="220"/>
      <c r="E65" s="221"/>
      <c r="F65" s="221"/>
      <c r="G65" s="224"/>
      <c r="H65" s="221"/>
      <c r="I65" s="221"/>
      <c r="J65" s="221"/>
      <c r="K65" s="225"/>
    </row>
    <row r="66" spans="1:16" customFormat="1" ht="15" x14ac:dyDescent="0.25">
      <c r="A66" s="192">
        <v>23</v>
      </c>
      <c r="B66" s="218" t="s">
        <v>82</v>
      </c>
      <c r="C66" s="219"/>
      <c r="D66" s="220"/>
      <c r="E66" s="221"/>
      <c r="F66" s="221"/>
      <c r="G66" s="224"/>
      <c r="H66" s="221"/>
      <c r="I66" s="221"/>
      <c r="J66" s="221"/>
      <c r="K66" s="225"/>
    </row>
    <row r="67" spans="1:16" customFormat="1" ht="15" x14ac:dyDescent="0.25">
      <c r="A67" s="194">
        <v>24</v>
      </c>
      <c r="B67" s="226" t="s">
        <v>83</v>
      </c>
      <c r="C67" s="227"/>
      <c r="D67" s="209"/>
      <c r="E67" s="210"/>
      <c r="F67" s="210"/>
      <c r="G67" s="211"/>
      <c r="H67" s="210"/>
      <c r="I67" s="210"/>
      <c r="J67" s="210"/>
      <c r="K67" s="212"/>
    </row>
    <row r="68" spans="1:16" s="174" customFormat="1" x14ac:dyDescent="0.2">
      <c r="A68" s="195"/>
      <c r="B68" s="196"/>
      <c r="C68" s="197"/>
      <c r="D68" s="198"/>
      <c r="E68" s="199"/>
      <c r="F68" s="200"/>
      <c r="J68" s="201"/>
      <c r="K68" s="201"/>
    </row>
    <row r="69" spans="1:16" s="174" customFormat="1" x14ac:dyDescent="0.2">
      <c r="A69" s="195"/>
      <c r="C69" s="202"/>
      <c r="D69" s="203"/>
      <c r="F69" s="204"/>
      <c r="J69" s="201"/>
      <c r="K69" s="201"/>
    </row>
    <row r="70" spans="1:16" s="94" customFormat="1" ht="15.75" x14ac:dyDescent="0.2">
      <c r="A70" s="87" t="s">
        <v>54</v>
      </c>
      <c r="B70" s="88"/>
      <c r="C70" s="89"/>
      <c r="D70" s="205"/>
      <c r="E70" s="91"/>
      <c r="F70" s="90"/>
      <c r="G70" s="90"/>
      <c r="H70" s="90"/>
      <c r="I70" s="92"/>
      <c r="J70" s="93"/>
      <c r="K70" s="93"/>
    </row>
    <row r="71" spans="1:16" s="66" customFormat="1" ht="232.5" customHeight="1" x14ac:dyDescent="0.2">
      <c r="A71" s="213" t="s">
        <v>175</v>
      </c>
      <c r="B71" s="213"/>
      <c r="C71" s="213"/>
      <c r="D71" s="213"/>
      <c r="E71" s="213"/>
      <c r="F71" s="213"/>
      <c r="G71" s="213"/>
      <c r="H71" s="213"/>
      <c r="I71" s="213"/>
      <c r="J71" s="213"/>
      <c r="K71" s="213"/>
    </row>
    <row r="72" spans="1:16" s="66" customFormat="1" x14ac:dyDescent="0.2">
      <c r="A72" s="95"/>
      <c r="B72" s="95"/>
      <c r="C72" s="95"/>
      <c r="D72" s="206"/>
      <c r="E72" s="95"/>
      <c r="F72" s="95"/>
      <c r="G72" s="95"/>
      <c r="H72" s="95"/>
      <c r="I72" s="95"/>
      <c r="J72" s="95"/>
      <c r="K72" s="95"/>
    </row>
    <row r="73" spans="1:16" s="66" customFormat="1" ht="181.9" customHeight="1" x14ac:dyDescent="0.2">
      <c r="A73" s="95"/>
      <c r="B73" s="95"/>
      <c r="C73" s="95"/>
      <c r="D73" s="206"/>
      <c r="E73" s="95"/>
      <c r="F73" s="95"/>
      <c r="G73" s="95"/>
      <c r="H73" s="95"/>
      <c r="I73" s="95"/>
      <c r="J73" s="95"/>
      <c r="K73" s="95"/>
    </row>
    <row r="74" spans="1:16" s="66" customFormat="1" ht="97.15" customHeight="1" x14ac:dyDescent="0.2">
      <c r="A74" s="95"/>
      <c r="B74" s="95"/>
      <c r="C74" s="95"/>
      <c r="D74" s="206"/>
      <c r="E74" s="95"/>
      <c r="F74" s="95"/>
      <c r="G74" s="95"/>
      <c r="H74" s="95"/>
      <c r="I74" s="95"/>
      <c r="J74" s="95"/>
      <c r="K74" s="95"/>
    </row>
    <row r="75" spans="1:16" s="66" customFormat="1" ht="81.599999999999994" customHeight="1" x14ac:dyDescent="0.2">
      <c r="A75" s="95"/>
      <c r="B75" s="95"/>
      <c r="C75" s="95"/>
      <c r="D75" s="206"/>
      <c r="E75" s="95"/>
      <c r="F75" s="95"/>
      <c r="G75" s="95"/>
      <c r="H75" s="95"/>
      <c r="I75" s="95"/>
      <c r="J75" s="95"/>
      <c r="K75" s="95"/>
      <c r="L75" s="174"/>
      <c r="M75" s="174"/>
      <c r="N75" s="174"/>
      <c r="O75" s="174"/>
      <c r="P75" s="174"/>
    </row>
    <row r="76" spans="1:16" s="174" customFormat="1" x14ac:dyDescent="0.2">
      <c r="A76" s="195"/>
      <c r="C76" s="202"/>
      <c r="D76" s="203"/>
      <c r="F76" s="204"/>
      <c r="J76" s="201"/>
      <c r="K76" s="201"/>
    </row>
    <row r="77" spans="1:16" s="174" customFormat="1" x14ac:dyDescent="0.2">
      <c r="A77" s="195"/>
      <c r="C77" s="202"/>
      <c r="D77" s="203"/>
      <c r="F77" s="204"/>
      <c r="J77" s="201"/>
      <c r="K77" s="201"/>
    </row>
    <row r="78" spans="1:16" s="174" customFormat="1" x14ac:dyDescent="0.2">
      <c r="A78" s="195"/>
      <c r="C78" s="202"/>
      <c r="D78" s="203"/>
      <c r="F78" s="204"/>
      <c r="J78" s="201"/>
      <c r="K78" s="201"/>
    </row>
  </sheetData>
  <autoFilter ref="A17:K23" xr:uid="{00000000-0009-0000-0000-000000000000}"/>
  <mergeCells count="93">
    <mergeCell ref="A6:B6"/>
    <mergeCell ref="A1:B1"/>
    <mergeCell ref="A2:B2"/>
    <mergeCell ref="A3:B3"/>
    <mergeCell ref="A4:B4"/>
    <mergeCell ref="A5:B5"/>
    <mergeCell ref="H15:J15"/>
    <mergeCell ref="A7:B7"/>
    <mergeCell ref="A10:K10"/>
    <mergeCell ref="A11:K11"/>
    <mergeCell ref="A12:K12"/>
    <mergeCell ref="A13:K13"/>
    <mergeCell ref="E14:H14"/>
    <mergeCell ref="A15:A16"/>
    <mergeCell ref="B15:B16"/>
    <mergeCell ref="C15:C16"/>
    <mergeCell ref="D15:D16"/>
    <mergeCell ref="E15:G15"/>
    <mergeCell ref="B45:C45"/>
    <mergeCell ref="D45:F45"/>
    <mergeCell ref="D46:F46"/>
    <mergeCell ref="G45:K45"/>
    <mergeCell ref="A18:K18"/>
    <mergeCell ref="B44:C44"/>
    <mergeCell ref="D44:F44"/>
    <mergeCell ref="A26:K26"/>
    <mergeCell ref="A33:K33"/>
    <mergeCell ref="A43:K43"/>
    <mergeCell ref="G44:K44"/>
    <mergeCell ref="B47:C47"/>
    <mergeCell ref="D47:F47"/>
    <mergeCell ref="B48:C48"/>
    <mergeCell ref="D48:F48"/>
    <mergeCell ref="G47:K47"/>
    <mergeCell ref="G48:K48"/>
    <mergeCell ref="B49:C49"/>
    <mergeCell ref="D49:F49"/>
    <mergeCell ref="B50:C50"/>
    <mergeCell ref="D50:F50"/>
    <mergeCell ref="G49:K49"/>
    <mergeCell ref="G50:K50"/>
    <mergeCell ref="B51:C51"/>
    <mergeCell ref="D51:F51"/>
    <mergeCell ref="B52:C52"/>
    <mergeCell ref="D52:F52"/>
    <mergeCell ref="G51:K51"/>
    <mergeCell ref="G52:K52"/>
    <mergeCell ref="B53:C53"/>
    <mergeCell ref="D53:F53"/>
    <mergeCell ref="B54:C54"/>
    <mergeCell ref="D54:F54"/>
    <mergeCell ref="G53:K53"/>
    <mergeCell ref="G54:K54"/>
    <mergeCell ref="B55:C55"/>
    <mergeCell ref="D55:F55"/>
    <mergeCell ref="B56:C56"/>
    <mergeCell ref="D56:F56"/>
    <mergeCell ref="G55:K55"/>
    <mergeCell ref="G56:K56"/>
    <mergeCell ref="B57:C57"/>
    <mergeCell ref="D57:F57"/>
    <mergeCell ref="B58:C58"/>
    <mergeCell ref="D58:F58"/>
    <mergeCell ref="G57:K57"/>
    <mergeCell ref="G58:K58"/>
    <mergeCell ref="B59:C59"/>
    <mergeCell ref="D59:F59"/>
    <mergeCell ref="B60:C60"/>
    <mergeCell ref="D60:F60"/>
    <mergeCell ref="G59:K59"/>
    <mergeCell ref="G60:K60"/>
    <mergeCell ref="B61:C61"/>
    <mergeCell ref="D61:F61"/>
    <mergeCell ref="B62:C62"/>
    <mergeCell ref="D62:F62"/>
    <mergeCell ref="G61:K61"/>
    <mergeCell ref="G62:K62"/>
    <mergeCell ref="D67:F67"/>
    <mergeCell ref="G67:K67"/>
    <mergeCell ref="A71:K71"/>
    <mergeCell ref="B63:C63"/>
    <mergeCell ref="D63:F63"/>
    <mergeCell ref="B64:C64"/>
    <mergeCell ref="D64:F64"/>
    <mergeCell ref="G63:K63"/>
    <mergeCell ref="G64:K64"/>
    <mergeCell ref="B65:C65"/>
    <mergeCell ref="D65:F65"/>
    <mergeCell ref="G65:K65"/>
    <mergeCell ref="B66:C66"/>
    <mergeCell ref="D66:F66"/>
    <mergeCell ref="G66:K66"/>
    <mergeCell ref="B67:C67"/>
  </mergeCells>
  <phoneticPr fontId="4" type="noConversion"/>
  <pageMargins left="0.31496062992125984" right="0.31496062992125984" top="0.62992125984251968" bottom="0.55118110236220474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5"/>
  <sheetViews>
    <sheetView topLeftCell="A13" zoomScaleNormal="100" zoomScaleSheetLayoutView="55" workbookViewId="0">
      <selection activeCell="B26" sqref="B26"/>
    </sheetView>
  </sheetViews>
  <sheetFormatPr defaultColWidth="9.7109375" defaultRowHeight="12.75" outlineLevelRow="1" x14ac:dyDescent="0.2"/>
  <cols>
    <col min="1" max="1" width="7.140625" style="2" customWidth="1"/>
    <col min="2" max="2" width="44.42578125" style="3" customWidth="1"/>
    <col min="3" max="3" width="6.42578125" style="4" customWidth="1"/>
    <col min="4" max="4" width="10.7109375" style="5" customWidth="1"/>
    <col min="5" max="5" width="12.7109375" style="3" customWidth="1"/>
    <col min="6" max="6" width="12.7109375" style="6" customWidth="1"/>
    <col min="7" max="7" width="12.7109375" style="3" customWidth="1"/>
    <col min="8" max="8" width="16.140625" style="3" customWidth="1"/>
    <col min="9" max="9" width="15" style="3" customWidth="1"/>
    <col min="10" max="10" width="15.140625" style="7" customWidth="1"/>
    <col min="11" max="11" width="18.28515625" style="3" customWidth="1"/>
    <col min="12" max="13" width="9.7109375" style="3"/>
    <col min="14" max="14" width="11.5703125" style="3" customWidth="1"/>
    <col min="15" max="16384" width="9.7109375" style="3"/>
  </cols>
  <sheetData>
    <row r="1" spans="1:11" s="66" customFormat="1" x14ac:dyDescent="0.2">
      <c r="A1" s="260"/>
      <c r="B1" s="260"/>
      <c r="C1" s="61"/>
      <c r="D1" s="62"/>
      <c r="E1" s="61"/>
      <c r="F1" s="61"/>
      <c r="G1" s="63"/>
      <c r="H1" s="63"/>
      <c r="I1" s="63"/>
      <c r="J1" s="64"/>
      <c r="K1" s="65"/>
    </row>
    <row r="2" spans="1:11" s="66" customFormat="1" x14ac:dyDescent="0.2">
      <c r="A2" s="259" t="s">
        <v>47</v>
      </c>
      <c r="B2" s="259"/>
      <c r="C2" s="67"/>
      <c r="D2" s="62"/>
      <c r="E2" s="61"/>
      <c r="F2" s="61"/>
      <c r="G2" s="63"/>
      <c r="H2" s="63"/>
      <c r="I2" s="63"/>
      <c r="J2" s="64"/>
      <c r="K2" s="65"/>
    </row>
    <row r="3" spans="1:11" s="66" customFormat="1" x14ac:dyDescent="0.2">
      <c r="A3" s="261"/>
      <c r="B3" s="261"/>
      <c r="C3" s="61"/>
      <c r="D3" s="62"/>
      <c r="E3" s="61"/>
      <c r="F3" s="61"/>
      <c r="G3" s="63"/>
      <c r="H3" s="63"/>
      <c r="I3" s="63"/>
      <c r="J3" s="64"/>
      <c r="K3" s="65"/>
    </row>
    <row r="4" spans="1:11" s="66" customFormat="1" x14ac:dyDescent="0.2">
      <c r="A4" s="259" t="s">
        <v>48</v>
      </c>
      <c r="B4" s="259"/>
      <c r="C4" s="67"/>
      <c r="D4" s="62"/>
      <c r="E4" s="61"/>
      <c r="F4" s="61"/>
      <c r="G4" s="63"/>
      <c r="H4" s="63"/>
      <c r="I4" s="63"/>
      <c r="J4" s="64"/>
      <c r="K4" s="65"/>
    </row>
    <row r="5" spans="1:11" s="66" customFormat="1" x14ac:dyDescent="0.2">
      <c r="A5" s="261"/>
      <c r="B5" s="261"/>
      <c r="C5" s="61"/>
      <c r="D5" s="62"/>
      <c r="E5" s="61"/>
      <c r="F5" s="61"/>
      <c r="G5" s="63"/>
      <c r="H5" s="63"/>
      <c r="I5" s="63"/>
      <c r="J5" s="64"/>
      <c r="K5" s="65"/>
    </row>
    <row r="6" spans="1:11" s="66" customFormat="1" x14ac:dyDescent="0.2">
      <c r="A6" s="259" t="s">
        <v>49</v>
      </c>
      <c r="B6" s="259"/>
      <c r="C6" s="67"/>
      <c r="D6" s="62"/>
      <c r="E6" s="61"/>
      <c r="F6" s="61"/>
      <c r="G6" s="63"/>
      <c r="H6" s="63"/>
      <c r="I6" s="63"/>
      <c r="J6" s="64"/>
      <c r="K6" s="65"/>
    </row>
    <row r="7" spans="1:11" s="58" customFormat="1" ht="11.25" customHeight="1" x14ac:dyDescent="0.2">
      <c r="A7" s="248"/>
      <c r="B7" s="248"/>
      <c r="C7" s="54"/>
      <c r="D7" s="8"/>
      <c r="E7" s="54"/>
      <c r="F7" s="55"/>
      <c r="G7" s="56"/>
      <c r="H7" s="56"/>
      <c r="I7" s="85"/>
      <c r="J7" s="85"/>
      <c r="K7" s="86" t="s">
        <v>53</v>
      </c>
    </row>
    <row r="8" spans="1:11" s="58" customFormat="1" ht="14.45" customHeight="1" x14ac:dyDescent="0.2">
      <c r="A8" s="59" t="s">
        <v>3</v>
      </c>
      <c r="B8" s="52"/>
      <c r="C8" s="53"/>
      <c r="D8" s="8"/>
      <c r="E8" s="54"/>
      <c r="F8" s="55"/>
      <c r="G8" s="56"/>
      <c r="H8" s="56"/>
      <c r="I8" s="60"/>
      <c r="J8" s="57"/>
    </row>
    <row r="9" spans="1:11" s="58" customFormat="1" x14ac:dyDescent="0.2">
      <c r="A9" s="51"/>
      <c r="B9" s="52"/>
      <c r="C9" s="53"/>
      <c r="D9" s="8"/>
      <c r="E9" s="54"/>
      <c r="F9" s="55"/>
      <c r="G9" s="56"/>
      <c r="H9" s="56"/>
      <c r="I9" s="56"/>
      <c r="J9" s="57"/>
    </row>
    <row r="10" spans="1:11" s="58" customFormat="1" ht="13.9" customHeight="1" x14ac:dyDescent="0.2">
      <c r="A10" s="249" t="s">
        <v>45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</row>
    <row r="11" spans="1:11" s="58" customFormat="1" ht="13.9" customHeight="1" x14ac:dyDescent="0.2">
      <c r="A11" s="249" t="s">
        <v>113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</row>
    <row r="12" spans="1:11" s="58" customFormat="1" ht="13.9" customHeight="1" x14ac:dyDescent="0.2">
      <c r="A12" s="249" t="s">
        <v>115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</row>
    <row r="13" spans="1:11" s="58" customFormat="1" ht="34.5" customHeight="1" x14ac:dyDescent="0.2">
      <c r="A13" s="250" t="s">
        <v>46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4" spans="1:11" ht="12.75" customHeight="1" x14ac:dyDescent="0.2">
      <c r="A14" s="9"/>
      <c r="B14" s="10"/>
      <c r="C14" s="10"/>
      <c r="D14" s="11"/>
      <c r="E14" s="251" t="s">
        <v>4</v>
      </c>
      <c r="F14" s="251"/>
      <c r="G14" s="251"/>
      <c r="H14" s="251"/>
      <c r="I14" s="43">
        <f>J28</f>
        <v>0</v>
      </c>
      <c r="J14" s="41" t="s">
        <v>5</v>
      </c>
    </row>
    <row r="15" spans="1:11" ht="26.25" customHeight="1" x14ac:dyDescent="0.2">
      <c r="A15" s="252" t="s">
        <v>6</v>
      </c>
      <c r="B15" s="254" t="s">
        <v>7</v>
      </c>
      <c r="C15" s="256" t="s">
        <v>8</v>
      </c>
      <c r="D15" s="257" t="s">
        <v>9</v>
      </c>
      <c r="E15" s="245" t="s">
        <v>10</v>
      </c>
      <c r="F15" s="246"/>
      <c r="G15" s="247"/>
      <c r="H15" s="245" t="s">
        <v>11</v>
      </c>
      <c r="I15" s="246"/>
      <c r="J15" s="247"/>
      <c r="K15" s="12" t="s">
        <v>12</v>
      </c>
    </row>
    <row r="16" spans="1:11" x14ac:dyDescent="0.2">
      <c r="A16" s="253"/>
      <c r="B16" s="255"/>
      <c r="C16" s="256"/>
      <c r="D16" s="258"/>
      <c r="E16" s="14" t="s">
        <v>13</v>
      </c>
      <c r="F16" s="15" t="s">
        <v>14</v>
      </c>
      <c r="G16" s="14" t="s">
        <v>15</v>
      </c>
      <c r="H16" s="14" t="s">
        <v>13</v>
      </c>
      <c r="I16" s="14" t="s">
        <v>14</v>
      </c>
      <c r="J16" s="16" t="s">
        <v>15</v>
      </c>
      <c r="K16" s="13"/>
    </row>
    <row r="17" spans="1:14" x14ac:dyDescent="0.2">
      <c r="A17" s="17">
        <v>1</v>
      </c>
      <c r="B17" s="14">
        <v>2</v>
      </c>
      <c r="C17" s="14">
        <v>3</v>
      </c>
      <c r="D17" s="18">
        <v>4</v>
      </c>
      <c r="E17" s="14">
        <v>5</v>
      </c>
      <c r="F17" s="19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</row>
    <row r="18" spans="1:14" ht="16.5" customHeight="1" x14ac:dyDescent="0.2">
      <c r="A18" s="268" t="s">
        <v>116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70"/>
    </row>
    <row r="19" spans="1:14" s="21" customFormat="1" ht="38.25" x14ac:dyDescent="0.2">
      <c r="A19" s="22" t="s">
        <v>16</v>
      </c>
      <c r="B19" s="47" t="s">
        <v>97</v>
      </c>
      <c r="C19" s="48" t="s">
        <v>24</v>
      </c>
      <c r="D19" s="23">
        <f>'выборка объемов'!G11</f>
        <v>1242.95</v>
      </c>
      <c r="E19" s="16"/>
      <c r="F19" s="24"/>
      <c r="G19" s="16">
        <f>ROUND((E19+F19),2)</f>
        <v>0</v>
      </c>
      <c r="H19" s="16">
        <f>ROUND(E19*D19,2)</f>
        <v>0</v>
      </c>
      <c r="I19" s="16">
        <f>ROUND(F19*D19,2)</f>
        <v>0</v>
      </c>
      <c r="J19" s="16">
        <f>ROUND(D19*G19,2)</f>
        <v>0</v>
      </c>
      <c r="K19" s="130" t="s">
        <v>98</v>
      </c>
    </row>
    <row r="20" spans="1:14" s="21" customFormat="1" ht="50.25" customHeight="1" x14ac:dyDescent="0.2">
      <c r="A20" s="22" t="s">
        <v>19</v>
      </c>
      <c r="B20" s="47" t="s">
        <v>30</v>
      </c>
      <c r="C20" s="48" t="s">
        <v>18</v>
      </c>
      <c r="D20" s="136">
        <f>'выборка объемов'!H12+'выборка объемов'!J14</f>
        <v>98.769496000000004</v>
      </c>
      <c r="E20" s="16"/>
      <c r="F20" s="24"/>
      <c r="G20" s="16">
        <f t="shared" ref="G20:G26" si="0">ROUND((E20+F20),2)</f>
        <v>0</v>
      </c>
      <c r="H20" s="16">
        <f t="shared" ref="H20:H26" si="1">ROUND(E20*D20,2)</f>
        <v>0</v>
      </c>
      <c r="I20" s="16">
        <f t="shared" ref="I20:I26" si="2">ROUND(F20*D20,2)</f>
        <v>0</v>
      </c>
      <c r="J20" s="16">
        <f t="shared" ref="J20:J26" si="3">ROUND(D20*G20,2)</f>
        <v>0</v>
      </c>
      <c r="K20" s="130" t="s">
        <v>108</v>
      </c>
    </row>
    <row r="21" spans="1:14" s="70" customFormat="1" x14ac:dyDescent="0.2">
      <c r="A21" s="69" t="s">
        <v>20</v>
      </c>
      <c r="B21" s="72" t="s">
        <v>31</v>
      </c>
      <c r="C21" s="48" t="s">
        <v>18</v>
      </c>
      <c r="D21" s="136">
        <f>D20</f>
        <v>98.769496000000004</v>
      </c>
      <c r="E21" s="24"/>
      <c r="F21" s="16"/>
      <c r="G21" s="16">
        <f t="shared" si="0"/>
        <v>0</v>
      </c>
      <c r="H21" s="16">
        <f t="shared" si="1"/>
        <v>0</v>
      </c>
      <c r="I21" s="16">
        <f t="shared" si="2"/>
        <v>0</v>
      </c>
      <c r="J21" s="16">
        <f t="shared" si="3"/>
        <v>0</v>
      </c>
      <c r="K21" s="20"/>
    </row>
    <row r="22" spans="1:14" s="21" customFormat="1" x14ac:dyDescent="0.2">
      <c r="A22" s="42" t="s">
        <v>50</v>
      </c>
      <c r="B22" s="47" t="s">
        <v>32</v>
      </c>
      <c r="C22" s="48" t="s">
        <v>17</v>
      </c>
      <c r="D22" s="23">
        <f>'выборка объемов'!I12</f>
        <v>918.4799999999999</v>
      </c>
      <c r="E22" s="16"/>
      <c r="F22" s="24"/>
      <c r="G22" s="16">
        <f t="shared" si="0"/>
        <v>0</v>
      </c>
      <c r="H22" s="16">
        <f t="shared" si="1"/>
        <v>0</v>
      </c>
      <c r="I22" s="16">
        <f t="shared" si="2"/>
        <v>0</v>
      </c>
      <c r="J22" s="16">
        <f t="shared" si="3"/>
        <v>0</v>
      </c>
      <c r="K22" s="20"/>
    </row>
    <row r="23" spans="1:14" s="70" customFormat="1" x14ac:dyDescent="0.2">
      <c r="A23" s="71" t="s">
        <v>51</v>
      </c>
      <c r="B23" s="72" t="s">
        <v>95</v>
      </c>
      <c r="C23" s="48" t="s">
        <v>17</v>
      </c>
      <c r="D23" s="46">
        <f>D22*1.1</f>
        <v>1010.328</v>
      </c>
      <c r="E23" s="24"/>
      <c r="F23" s="16"/>
      <c r="G23" s="16">
        <f t="shared" si="0"/>
        <v>0</v>
      </c>
      <c r="H23" s="16">
        <f t="shared" si="1"/>
        <v>0</v>
      </c>
      <c r="I23" s="16">
        <f t="shared" si="2"/>
        <v>0</v>
      </c>
      <c r="J23" s="16">
        <f t="shared" si="3"/>
        <v>0</v>
      </c>
      <c r="K23" s="20"/>
    </row>
    <row r="24" spans="1:14" s="21" customFormat="1" x14ac:dyDescent="0.2">
      <c r="A24" s="42" t="s">
        <v>21</v>
      </c>
      <c r="B24" s="47" t="s">
        <v>33</v>
      </c>
      <c r="C24" s="48" t="s">
        <v>25</v>
      </c>
      <c r="D24" s="129">
        <v>89</v>
      </c>
      <c r="E24" s="16"/>
      <c r="F24" s="24"/>
      <c r="G24" s="16">
        <f t="shared" si="0"/>
        <v>0</v>
      </c>
      <c r="H24" s="16">
        <f t="shared" si="1"/>
        <v>0</v>
      </c>
      <c r="I24" s="16">
        <f t="shared" si="2"/>
        <v>0</v>
      </c>
      <c r="J24" s="16">
        <f t="shared" si="3"/>
        <v>0</v>
      </c>
      <c r="K24" s="20"/>
    </row>
    <row r="25" spans="1:14" s="21" customFormat="1" ht="34.9" customHeight="1" x14ac:dyDescent="0.2">
      <c r="A25" s="42" t="s">
        <v>22</v>
      </c>
      <c r="B25" s="47" t="s">
        <v>34</v>
      </c>
      <c r="C25" s="48" t="s">
        <v>17</v>
      </c>
      <c r="D25" s="23">
        <f>ROUND(3.14*(1^2/4)*D19,2)</f>
        <v>975.72</v>
      </c>
      <c r="E25" s="16"/>
      <c r="F25" s="24"/>
      <c r="G25" s="16">
        <f t="shared" si="0"/>
        <v>0</v>
      </c>
      <c r="H25" s="16">
        <f t="shared" si="1"/>
        <v>0</v>
      </c>
      <c r="I25" s="16">
        <f t="shared" si="2"/>
        <v>0</v>
      </c>
      <c r="J25" s="16">
        <f t="shared" si="3"/>
        <v>0</v>
      </c>
      <c r="K25" s="20"/>
    </row>
    <row r="26" spans="1:14" s="21" customFormat="1" ht="25.5" x14ac:dyDescent="0.2">
      <c r="A26" s="76" t="s">
        <v>23</v>
      </c>
      <c r="B26" s="49" t="s">
        <v>96</v>
      </c>
      <c r="C26" s="50" t="s">
        <v>17</v>
      </c>
      <c r="D26" s="77">
        <f>ROUND(3.14*(1^2/4)*0.9*D24,2)</f>
        <v>62.88</v>
      </c>
      <c r="E26" s="78"/>
      <c r="F26" s="79"/>
      <c r="G26" s="78">
        <f t="shared" si="0"/>
        <v>0</v>
      </c>
      <c r="H26" s="78">
        <f t="shared" si="1"/>
        <v>0</v>
      </c>
      <c r="I26" s="78">
        <f t="shared" si="2"/>
        <v>0</v>
      </c>
      <c r="J26" s="78">
        <f t="shared" si="3"/>
        <v>0</v>
      </c>
      <c r="K26" s="80"/>
    </row>
    <row r="27" spans="1:14" s="75" customFormat="1" x14ac:dyDescent="0.2">
      <c r="A27" s="81"/>
      <c r="B27" s="82" t="s">
        <v>52</v>
      </c>
      <c r="C27" s="83"/>
      <c r="D27" s="84"/>
      <c r="E27" s="73"/>
      <c r="F27" s="73"/>
      <c r="G27" s="73"/>
      <c r="H27" s="73"/>
      <c r="I27" s="73"/>
      <c r="J27" s="73">
        <f>SUM(J19:J26)</f>
        <v>0</v>
      </c>
      <c r="K27" s="74"/>
    </row>
    <row r="28" spans="1:14" ht="25.5" outlineLevel="1" x14ac:dyDescent="0.2">
      <c r="A28" s="25"/>
      <c r="B28" s="26" t="s">
        <v>28</v>
      </c>
      <c r="C28" s="26"/>
      <c r="D28" s="27"/>
      <c r="E28" s="28"/>
      <c r="F28" s="29"/>
      <c r="G28" s="30"/>
      <c r="H28" s="30"/>
      <c r="I28" s="30"/>
      <c r="J28" s="30">
        <f>J27</f>
        <v>0</v>
      </c>
      <c r="K28" s="30"/>
    </row>
    <row r="29" spans="1:14" outlineLevel="1" x14ac:dyDescent="0.2">
      <c r="A29" s="25"/>
      <c r="B29" s="26" t="s">
        <v>29</v>
      </c>
      <c r="C29" s="26"/>
      <c r="D29" s="27"/>
      <c r="E29" s="28"/>
      <c r="F29" s="29"/>
      <c r="G29" s="30"/>
      <c r="H29" s="30"/>
      <c r="I29" s="30"/>
      <c r="J29" s="30">
        <f>J28/6</f>
        <v>0</v>
      </c>
      <c r="K29" s="30"/>
    </row>
    <row r="30" spans="1:14" ht="16.5" customHeight="1" x14ac:dyDescent="0.2">
      <c r="A30" s="268" t="s">
        <v>117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70"/>
    </row>
    <row r="31" spans="1:14" s="21" customFormat="1" ht="38.25" x14ac:dyDescent="0.2">
      <c r="A31" s="22" t="s">
        <v>121</v>
      </c>
      <c r="B31" s="143" t="s">
        <v>97</v>
      </c>
      <c r="C31" s="144" t="s">
        <v>24</v>
      </c>
      <c r="D31" s="23">
        <v>1271.5</v>
      </c>
      <c r="E31" s="16"/>
      <c r="F31" s="24"/>
      <c r="G31" s="16">
        <f>ROUND((E31+F31),2)</f>
        <v>0</v>
      </c>
      <c r="H31" s="16">
        <f>ROUND(E31*D31,2)</f>
        <v>0</v>
      </c>
      <c r="I31" s="16">
        <f>ROUND(F31*D31,2)</f>
        <v>0</v>
      </c>
      <c r="J31" s="16">
        <f>ROUND(D31*G31,2)</f>
        <v>0</v>
      </c>
      <c r="K31" s="130" t="s">
        <v>98</v>
      </c>
      <c r="N31" s="151"/>
    </row>
    <row r="32" spans="1:14" s="21" customFormat="1" ht="50.25" customHeight="1" x14ac:dyDescent="0.2">
      <c r="A32" s="22" t="s">
        <v>122</v>
      </c>
      <c r="B32" s="143" t="s">
        <v>30</v>
      </c>
      <c r="C32" s="144" t="s">
        <v>18</v>
      </c>
      <c r="D32" s="136">
        <v>98.477999999999994</v>
      </c>
      <c r="E32" s="16"/>
      <c r="F32" s="24"/>
      <c r="G32" s="16">
        <f t="shared" ref="G32:G38" si="4">ROUND((E32+F32),2)</f>
        <v>0</v>
      </c>
      <c r="H32" s="16">
        <f t="shared" ref="H32:H38" si="5">ROUND(E32*D32,2)</f>
        <v>0</v>
      </c>
      <c r="I32" s="16">
        <f t="shared" ref="I32:I38" si="6">ROUND(F32*D32,2)</f>
        <v>0</v>
      </c>
      <c r="J32" s="16">
        <f t="shared" ref="J32:J38" si="7">ROUND(D32*G32,2)</f>
        <v>0</v>
      </c>
      <c r="K32" s="130" t="s">
        <v>114</v>
      </c>
      <c r="N32" s="152"/>
    </row>
    <row r="33" spans="1:14" s="70" customFormat="1" x14ac:dyDescent="0.2">
      <c r="A33" s="69" t="s">
        <v>123</v>
      </c>
      <c r="B33" s="145" t="s">
        <v>31</v>
      </c>
      <c r="C33" s="144" t="s">
        <v>18</v>
      </c>
      <c r="D33" s="136">
        <v>98.477937999999995</v>
      </c>
      <c r="E33" s="24"/>
      <c r="F33" s="16"/>
      <c r="G33" s="16">
        <f t="shared" si="4"/>
        <v>0</v>
      </c>
      <c r="H33" s="16">
        <f t="shared" si="5"/>
        <v>0</v>
      </c>
      <c r="I33" s="16">
        <f t="shared" si="6"/>
        <v>0</v>
      </c>
      <c r="J33" s="16">
        <f t="shared" si="7"/>
        <v>0</v>
      </c>
      <c r="K33" s="20"/>
      <c r="N33" s="152"/>
    </row>
    <row r="34" spans="1:14" s="21" customFormat="1" x14ac:dyDescent="0.2">
      <c r="A34" s="42" t="s">
        <v>124</v>
      </c>
      <c r="B34" s="143" t="s">
        <v>32</v>
      </c>
      <c r="C34" s="144" t="s">
        <v>17</v>
      </c>
      <c r="D34" s="23">
        <v>930.38</v>
      </c>
      <c r="E34" s="16"/>
      <c r="F34" s="24"/>
      <c r="G34" s="16">
        <f t="shared" si="4"/>
        <v>0</v>
      </c>
      <c r="H34" s="16">
        <f t="shared" si="5"/>
        <v>0</v>
      </c>
      <c r="I34" s="16">
        <f t="shared" si="6"/>
        <v>0</v>
      </c>
      <c r="J34" s="16">
        <f t="shared" si="7"/>
        <v>0</v>
      </c>
      <c r="K34" s="20"/>
      <c r="N34" s="151"/>
    </row>
    <row r="35" spans="1:14" s="70" customFormat="1" x14ac:dyDescent="0.2">
      <c r="A35" s="71" t="s">
        <v>125</v>
      </c>
      <c r="B35" s="145" t="s">
        <v>95</v>
      </c>
      <c r="C35" s="144" t="s">
        <v>17</v>
      </c>
      <c r="D35" s="23">
        <f>D34*1.1</f>
        <v>1023.4180000000001</v>
      </c>
      <c r="E35" s="24"/>
      <c r="F35" s="16"/>
      <c r="G35" s="16">
        <f t="shared" si="4"/>
        <v>0</v>
      </c>
      <c r="H35" s="16">
        <f t="shared" si="5"/>
        <v>0</v>
      </c>
      <c r="I35" s="16">
        <f t="shared" si="6"/>
        <v>0</v>
      </c>
      <c r="J35" s="16">
        <f t="shared" si="7"/>
        <v>0</v>
      </c>
      <c r="K35" s="20"/>
    </row>
    <row r="36" spans="1:14" s="21" customFormat="1" x14ac:dyDescent="0.2">
      <c r="A36" s="42" t="s">
        <v>126</v>
      </c>
      <c r="B36" s="143" t="s">
        <v>33</v>
      </c>
      <c r="C36" s="144" t="s">
        <v>25</v>
      </c>
      <c r="D36" s="129">
        <v>76</v>
      </c>
      <c r="E36" s="16"/>
      <c r="F36" s="24"/>
      <c r="G36" s="16">
        <f t="shared" si="4"/>
        <v>0</v>
      </c>
      <c r="H36" s="16">
        <f t="shared" si="5"/>
        <v>0</v>
      </c>
      <c r="I36" s="16">
        <f t="shared" si="6"/>
        <v>0</v>
      </c>
      <c r="J36" s="16">
        <f t="shared" si="7"/>
        <v>0</v>
      </c>
      <c r="K36" s="20"/>
    </row>
    <row r="37" spans="1:14" s="21" customFormat="1" ht="34.9" customHeight="1" x14ac:dyDescent="0.2">
      <c r="A37" s="42" t="s">
        <v>127</v>
      </c>
      <c r="B37" s="143" t="s">
        <v>34</v>
      </c>
      <c r="C37" s="144" t="s">
        <v>17</v>
      </c>
      <c r="D37" s="23">
        <f>ROUND(3.14*(1^2/4)*D31,2)</f>
        <v>998.13</v>
      </c>
      <c r="E37" s="16"/>
      <c r="F37" s="24"/>
      <c r="G37" s="16">
        <f t="shared" si="4"/>
        <v>0</v>
      </c>
      <c r="H37" s="16">
        <f t="shared" si="5"/>
        <v>0</v>
      </c>
      <c r="I37" s="16">
        <f t="shared" si="6"/>
        <v>0</v>
      </c>
      <c r="J37" s="16">
        <f t="shared" si="7"/>
        <v>0</v>
      </c>
      <c r="K37" s="20"/>
    </row>
    <row r="38" spans="1:14" s="21" customFormat="1" ht="25.5" x14ac:dyDescent="0.2">
      <c r="A38" s="76" t="s">
        <v>128</v>
      </c>
      <c r="B38" s="146" t="s">
        <v>96</v>
      </c>
      <c r="C38" s="147" t="s">
        <v>17</v>
      </c>
      <c r="D38" s="77">
        <f>ROUND(3.14*(1^2/4)*0.85*D36,2)</f>
        <v>50.71</v>
      </c>
      <c r="E38" s="78"/>
      <c r="F38" s="79"/>
      <c r="G38" s="78">
        <f t="shared" si="4"/>
        <v>0</v>
      </c>
      <c r="H38" s="78">
        <f t="shared" si="5"/>
        <v>0</v>
      </c>
      <c r="I38" s="78">
        <f t="shared" si="6"/>
        <v>0</v>
      </c>
      <c r="J38" s="78">
        <f t="shared" si="7"/>
        <v>0</v>
      </c>
      <c r="K38" s="80"/>
    </row>
    <row r="39" spans="1:14" s="75" customFormat="1" x14ac:dyDescent="0.2">
      <c r="A39" s="81"/>
      <c r="B39" s="148" t="s">
        <v>120</v>
      </c>
      <c r="C39" s="149"/>
      <c r="D39" s="84"/>
      <c r="E39" s="73"/>
      <c r="F39" s="73"/>
      <c r="G39" s="73"/>
      <c r="H39" s="73"/>
      <c r="I39" s="73"/>
      <c r="J39" s="73">
        <f>SUM(J31:J38)</f>
        <v>0</v>
      </c>
      <c r="K39" s="74"/>
    </row>
    <row r="40" spans="1:14" ht="25.5" outlineLevel="1" x14ac:dyDescent="0.2">
      <c r="A40" s="25"/>
      <c r="B40" s="26" t="s">
        <v>28</v>
      </c>
      <c r="C40" s="26"/>
      <c r="D40" s="27"/>
      <c r="E40" s="28"/>
      <c r="F40" s="29"/>
      <c r="G40" s="30"/>
      <c r="H40" s="30"/>
      <c r="I40" s="30"/>
      <c r="J40" s="30">
        <f>J39</f>
        <v>0</v>
      </c>
      <c r="K40" s="30"/>
    </row>
    <row r="41" spans="1:14" outlineLevel="1" x14ac:dyDescent="0.2">
      <c r="A41" s="25"/>
      <c r="B41" s="26" t="s">
        <v>29</v>
      </c>
      <c r="C41" s="26"/>
      <c r="D41" s="27"/>
      <c r="E41" s="28"/>
      <c r="F41" s="29"/>
      <c r="G41" s="30"/>
      <c r="H41" s="30"/>
      <c r="I41" s="30"/>
      <c r="J41" s="30">
        <f>J40/6</f>
        <v>0</v>
      </c>
      <c r="K41" s="30"/>
    </row>
    <row r="42" spans="1:14" ht="16.5" customHeight="1" x14ac:dyDescent="0.2">
      <c r="A42" s="268" t="s">
        <v>118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70"/>
    </row>
    <row r="43" spans="1:14" s="21" customFormat="1" ht="38.25" x14ac:dyDescent="0.2">
      <c r="A43" s="22" t="s">
        <v>129</v>
      </c>
      <c r="B43" s="143" t="s">
        <v>97</v>
      </c>
      <c r="C43" s="144" t="s">
        <v>24</v>
      </c>
      <c r="D43" s="23">
        <v>1625.25</v>
      </c>
      <c r="E43" s="16"/>
      <c r="F43" s="24"/>
      <c r="G43" s="16">
        <f>ROUND((E43+F43),2)</f>
        <v>0</v>
      </c>
      <c r="H43" s="16">
        <f>ROUND(E43*D43,2)</f>
        <v>0</v>
      </c>
      <c r="I43" s="16">
        <f>ROUND(F43*D43,2)</f>
        <v>0</v>
      </c>
      <c r="J43" s="16">
        <f>ROUND(D43*G43,2)</f>
        <v>0</v>
      </c>
      <c r="K43" s="130" t="s">
        <v>98</v>
      </c>
      <c r="N43" s="151"/>
    </row>
    <row r="44" spans="1:14" s="21" customFormat="1" ht="50.25" customHeight="1" x14ac:dyDescent="0.2">
      <c r="A44" s="22" t="s">
        <v>27</v>
      </c>
      <c r="B44" s="143" t="s">
        <v>30</v>
      </c>
      <c r="C44" s="144" t="s">
        <v>18</v>
      </c>
      <c r="D44" s="136">
        <v>128.184</v>
      </c>
      <c r="E44" s="16"/>
      <c r="F44" s="24"/>
      <c r="G44" s="16">
        <f t="shared" ref="G44:G50" si="8">ROUND((E44+F44),2)</f>
        <v>0</v>
      </c>
      <c r="H44" s="16">
        <f t="shared" ref="H44:H50" si="9">ROUND(E44*D44,2)</f>
        <v>0</v>
      </c>
      <c r="I44" s="16">
        <f t="shared" ref="I44:I50" si="10">ROUND(F44*D44,2)</f>
        <v>0</v>
      </c>
      <c r="J44" s="16">
        <f t="shared" ref="J44:J50" si="11">ROUND(D44*G44,2)</f>
        <v>0</v>
      </c>
      <c r="K44" s="130" t="s">
        <v>136</v>
      </c>
      <c r="N44" s="152"/>
    </row>
    <row r="45" spans="1:14" s="70" customFormat="1" x14ac:dyDescent="0.2">
      <c r="A45" s="69" t="s">
        <v>130</v>
      </c>
      <c r="B45" s="145" t="s">
        <v>31</v>
      </c>
      <c r="C45" s="144" t="s">
        <v>18</v>
      </c>
      <c r="D45" s="136">
        <v>128.18449200000001</v>
      </c>
      <c r="E45" s="24"/>
      <c r="F45" s="16"/>
      <c r="G45" s="16">
        <f t="shared" si="8"/>
        <v>0</v>
      </c>
      <c r="H45" s="16">
        <f t="shared" si="9"/>
        <v>0</v>
      </c>
      <c r="I45" s="16">
        <f t="shared" si="10"/>
        <v>0</v>
      </c>
      <c r="J45" s="16">
        <f t="shared" si="11"/>
        <v>0</v>
      </c>
      <c r="K45" s="20"/>
      <c r="N45" s="152"/>
    </row>
    <row r="46" spans="1:14" s="21" customFormat="1" x14ac:dyDescent="0.2">
      <c r="A46" s="42" t="s">
        <v>131</v>
      </c>
      <c r="B46" s="143" t="s">
        <v>32</v>
      </c>
      <c r="C46" s="144" t="s">
        <v>17</v>
      </c>
      <c r="D46" s="23">
        <v>1215.68</v>
      </c>
      <c r="E46" s="16"/>
      <c r="F46" s="24"/>
      <c r="G46" s="16">
        <f t="shared" si="8"/>
        <v>0</v>
      </c>
      <c r="H46" s="16">
        <f t="shared" si="9"/>
        <v>0</v>
      </c>
      <c r="I46" s="16">
        <f t="shared" si="10"/>
        <v>0</v>
      </c>
      <c r="J46" s="16">
        <f t="shared" si="11"/>
        <v>0</v>
      </c>
      <c r="K46" s="20"/>
      <c r="N46" s="151"/>
    </row>
    <row r="47" spans="1:14" s="70" customFormat="1" x14ac:dyDescent="0.2">
      <c r="A47" s="71" t="s">
        <v>132</v>
      </c>
      <c r="B47" s="145" t="s">
        <v>95</v>
      </c>
      <c r="C47" s="144" t="s">
        <v>17</v>
      </c>
      <c r="D47" s="23">
        <f>D46*1.1</f>
        <v>1337.2480000000003</v>
      </c>
      <c r="E47" s="24"/>
      <c r="F47" s="16"/>
      <c r="G47" s="16">
        <f t="shared" si="8"/>
        <v>0</v>
      </c>
      <c r="H47" s="16">
        <f t="shared" si="9"/>
        <v>0</v>
      </c>
      <c r="I47" s="16">
        <f t="shared" si="10"/>
        <v>0</v>
      </c>
      <c r="J47" s="16">
        <f t="shared" si="11"/>
        <v>0</v>
      </c>
      <c r="K47" s="20"/>
      <c r="N47" s="151"/>
    </row>
    <row r="48" spans="1:14" s="21" customFormat="1" x14ac:dyDescent="0.2">
      <c r="A48" s="42" t="s">
        <v>133</v>
      </c>
      <c r="B48" s="143" t="s">
        <v>33</v>
      </c>
      <c r="C48" s="144" t="s">
        <v>25</v>
      </c>
      <c r="D48" s="129">
        <v>97</v>
      </c>
      <c r="E48" s="16"/>
      <c r="F48" s="24"/>
      <c r="G48" s="16">
        <f t="shared" si="8"/>
        <v>0</v>
      </c>
      <c r="H48" s="16">
        <f t="shared" si="9"/>
        <v>0</v>
      </c>
      <c r="I48" s="16">
        <f t="shared" si="10"/>
        <v>0</v>
      </c>
      <c r="J48" s="16">
        <f t="shared" si="11"/>
        <v>0</v>
      </c>
      <c r="K48" s="20"/>
    </row>
    <row r="49" spans="1:12" s="21" customFormat="1" ht="34.9" customHeight="1" x14ac:dyDescent="0.2">
      <c r="A49" s="42" t="s">
        <v>134</v>
      </c>
      <c r="B49" s="143" t="s">
        <v>34</v>
      </c>
      <c r="C49" s="144" t="s">
        <v>17</v>
      </c>
      <c r="D49" s="23">
        <f>ROUND(3.14*(1^2/4)*D43,2)</f>
        <v>1275.82</v>
      </c>
      <c r="E49" s="16"/>
      <c r="F49" s="24"/>
      <c r="G49" s="16">
        <f t="shared" si="8"/>
        <v>0</v>
      </c>
      <c r="H49" s="16">
        <f t="shared" si="9"/>
        <v>0</v>
      </c>
      <c r="I49" s="16">
        <f t="shared" si="10"/>
        <v>0</v>
      </c>
      <c r="J49" s="16">
        <f t="shared" si="11"/>
        <v>0</v>
      </c>
      <c r="K49" s="20"/>
    </row>
    <row r="50" spans="1:12" s="21" customFormat="1" ht="25.5" x14ac:dyDescent="0.2">
      <c r="A50" s="76" t="s">
        <v>135</v>
      </c>
      <c r="B50" s="146" t="s">
        <v>96</v>
      </c>
      <c r="C50" s="147" t="s">
        <v>17</v>
      </c>
      <c r="D50" s="77">
        <f>ROUND(3.14*(1^2/4)*0.85*D48,2)</f>
        <v>64.72</v>
      </c>
      <c r="E50" s="78"/>
      <c r="F50" s="79"/>
      <c r="G50" s="78">
        <f t="shared" si="8"/>
        <v>0</v>
      </c>
      <c r="H50" s="78">
        <f t="shared" si="9"/>
        <v>0</v>
      </c>
      <c r="I50" s="78">
        <f t="shared" si="10"/>
        <v>0</v>
      </c>
      <c r="J50" s="78">
        <f t="shared" si="11"/>
        <v>0</v>
      </c>
      <c r="K50" s="80"/>
    </row>
    <row r="51" spans="1:12" s="75" customFormat="1" x14ac:dyDescent="0.2">
      <c r="A51" s="81"/>
      <c r="B51" s="148" t="s">
        <v>119</v>
      </c>
      <c r="C51" s="149"/>
      <c r="D51" s="84"/>
      <c r="E51" s="73"/>
      <c r="F51" s="73"/>
      <c r="G51" s="73"/>
      <c r="H51" s="73"/>
      <c r="I51" s="73"/>
      <c r="J51" s="73">
        <f>SUM(J43:J50)</f>
        <v>0</v>
      </c>
      <c r="K51" s="74"/>
    </row>
    <row r="52" spans="1:12" ht="25.5" x14ac:dyDescent="0.2">
      <c r="A52" s="25"/>
      <c r="B52" s="26" t="s">
        <v>28</v>
      </c>
      <c r="C52" s="26"/>
      <c r="D52" s="27"/>
      <c r="E52" s="28"/>
      <c r="F52" s="29"/>
      <c r="G52" s="30"/>
      <c r="H52" s="30"/>
      <c r="I52" s="30"/>
      <c r="J52" s="30">
        <f>J51</f>
        <v>0</v>
      </c>
      <c r="K52" s="30"/>
    </row>
    <row r="53" spans="1:12" x14ac:dyDescent="0.2">
      <c r="A53" s="25"/>
      <c r="B53" s="26" t="s">
        <v>29</v>
      </c>
      <c r="C53" s="26"/>
      <c r="D53" s="27"/>
      <c r="E53" s="28"/>
      <c r="F53" s="29"/>
      <c r="G53" s="30"/>
      <c r="H53" s="30"/>
      <c r="I53" s="30"/>
      <c r="J53" s="30">
        <f>J52/6</f>
        <v>0</v>
      </c>
      <c r="K53" s="30"/>
    </row>
    <row r="54" spans="1:12" ht="17.45" customHeight="1" x14ac:dyDescent="0.2">
      <c r="A54" s="31"/>
      <c r="B54" s="32"/>
      <c r="C54" s="33"/>
      <c r="D54" s="34"/>
      <c r="E54" s="35"/>
      <c r="F54" s="35"/>
      <c r="G54" s="35"/>
      <c r="H54" s="35"/>
      <c r="I54" s="35"/>
      <c r="J54" s="36"/>
    </row>
    <row r="55" spans="1:12" s="96" customFormat="1" ht="15.75" thickBot="1" x14ac:dyDescent="0.3">
      <c r="A55" s="266" t="s">
        <v>55</v>
      </c>
      <c r="B55" s="267"/>
      <c r="C55" s="267"/>
      <c r="D55" s="267"/>
      <c r="E55" s="267"/>
      <c r="F55" s="267"/>
      <c r="G55" s="267"/>
      <c r="H55" s="267"/>
      <c r="I55" s="267"/>
      <c r="J55" s="267"/>
      <c r="K55" s="267"/>
    </row>
    <row r="56" spans="1:12" s="96" customFormat="1" ht="15" x14ac:dyDescent="0.25">
      <c r="A56" s="102">
        <v>1</v>
      </c>
      <c r="B56" s="237" t="s">
        <v>56</v>
      </c>
      <c r="C56" s="238"/>
      <c r="D56" s="239" t="s">
        <v>57</v>
      </c>
      <c r="E56" s="240"/>
      <c r="F56" s="240"/>
      <c r="G56" s="243"/>
      <c r="H56" s="240"/>
      <c r="I56" s="240"/>
      <c r="J56" s="240"/>
      <c r="K56" s="265"/>
    </row>
    <row r="57" spans="1:12" s="96" customFormat="1" ht="33" customHeight="1" x14ac:dyDescent="0.25">
      <c r="A57" s="101">
        <v>2</v>
      </c>
      <c r="B57" s="231" t="s">
        <v>87</v>
      </c>
      <c r="C57" s="232"/>
      <c r="D57" s="233" t="s">
        <v>59</v>
      </c>
      <c r="E57" s="232"/>
      <c r="F57" s="232"/>
      <c r="G57" s="222"/>
      <c r="H57" s="217"/>
      <c r="I57" s="217"/>
      <c r="J57" s="217"/>
      <c r="K57" s="264"/>
      <c r="L57" s="97"/>
    </row>
    <row r="58" spans="1:12" customFormat="1" ht="30" customHeight="1" x14ac:dyDescent="0.25">
      <c r="A58" s="101">
        <v>3</v>
      </c>
      <c r="B58" s="231" t="s">
        <v>89</v>
      </c>
      <c r="C58" s="232"/>
      <c r="D58" s="233" t="s">
        <v>90</v>
      </c>
      <c r="E58" s="232"/>
      <c r="F58" s="232"/>
      <c r="G58" s="222"/>
      <c r="H58" s="217"/>
      <c r="I58" s="217"/>
      <c r="J58" s="217"/>
      <c r="K58" s="264"/>
      <c r="L58" s="100"/>
    </row>
    <row r="59" spans="1:12" customFormat="1" ht="42.75" customHeight="1" x14ac:dyDescent="0.25">
      <c r="A59" s="101">
        <v>4</v>
      </c>
      <c r="B59" s="231" t="s">
        <v>88</v>
      </c>
      <c r="C59" s="232"/>
      <c r="D59" s="233" t="s">
        <v>90</v>
      </c>
      <c r="E59" s="232"/>
      <c r="F59" s="232"/>
      <c r="G59" s="222"/>
      <c r="H59" s="217"/>
      <c r="I59" s="217"/>
      <c r="J59" s="217"/>
      <c r="K59" s="264"/>
      <c r="L59" s="100"/>
    </row>
    <row r="60" spans="1:12" s="96" customFormat="1" ht="15" x14ac:dyDescent="0.25">
      <c r="A60" s="99">
        <v>5</v>
      </c>
      <c r="B60" s="230" t="s">
        <v>58</v>
      </c>
      <c r="C60" s="229"/>
      <c r="D60" s="228" t="s">
        <v>59</v>
      </c>
      <c r="E60" s="229"/>
      <c r="F60" s="229"/>
      <c r="G60" s="224"/>
      <c r="H60" s="221"/>
      <c r="I60" s="221"/>
      <c r="J60" s="221"/>
      <c r="K60" s="263"/>
    </row>
    <row r="61" spans="1:12" s="96" customFormat="1" ht="15" x14ac:dyDescent="0.25">
      <c r="A61" s="99">
        <v>6</v>
      </c>
      <c r="B61" s="218" t="s">
        <v>60</v>
      </c>
      <c r="C61" s="219"/>
      <c r="D61" s="220" t="s">
        <v>61</v>
      </c>
      <c r="E61" s="221"/>
      <c r="F61" s="221"/>
      <c r="G61" s="224"/>
      <c r="H61" s="221"/>
      <c r="I61" s="221"/>
      <c r="J61" s="221"/>
      <c r="K61" s="263"/>
    </row>
    <row r="62" spans="1:12" s="96" customFormat="1" ht="15" x14ac:dyDescent="0.25">
      <c r="A62" s="99">
        <v>7</v>
      </c>
      <c r="B62" s="218" t="s">
        <v>62</v>
      </c>
      <c r="C62" s="219"/>
      <c r="D62" s="220" t="s">
        <v>59</v>
      </c>
      <c r="E62" s="221"/>
      <c r="F62" s="221"/>
      <c r="G62" s="224"/>
      <c r="H62" s="221"/>
      <c r="I62" s="221"/>
      <c r="J62" s="221"/>
      <c r="K62" s="263"/>
    </row>
    <row r="63" spans="1:12" s="96" customFormat="1" ht="35.25" customHeight="1" x14ac:dyDescent="0.25">
      <c r="A63" s="99">
        <v>8</v>
      </c>
      <c r="B63" s="218" t="s">
        <v>63</v>
      </c>
      <c r="C63" s="219"/>
      <c r="D63" s="220" t="s">
        <v>64</v>
      </c>
      <c r="E63" s="221"/>
      <c r="F63" s="221"/>
      <c r="G63" s="224"/>
      <c r="H63" s="221"/>
      <c r="I63" s="221"/>
      <c r="J63" s="221"/>
      <c r="K63" s="263"/>
    </row>
    <row r="64" spans="1:12" s="96" customFormat="1" ht="27.75" customHeight="1" x14ac:dyDescent="0.25">
      <c r="A64" s="99">
        <v>9</v>
      </c>
      <c r="B64" s="218" t="s">
        <v>65</v>
      </c>
      <c r="C64" s="219"/>
      <c r="D64" s="220" t="s">
        <v>66</v>
      </c>
      <c r="E64" s="221"/>
      <c r="F64" s="221"/>
      <c r="G64" s="224"/>
      <c r="H64" s="221"/>
      <c r="I64" s="221"/>
      <c r="J64" s="221"/>
      <c r="K64" s="263"/>
    </row>
    <row r="65" spans="1:12" s="96" customFormat="1" ht="29.25" customHeight="1" x14ac:dyDescent="0.25">
      <c r="A65" s="99">
        <v>10</v>
      </c>
      <c r="B65" s="218" t="s">
        <v>67</v>
      </c>
      <c r="C65" s="219"/>
      <c r="D65" s="220" t="s">
        <v>68</v>
      </c>
      <c r="E65" s="221"/>
      <c r="F65" s="221"/>
      <c r="G65" s="224"/>
      <c r="H65" s="221"/>
      <c r="I65" s="221"/>
      <c r="J65" s="221"/>
      <c r="K65" s="263"/>
    </row>
    <row r="66" spans="1:12" s="96" customFormat="1" ht="15" x14ac:dyDescent="0.25">
      <c r="A66" s="99">
        <v>11</v>
      </c>
      <c r="B66" s="218" t="s">
        <v>69</v>
      </c>
      <c r="C66" s="219"/>
      <c r="D66" s="220" t="s">
        <v>70</v>
      </c>
      <c r="E66" s="221"/>
      <c r="F66" s="221"/>
      <c r="G66" s="224"/>
      <c r="H66" s="221"/>
      <c r="I66" s="221"/>
      <c r="J66" s="221"/>
      <c r="K66" s="263"/>
    </row>
    <row r="67" spans="1:12" s="96" customFormat="1" ht="44.25" customHeight="1" x14ac:dyDescent="0.25">
      <c r="A67" s="99">
        <v>12</v>
      </c>
      <c r="B67" s="218" t="s">
        <v>71</v>
      </c>
      <c r="C67" s="219"/>
      <c r="D67" s="220" t="s">
        <v>72</v>
      </c>
      <c r="E67" s="221"/>
      <c r="F67" s="221"/>
      <c r="G67" s="224"/>
      <c r="H67" s="221"/>
      <c r="I67" s="221"/>
      <c r="J67" s="221"/>
      <c r="K67" s="263"/>
    </row>
    <row r="68" spans="1:12" s="96" customFormat="1" ht="29.25" customHeight="1" x14ac:dyDescent="0.25">
      <c r="A68" s="99">
        <v>13</v>
      </c>
      <c r="B68" s="218" t="s">
        <v>73</v>
      </c>
      <c r="C68" s="219"/>
      <c r="D68" s="220" t="s">
        <v>74</v>
      </c>
      <c r="E68" s="221"/>
      <c r="F68" s="221"/>
      <c r="G68" s="224"/>
      <c r="H68" s="221"/>
      <c r="I68" s="221"/>
      <c r="J68" s="221"/>
      <c r="K68" s="263"/>
    </row>
    <row r="69" spans="1:12" s="96" customFormat="1" ht="15" x14ac:dyDescent="0.25">
      <c r="A69" s="99">
        <v>14</v>
      </c>
      <c r="B69" s="218" t="s">
        <v>75</v>
      </c>
      <c r="C69" s="219"/>
      <c r="D69" s="220" t="s">
        <v>76</v>
      </c>
      <c r="E69" s="221"/>
      <c r="F69" s="221"/>
      <c r="G69" s="224"/>
      <c r="H69" s="221"/>
      <c r="I69" s="221"/>
      <c r="J69" s="221"/>
      <c r="K69" s="263"/>
    </row>
    <row r="70" spans="1:12" s="96" customFormat="1" ht="42.75" customHeight="1" x14ac:dyDescent="0.25">
      <c r="A70" s="99">
        <v>15</v>
      </c>
      <c r="B70" s="218" t="s">
        <v>77</v>
      </c>
      <c r="C70" s="219"/>
      <c r="D70" s="220" t="s">
        <v>78</v>
      </c>
      <c r="E70" s="221"/>
      <c r="F70" s="221"/>
      <c r="G70" s="224" t="s">
        <v>84</v>
      </c>
      <c r="H70" s="221"/>
      <c r="I70" s="221"/>
      <c r="J70" s="221"/>
      <c r="K70" s="263"/>
      <c r="L70" s="97"/>
    </row>
    <row r="71" spans="1:12" customFormat="1" ht="38.25" customHeight="1" x14ac:dyDescent="0.25">
      <c r="A71" s="101">
        <v>16</v>
      </c>
      <c r="B71" s="214" t="s">
        <v>85</v>
      </c>
      <c r="C71" s="215"/>
      <c r="D71" s="216"/>
      <c r="E71" s="217"/>
      <c r="F71" s="217"/>
      <c r="G71" s="222"/>
      <c r="H71" s="217"/>
      <c r="I71" s="217"/>
      <c r="J71" s="217"/>
      <c r="K71" s="264"/>
      <c r="L71" s="98"/>
    </row>
    <row r="72" spans="1:12" customFormat="1" ht="53.25" customHeight="1" x14ac:dyDescent="0.25">
      <c r="A72" s="101">
        <v>17</v>
      </c>
      <c r="B72" s="214" t="s">
        <v>86</v>
      </c>
      <c r="C72" s="215"/>
      <c r="D72" s="216"/>
      <c r="E72" s="217"/>
      <c r="F72" s="217"/>
      <c r="G72" s="222"/>
      <c r="H72" s="217"/>
      <c r="I72" s="217"/>
      <c r="J72" s="217"/>
      <c r="K72" s="264"/>
      <c r="L72" s="98"/>
    </row>
    <row r="73" spans="1:12" s="96" customFormat="1" ht="15" x14ac:dyDescent="0.25">
      <c r="A73" s="99">
        <v>18</v>
      </c>
      <c r="B73" s="218" t="s">
        <v>79</v>
      </c>
      <c r="C73" s="219"/>
      <c r="D73" s="220" t="s">
        <v>80</v>
      </c>
      <c r="E73" s="221"/>
      <c r="F73" s="221"/>
      <c r="G73" s="224"/>
      <c r="H73" s="221"/>
      <c r="I73" s="221"/>
      <c r="J73" s="221"/>
      <c r="K73" s="263"/>
    </row>
    <row r="74" spans="1:12" s="96" customFormat="1" ht="30.75" customHeight="1" x14ac:dyDescent="0.25">
      <c r="A74" s="99">
        <v>19</v>
      </c>
      <c r="B74" s="218" t="s">
        <v>81</v>
      </c>
      <c r="C74" s="219"/>
      <c r="D74" s="220"/>
      <c r="E74" s="221"/>
      <c r="F74" s="221"/>
      <c r="G74" s="224"/>
      <c r="H74" s="221"/>
      <c r="I74" s="221"/>
      <c r="J74" s="221"/>
      <c r="K74" s="263"/>
    </row>
    <row r="75" spans="1:12" s="96" customFormat="1" ht="15" x14ac:dyDescent="0.25">
      <c r="A75" s="99">
        <v>20</v>
      </c>
      <c r="B75" s="218" t="s">
        <v>82</v>
      </c>
      <c r="C75" s="219"/>
      <c r="D75" s="220"/>
      <c r="E75" s="221"/>
      <c r="F75" s="221"/>
      <c r="G75" s="224"/>
      <c r="H75" s="221"/>
      <c r="I75" s="221"/>
      <c r="J75" s="221"/>
      <c r="K75" s="263"/>
    </row>
    <row r="76" spans="1:12" s="96" customFormat="1" ht="15.75" thickBot="1" x14ac:dyDescent="0.3">
      <c r="A76" s="103">
        <v>21</v>
      </c>
      <c r="B76" s="226" t="s">
        <v>83</v>
      </c>
      <c r="C76" s="227"/>
      <c r="D76" s="209"/>
      <c r="E76" s="210"/>
      <c r="F76" s="210"/>
      <c r="G76" s="211"/>
      <c r="H76" s="210"/>
      <c r="I76" s="210"/>
      <c r="J76" s="210"/>
      <c r="K76" s="262"/>
    </row>
    <row r="77" spans="1:12" x14ac:dyDescent="0.2">
      <c r="B77" s="38"/>
      <c r="C77" s="37"/>
      <c r="D77" s="39"/>
      <c r="E77" s="38"/>
      <c r="F77" s="40"/>
    </row>
    <row r="79" spans="1:12" s="94" customFormat="1" ht="15.75" x14ac:dyDescent="0.2">
      <c r="A79" s="87" t="s">
        <v>54</v>
      </c>
      <c r="B79" s="88"/>
      <c r="C79" s="89"/>
      <c r="D79" s="90"/>
      <c r="E79" s="91"/>
      <c r="F79" s="90"/>
      <c r="G79" s="90"/>
      <c r="H79" s="90"/>
      <c r="I79" s="92"/>
      <c r="J79" s="93"/>
      <c r="K79" s="93"/>
    </row>
    <row r="80" spans="1:12" s="66" customFormat="1" ht="218.45" customHeight="1" x14ac:dyDescent="0.2">
      <c r="A80" s="213" t="s">
        <v>99</v>
      </c>
      <c r="B80" s="213"/>
      <c r="C80" s="213"/>
      <c r="D80" s="213"/>
      <c r="E80" s="213"/>
      <c r="F80" s="213"/>
      <c r="G80" s="213"/>
      <c r="H80" s="213"/>
      <c r="I80" s="213"/>
      <c r="J80" s="213"/>
      <c r="K80" s="213"/>
    </row>
    <row r="81" spans="1:11" s="66" customFormat="1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</row>
    <row r="82" spans="1:11" s="66" customFormat="1" x14ac:dyDescent="0.2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</row>
    <row r="83" spans="1:11" s="66" customFormat="1" ht="181.9" customHeight="1" x14ac:dyDescent="0.2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</row>
    <row r="84" spans="1:11" s="66" customFormat="1" ht="97.15" customHeight="1" x14ac:dyDescent="0.2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</row>
    <row r="85" spans="1:11" s="66" customFormat="1" ht="81.599999999999994" customHeight="1" x14ac:dyDescent="0.2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</row>
  </sheetData>
  <autoFilter ref="A17:K29" xr:uid="{00000000-0009-0000-0000-000001000000}"/>
  <mergeCells count="86">
    <mergeCell ref="A30:K30"/>
    <mergeCell ref="A42:K42"/>
    <mergeCell ref="A11:K11"/>
    <mergeCell ref="D15:D16"/>
    <mergeCell ref="E15:G15"/>
    <mergeCell ref="H15:J15"/>
    <mergeCell ref="A18:K18"/>
    <mergeCell ref="B63:C63"/>
    <mergeCell ref="D63:F63"/>
    <mergeCell ref="G63:K63"/>
    <mergeCell ref="B61:C61"/>
    <mergeCell ref="D61:F61"/>
    <mergeCell ref="G61:K61"/>
    <mergeCell ref="B62:C62"/>
    <mergeCell ref="D62:F62"/>
    <mergeCell ref="G62:K62"/>
    <mergeCell ref="A80:K80"/>
    <mergeCell ref="A1:B1"/>
    <mergeCell ref="A2:B2"/>
    <mergeCell ref="A3:B3"/>
    <mergeCell ref="A4:B4"/>
    <mergeCell ref="A5:B5"/>
    <mergeCell ref="A6:B6"/>
    <mergeCell ref="A7:B7"/>
    <mergeCell ref="A12:K12"/>
    <mergeCell ref="A13:K13"/>
    <mergeCell ref="A10:K10"/>
    <mergeCell ref="E14:H14"/>
    <mergeCell ref="A15:A16"/>
    <mergeCell ref="B15:B16"/>
    <mergeCell ref="C15:C16"/>
    <mergeCell ref="A55:K55"/>
    <mergeCell ref="B56:C56"/>
    <mergeCell ref="D56:F56"/>
    <mergeCell ref="G56:K56"/>
    <mergeCell ref="B60:C60"/>
    <mergeCell ref="D60:F60"/>
    <mergeCell ref="G60:K60"/>
    <mergeCell ref="B57:C57"/>
    <mergeCell ref="D57:F57"/>
    <mergeCell ref="G57:K57"/>
    <mergeCell ref="D59:F59"/>
    <mergeCell ref="B59:C59"/>
    <mergeCell ref="G59:K59"/>
    <mergeCell ref="B58:C58"/>
    <mergeCell ref="D58:F58"/>
    <mergeCell ref="G58:K58"/>
    <mergeCell ref="B64:C64"/>
    <mergeCell ref="D64:F64"/>
    <mergeCell ref="G64:K64"/>
    <mergeCell ref="B65:C65"/>
    <mergeCell ref="D65:F65"/>
    <mergeCell ref="G65:K65"/>
    <mergeCell ref="B66:C66"/>
    <mergeCell ref="D66:F66"/>
    <mergeCell ref="G66:K66"/>
    <mergeCell ref="B67:C67"/>
    <mergeCell ref="D67:F67"/>
    <mergeCell ref="G67:K67"/>
    <mergeCell ref="B68:C68"/>
    <mergeCell ref="D68:F68"/>
    <mergeCell ref="G68:K68"/>
    <mergeCell ref="B69:C69"/>
    <mergeCell ref="D69:F69"/>
    <mergeCell ref="G69:K69"/>
    <mergeCell ref="B70:C70"/>
    <mergeCell ref="D70:F70"/>
    <mergeCell ref="G70:K70"/>
    <mergeCell ref="B73:C73"/>
    <mergeCell ref="D73:F73"/>
    <mergeCell ref="G73:K73"/>
    <mergeCell ref="G71:K71"/>
    <mergeCell ref="G72:K72"/>
    <mergeCell ref="B71:C71"/>
    <mergeCell ref="D71:F71"/>
    <mergeCell ref="B72:C72"/>
    <mergeCell ref="D72:F72"/>
    <mergeCell ref="B76:C76"/>
    <mergeCell ref="D76:F76"/>
    <mergeCell ref="G76:K76"/>
    <mergeCell ref="B74:C74"/>
    <mergeCell ref="D74:F74"/>
    <mergeCell ref="G74:K74"/>
    <mergeCell ref="B75:C75"/>
    <mergeCell ref="D75:F75"/>
    <mergeCell ref="G75:K75"/>
  </mergeCells>
  <phoneticPr fontId="4" type="noConversion"/>
  <pageMargins left="0.31496062992125984" right="0.31496062992125984" top="0.62992125984251968" bottom="0.55118110236220474" header="0.31496062992125984" footer="0.31496062992125984"/>
  <pageSetup paperSize="8" scale="81" fitToHeight="0" orientation="portrait" horizontalDpi="200" verticalDpi="200" r:id="rId1"/>
  <rowBreaks count="1" manualBreakCount="1">
    <brk id="5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8"/>
  <sheetViews>
    <sheetView zoomScale="106" zoomScaleNormal="106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M7" sqref="M7"/>
    </sheetView>
  </sheetViews>
  <sheetFormatPr defaultRowHeight="15" outlineLevelCol="1" x14ac:dyDescent="0.25"/>
  <cols>
    <col min="2" max="2" width="19.7109375" customWidth="1"/>
    <col min="3" max="3" width="10.140625" customWidth="1"/>
    <col min="4" max="4" width="13.42578125" customWidth="1"/>
    <col min="5" max="5" width="12.5703125" customWidth="1"/>
    <col min="6" max="6" width="11" customWidth="1"/>
    <col min="7" max="7" width="14.28515625" customWidth="1" outlineLevel="1"/>
    <col min="8" max="8" width="13.42578125" style="127" customWidth="1" outlineLevel="1"/>
    <col min="9" max="9" width="11.5703125" style="127" bestFit="1" customWidth="1" outlineLevel="1"/>
    <col min="10" max="10" width="11" customWidth="1" outlineLevel="1"/>
    <col min="11" max="11" width="11" customWidth="1"/>
    <col min="12" max="14" width="14.5703125" customWidth="1"/>
    <col min="15" max="15" width="19.42578125" customWidth="1"/>
    <col min="16" max="16" width="11" customWidth="1" collapsed="1"/>
    <col min="17" max="19" width="14.5703125" customWidth="1"/>
    <col min="20" max="20" width="19.42578125" customWidth="1"/>
    <col min="21" max="21" width="11" customWidth="1"/>
    <col min="28" max="28" width="26.42578125" customWidth="1"/>
    <col min="29" max="29" width="19.28515625" customWidth="1"/>
    <col min="30" max="30" width="11.42578125" customWidth="1"/>
  </cols>
  <sheetData>
    <row r="1" spans="1:30" ht="30" x14ac:dyDescent="0.25">
      <c r="A1" s="105"/>
      <c r="B1" s="105"/>
      <c r="C1" s="105"/>
      <c r="D1" s="105"/>
      <c r="E1" s="105"/>
      <c r="F1" s="105"/>
      <c r="G1" s="105">
        <v>309.27999999999997</v>
      </c>
      <c r="H1" s="125"/>
      <c r="I1" s="126" t="s">
        <v>44</v>
      </c>
      <c r="J1" s="105" t="s">
        <v>43</v>
      </c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30" x14ac:dyDescent="0.25">
      <c r="A2" s="105"/>
      <c r="B2" s="105"/>
      <c r="C2" s="105"/>
      <c r="D2" s="105"/>
      <c r="E2" s="105"/>
      <c r="F2" s="105"/>
      <c r="G2" s="105"/>
      <c r="H2" s="125"/>
      <c r="I2" s="126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30" ht="15" customHeight="1" x14ac:dyDescent="0.25">
      <c r="A3" s="142" t="s">
        <v>111</v>
      </c>
      <c r="B3" s="105"/>
      <c r="C3" s="105"/>
      <c r="D3" s="274" t="s">
        <v>0</v>
      </c>
      <c r="E3" s="275"/>
      <c r="F3" s="276"/>
      <c r="G3" s="277" t="s">
        <v>1</v>
      </c>
      <c r="H3" s="278"/>
      <c r="I3" s="278"/>
      <c r="J3" s="279"/>
      <c r="K3" s="280"/>
      <c r="L3" s="281"/>
      <c r="M3" s="281"/>
      <c r="N3" s="281"/>
      <c r="O3" s="282"/>
      <c r="P3" s="271"/>
      <c r="Q3" s="272"/>
      <c r="R3" s="272"/>
      <c r="S3" s="272"/>
      <c r="T3" s="273"/>
    </row>
    <row r="4" spans="1:30" ht="30" x14ac:dyDescent="0.25">
      <c r="A4" s="111" t="s">
        <v>6</v>
      </c>
      <c r="B4" s="111" t="s">
        <v>93</v>
      </c>
      <c r="C4" s="111" t="s">
        <v>92</v>
      </c>
      <c r="D4" s="112" t="s">
        <v>94</v>
      </c>
      <c r="E4" s="112" t="s">
        <v>91</v>
      </c>
      <c r="F4" s="112" t="s">
        <v>41</v>
      </c>
      <c r="G4" s="110" t="s">
        <v>94</v>
      </c>
      <c r="H4" s="110" t="s">
        <v>91</v>
      </c>
      <c r="I4" s="110" t="s">
        <v>41</v>
      </c>
      <c r="J4" s="110" t="s">
        <v>42</v>
      </c>
      <c r="K4" s="107"/>
      <c r="L4" s="107"/>
      <c r="M4" s="107"/>
      <c r="N4" s="107"/>
      <c r="O4" s="107"/>
      <c r="P4" s="123"/>
      <c r="Q4" s="123"/>
      <c r="R4" s="123"/>
      <c r="S4" s="123"/>
      <c r="T4" s="123"/>
      <c r="U4" s="106"/>
      <c r="V4" s="105"/>
      <c r="Y4" s="44"/>
      <c r="Z4" s="44"/>
      <c r="AA4" s="44"/>
      <c r="AB4" s="44"/>
      <c r="AC4" s="44"/>
      <c r="AD4" s="44"/>
    </row>
    <row r="5" spans="1:30" x14ac:dyDescent="0.25">
      <c r="A5" s="109">
        <v>1</v>
      </c>
      <c r="B5" s="108" t="s">
        <v>100</v>
      </c>
      <c r="C5" s="124">
        <v>72</v>
      </c>
      <c r="D5" s="104">
        <v>13.55</v>
      </c>
      <c r="E5" s="104">
        <v>1051.1600000000001</v>
      </c>
      <c r="F5" s="104">
        <v>10.09</v>
      </c>
      <c r="G5" s="131">
        <f>D5*C5</f>
        <v>975.6</v>
      </c>
      <c r="H5" s="132">
        <f>(E5*C5)/1000</f>
        <v>75.683520000000001</v>
      </c>
      <c r="I5" s="133">
        <f>F5*C5</f>
        <v>726.48</v>
      </c>
      <c r="J5" s="104">
        <f>ROUNDUP(C5*0.1,0)*D5*3</f>
        <v>325.20000000000005</v>
      </c>
      <c r="K5" s="109"/>
      <c r="L5" s="109"/>
      <c r="M5" s="109"/>
      <c r="N5" s="118"/>
      <c r="O5" s="109"/>
      <c r="P5" s="109"/>
      <c r="Q5" s="109"/>
      <c r="R5" s="109"/>
      <c r="S5" s="118"/>
      <c r="T5" s="109"/>
      <c r="Y5" t="s">
        <v>37</v>
      </c>
      <c r="Z5" s="45" t="s">
        <v>26</v>
      </c>
      <c r="AA5">
        <f>Z5+0.35</f>
        <v>45301.35</v>
      </c>
      <c r="AB5" t="e">
        <f>CONCATENATE(B5,"- ",C5,"шт х ",#REF!,"м; ")</f>
        <v>#REF!</v>
      </c>
      <c r="AC5" t="e">
        <f>CONCATENATE(AB5,AB6,AB7,AB8,AB9,AB10,#REF!,#REF!,#REF!,#REF!,#REF!)</f>
        <v>#REF!</v>
      </c>
    </row>
    <row r="6" spans="1:30" x14ac:dyDescent="0.25">
      <c r="A6" s="109">
        <v>2</v>
      </c>
      <c r="B6" s="108" t="s">
        <v>101</v>
      </c>
      <c r="C6" s="124">
        <v>2</v>
      </c>
      <c r="D6" s="104">
        <v>13.9</v>
      </c>
      <c r="E6" s="104">
        <v>1072.5</v>
      </c>
      <c r="F6" s="104">
        <v>10.33</v>
      </c>
      <c r="G6" s="131">
        <f>D6*C6</f>
        <v>27.8</v>
      </c>
      <c r="H6" s="132">
        <f t="shared" ref="H6:H10" si="0">E6*C6/1000</f>
        <v>2.145</v>
      </c>
      <c r="I6" s="133">
        <f t="shared" ref="I6:I10" si="1">F6*C6</f>
        <v>20.66</v>
      </c>
      <c r="J6" s="104">
        <f>ROUNDUP(C6*0.1,0)*D6*3</f>
        <v>41.7</v>
      </c>
      <c r="K6" s="109"/>
      <c r="L6" s="109"/>
      <c r="M6" s="118"/>
      <c r="N6" s="118"/>
      <c r="O6" s="109"/>
      <c r="P6" s="109"/>
      <c r="Q6" s="109"/>
      <c r="R6" s="109"/>
      <c r="S6" s="118"/>
      <c r="T6" s="109"/>
      <c r="Y6" t="s">
        <v>38</v>
      </c>
      <c r="Z6" s="45" t="s">
        <v>35</v>
      </c>
      <c r="AA6">
        <f t="shared" ref="AA6:AA10" si="2">Z6+0.35</f>
        <v>45394.35</v>
      </c>
      <c r="AB6" t="e">
        <f>CONCATENATE(B6,"- ",C6,"шт х ",#REF!,"м; ")</f>
        <v>#REF!</v>
      </c>
      <c r="AC6" t="s">
        <v>40</v>
      </c>
    </row>
    <row r="7" spans="1:30" x14ac:dyDescent="0.25">
      <c r="A7" s="109">
        <v>3</v>
      </c>
      <c r="B7" s="108" t="s">
        <v>102</v>
      </c>
      <c r="C7" s="124">
        <v>3</v>
      </c>
      <c r="D7" s="104">
        <f>13.2+0.75</f>
        <v>13.95</v>
      </c>
      <c r="E7" s="104">
        <v>1077.33</v>
      </c>
      <c r="F7" s="104">
        <v>10.09</v>
      </c>
      <c r="G7" s="131">
        <f t="shared" ref="G7:G10" si="3">D7*C7</f>
        <v>41.849999999999994</v>
      </c>
      <c r="H7" s="132">
        <f t="shared" si="0"/>
        <v>3.2319899999999997</v>
      </c>
      <c r="I7" s="133">
        <f t="shared" si="1"/>
        <v>30.27</v>
      </c>
      <c r="J7" s="104">
        <f t="shared" ref="J7:J10" si="4">ROUNDUP(C7*0.1,0)*D7*3</f>
        <v>41.849999999999994</v>
      </c>
      <c r="K7" s="109"/>
      <c r="L7" s="109"/>
      <c r="M7" s="109"/>
      <c r="N7" s="118"/>
      <c r="O7" s="109"/>
      <c r="P7" s="109"/>
      <c r="Q7" s="109"/>
      <c r="R7" s="109"/>
      <c r="S7" s="118"/>
      <c r="T7" s="109"/>
      <c r="Y7" t="s">
        <v>27</v>
      </c>
      <c r="Z7" s="45" t="s">
        <v>27</v>
      </c>
      <c r="AA7">
        <f t="shared" si="2"/>
        <v>14.35</v>
      </c>
      <c r="AB7" t="e">
        <f>CONCATENATE(B7,"- ",C7,"шт х ",#REF!,"м; ")</f>
        <v>#REF!</v>
      </c>
    </row>
    <row r="8" spans="1:30" x14ac:dyDescent="0.25">
      <c r="A8" s="109">
        <v>4</v>
      </c>
      <c r="B8" s="108" t="s">
        <v>103</v>
      </c>
      <c r="C8" s="124">
        <v>6</v>
      </c>
      <c r="D8" s="104">
        <f>13.7+0.75</f>
        <v>14.45</v>
      </c>
      <c r="E8" s="104">
        <v>1101.67</v>
      </c>
      <c r="F8" s="104">
        <v>10.09</v>
      </c>
      <c r="G8" s="131">
        <f t="shared" si="3"/>
        <v>86.699999999999989</v>
      </c>
      <c r="H8" s="132">
        <f t="shared" si="0"/>
        <v>6.6100200000000005</v>
      </c>
      <c r="I8" s="133">
        <f t="shared" si="1"/>
        <v>60.54</v>
      </c>
      <c r="J8" s="104">
        <f t="shared" si="4"/>
        <v>43.349999999999994</v>
      </c>
      <c r="K8" s="109"/>
      <c r="L8" s="109"/>
      <c r="M8" s="109"/>
      <c r="N8" s="118"/>
      <c r="O8" s="109"/>
      <c r="P8" s="109"/>
      <c r="Q8" s="121"/>
      <c r="R8" s="109"/>
      <c r="S8" s="118"/>
      <c r="T8" s="118"/>
      <c r="Y8" t="s">
        <v>27</v>
      </c>
      <c r="Z8" s="45" t="s">
        <v>27</v>
      </c>
      <c r="AA8">
        <f t="shared" si="2"/>
        <v>14.35</v>
      </c>
      <c r="AB8" t="e">
        <f>CONCATENATE(B8,"- ",C8,"шт х ",#REF!,"м; ")</f>
        <v>#REF!</v>
      </c>
    </row>
    <row r="9" spans="1:30" ht="15.75" x14ac:dyDescent="0.25">
      <c r="A9" s="109">
        <v>5</v>
      </c>
      <c r="B9" s="108" t="s">
        <v>104</v>
      </c>
      <c r="C9" s="124">
        <v>4</v>
      </c>
      <c r="D9" s="104">
        <v>18.25</v>
      </c>
      <c r="E9" s="104">
        <v>1400.25</v>
      </c>
      <c r="F9" s="104">
        <v>13.43</v>
      </c>
      <c r="G9" s="131">
        <f t="shared" si="3"/>
        <v>73</v>
      </c>
      <c r="H9" s="132">
        <f t="shared" si="0"/>
        <v>5.601</v>
      </c>
      <c r="I9" s="133">
        <f t="shared" si="1"/>
        <v>53.72</v>
      </c>
      <c r="J9" s="104">
        <f t="shared" si="4"/>
        <v>54.75</v>
      </c>
      <c r="K9" s="109"/>
      <c r="L9" s="109"/>
      <c r="M9" s="109"/>
      <c r="N9" s="118"/>
      <c r="O9" s="109"/>
      <c r="P9" s="109"/>
      <c r="Q9" s="122"/>
      <c r="R9" s="109"/>
      <c r="S9" s="118"/>
      <c r="T9" s="118"/>
      <c r="Y9" t="s">
        <v>39</v>
      </c>
      <c r="Z9" s="45" t="s">
        <v>36</v>
      </c>
      <c r="AA9">
        <f t="shared" si="2"/>
        <v>45366.35</v>
      </c>
      <c r="AB9" t="e">
        <f>CONCATENATE(B9,"- ",C9,"шт х ",#REF!,"м; ")</f>
        <v>#REF!</v>
      </c>
    </row>
    <row r="10" spans="1:30" x14ac:dyDescent="0.25">
      <c r="A10" s="109">
        <v>6</v>
      </c>
      <c r="B10" s="108" t="s">
        <v>105</v>
      </c>
      <c r="C10" s="124">
        <v>2</v>
      </c>
      <c r="D10" s="104">
        <v>19</v>
      </c>
      <c r="E10" s="104">
        <v>1331.5</v>
      </c>
      <c r="F10" s="134">
        <v>13.31</v>
      </c>
      <c r="G10" s="131">
        <f t="shared" si="3"/>
        <v>38</v>
      </c>
      <c r="H10" s="132">
        <f t="shared" si="0"/>
        <v>2.6629999999999998</v>
      </c>
      <c r="I10" s="133">
        <f t="shared" si="1"/>
        <v>26.62</v>
      </c>
      <c r="J10" s="104">
        <f t="shared" si="4"/>
        <v>57</v>
      </c>
      <c r="K10" s="109"/>
      <c r="L10" s="109"/>
      <c r="M10" s="109"/>
      <c r="N10" s="118"/>
      <c r="O10" s="109"/>
      <c r="P10" s="109"/>
      <c r="Q10" s="121"/>
      <c r="R10" s="109"/>
      <c r="S10" s="118"/>
      <c r="T10" s="118"/>
      <c r="Y10" t="s">
        <v>39</v>
      </c>
      <c r="Z10" s="45" t="s">
        <v>36</v>
      </c>
      <c r="AA10">
        <f t="shared" si="2"/>
        <v>45366.35</v>
      </c>
      <c r="AB10" t="e">
        <f>CONCATENATE(B10,"- ",C10,"шт х ",#REF!,"м; ")</f>
        <v>#REF!</v>
      </c>
    </row>
    <row r="11" spans="1:30" x14ac:dyDescent="0.25">
      <c r="A11" s="113"/>
      <c r="B11" s="114" t="s">
        <v>2</v>
      </c>
      <c r="C11" s="128">
        <f>SUM(C5:C10)</f>
        <v>89</v>
      </c>
      <c r="D11" s="137">
        <f t="shared" ref="D11:J11" si="5">SUM(D5:D10)</f>
        <v>93.100000000000009</v>
      </c>
      <c r="E11" s="137">
        <f t="shared" si="5"/>
        <v>7034.41</v>
      </c>
      <c r="F11" s="137">
        <f t="shared" si="5"/>
        <v>67.34</v>
      </c>
      <c r="G11" s="137">
        <f>SUM(G5:G10)</f>
        <v>1242.95</v>
      </c>
      <c r="H11" s="138">
        <f t="shared" si="5"/>
        <v>95.934529999999995</v>
      </c>
      <c r="I11" s="137">
        <f t="shared" si="5"/>
        <v>918.29</v>
      </c>
      <c r="J11" s="139">
        <f t="shared" si="5"/>
        <v>563.85</v>
      </c>
      <c r="K11" s="115"/>
      <c r="L11" s="119"/>
      <c r="M11" s="120"/>
      <c r="N11" s="120"/>
      <c r="O11" s="120"/>
      <c r="P11" s="115"/>
      <c r="Q11" s="119"/>
      <c r="R11" s="120"/>
      <c r="S11" s="120"/>
      <c r="T11" s="120"/>
      <c r="U11" s="1"/>
      <c r="V11" s="68"/>
      <c r="Y11" s="44"/>
      <c r="Z11" s="44"/>
      <c r="AA11" s="44"/>
      <c r="AB11" s="44"/>
      <c r="AC11" s="44"/>
      <c r="AD11" s="44"/>
    </row>
    <row r="12" spans="1:30" x14ac:dyDescent="0.25">
      <c r="A12" s="116"/>
      <c r="B12" s="117"/>
      <c r="C12" s="117"/>
      <c r="D12" s="117"/>
      <c r="E12" s="117"/>
      <c r="F12" s="117"/>
      <c r="G12" s="135">
        <f>975.6+27.8+41.85+86.7+73+38</f>
        <v>1242.95</v>
      </c>
      <c r="H12" s="135">
        <v>95.935000000000002</v>
      </c>
      <c r="I12" s="135">
        <f>726.65+20.66+30.28+60.55+53.72+26.62</f>
        <v>918.4799999999999</v>
      </c>
      <c r="J12" s="140">
        <v>547.20000000000005</v>
      </c>
      <c r="K12" s="117"/>
      <c r="L12" s="117"/>
      <c r="M12" s="117"/>
      <c r="N12" s="116"/>
      <c r="O12" s="116"/>
      <c r="P12" s="117"/>
      <c r="Q12" s="117"/>
      <c r="R12" s="117"/>
      <c r="S12" s="116"/>
      <c r="T12" s="116"/>
      <c r="Y12" s="44"/>
      <c r="Z12" s="44"/>
      <c r="AA12" s="44"/>
      <c r="AB12" s="44"/>
      <c r="AC12" s="44"/>
      <c r="AD12" s="44"/>
    </row>
    <row r="13" spans="1:30" x14ac:dyDescent="0.25">
      <c r="I13" s="127" t="s">
        <v>106</v>
      </c>
      <c r="J13">
        <f>5.18/1000</f>
        <v>5.1799999999999997E-3</v>
      </c>
    </row>
    <row r="14" spans="1:30" x14ac:dyDescent="0.25">
      <c r="J14" s="141">
        <f>J12*J13</f>
        <v>2.8344960000000001</v>
      </c>
      <c r="K14" t="s">
        <v>107</v>
      </c>
    </row>
    <row r="15" spans="1:30" x14ac:dyDescent="0.25">
      <c r="J15" s="141"/>
    </row>
    <row r="16" spans="1:30" ht="15" customHeight="1" x14ac:dyDescent="0.25">
      <c r="A16" s="142" t="s">
        <v>112</v>
      </c>
      <c r="B16" s="105"/>
      <c r="C16" s="105"/>
      <c r="D16" s="274" t="s">
        <v>0</v>
      </c>
      <c r="E16" s="275"/>
      <c r="F16" s="276"/>
      <c r="G16" s="277" t="s">
        <v>1</v>
      </c>
      <c r="H16" s="278"/>
      <c r="I16" s="278"/>
      <c r="J16" s="279"/>
      <c r="K16" s="280"/>
      <c r="L16" s="281"/>
      <c r="M16" s="281"/>
      <c r="N16" s="281"/>
      <c r="O16" s="282"/>
      <c r="P16" s="271"/>
      <c r="Q16" s="272"/>
      <c r="R16" s="272"/>
      <c r="S16" s="272"/>
      <c r="T16" s="273"/>
    </row>
    <row r="17" spans="1:29" ht="30" x14ac:dyDescent="0.25">
      <c r="A17" s="111" t="s">
        <v>6</v>
      </c>
      <c r="B17" s="111" t="s">
        <v>93</v>
      </c>
      <c r="C17" s="111" t="s">
        <v>92</v>
      </c>
      <c r="D17" s="112" t="s">
        <v>94</v>
      </c>
      <c r="E17" s="112" t="s">
        <v>91</v>
      </c>
      <c r="F17" s="112" t="s">
        <v>41</v>
      </c>
      <c r="G17" s="110" t="s">
        <v>94</v>
      </c>
      <c r="H17" s="110" t="s">
        <v>91</v>
      </c>
      <c r="I17" s="110" t="s">
        <v>41</v>
      </c>
      <c r="J17" s="110" t="s">
        <v>42</v>
      </c>
      <c r="K17" s="107"/>
      <c r="L17" s="107"/>
      <c r="M17" s="107"/>
      <c r="N17" s="107"/>
      <c r="O17" s="107"/>
      <c r="P17" s="123"/>
      <c r="Q17" s="123"/>
      <c r="R17" s="123"/>
      <c r="S17" s="123"/>
      <c r="T17" s="123"/>
      <c r="U17" s="105"/>
      <c r="V17" s="105"/>
    </row>
    <row r="18" spans="1:29" x14ac:dyDescent="0.25">
      <c r="A18" s="109">
        <v>1</v>
      </c>
      <c r="B18" s="108" t="s">
        <v>100</v>
      </c>
      <c r="C18" s="124">
        <v>18</v>
      </c>
      <c r="D18" s="104">
        <v>13.55</v>
      </c>
      <c r="E18" s="104">
        <v>1051.17</v>
      </c>
      <c r="F18" s="104">
        <v>10.09</v>
      </c>
      <c r="G18" s="131">
        <f>D18*C18</f>
        <v>243.9</v>
      </c>
      <c r="H18" s="132">
        <f>(E18*C18)/1000</f>
        <v>18.921060000000001</v>
      </c>
      <c r="I18" s="133">
        <f>F18*C18</f>
        <v>181.62</v>
      </c>
      <c r="J18" s="104">
        <f>ROUNDUP(C18*0.1,0)*D18*3</f>
        <v>81.300000000000011</v>
      </c>
      <c r="K18" s="109"/>
      <c r="L18" s="109"/>
      <c r="M18" s="109"/>
      <c r="N18" s="118"/>
      <c r="O18" s="109"/>
      <c r="P18" s="109"/>
      <c r="Q18" s="109"/>
      <c r="R18" s="109"/>
      <c r="S18" s="118"/>
      <c r="T18" s="109"/>
      <c r="Y18" t="s">
        <v>37</v>
      </c>
      <c r="Z18" s="45" t="s">
        <v>26</v>
      </c>
      <c r="AA18">
        <f>Z18+0.35</f>
        <v>45301.35</v>
      </c>
      <c r="AB18" t="e">
        <f>CONCATENATE(B18,"- ",C18,"шт х ",#REF!,"м; ")</f>
        <v>#REF!</v>
      </c>
      <c r="AC18" t="e">
        <f>CONCATENATE(AB18,AB19,AB20,AB21,AB22,#REF!,#REF!,#REF!,#REF!,#REF!,#REF!)</f>
        <v>#REF!</v>
      </c>
    </row>
    <row r="19" spans="1:29" x14ac:dyDescent="0.25">
      <c r="A19" s="109">
        <v>2</v>
      </c>
      <c r="B19" s="108" t="s">
        <v>101</v>
      </c>
      <c r="C19" s="124">
        <v>6</v>
      </c>
      <c r="D19" s="104">
        <v>14.45</v>
      </c>
      <c r="E19" s="104">
        <v>1101.67</v>
      </c>
      <c r="F19" s="104">
        <v>10.09</v>
      </c>
      <c r="G19" s="131">
        <f>D19*C19</f>
        <v>86.699999999999989</v>
      </c>
      <c r="H19" s="132">
        <f t="shared" ref="H19:H22" si="6">E19*C19/1000</f>
        <v>6.6100200000000005</v>
      </c>
      <c r="I19" s="133">
        <f t="shared" ref="I19:I22" si="7">F19*C19</f>
        <v>60.54</v>
      </c>
      <c r="J19" s="104">
        <f>ROUNDUP(C19*0.1,0)*D19*3</f>
        <v>43.349999999999994</v>
      </c>
      <c r="K19" s="109"/>
      <c r="L19" s="109"/>
      <c r="M19" s="118"/>
      <c r="N19" s="118"/>
      <c r="O19" s="109"/>
      <c r="P19" s="109"/>
      <c r="Q19" s="109"/>
      <c r="R19" s="109"/>
      <c r="S19" s="118"/>
      <c r="T19" s="109"/>
      <c r="Y19" t="s">
        <v>38</v>
      </c>
      <c r="Z19" s="45" t="s">
        <v>35</v>
      </c>
      <c r="AA19">
        <f t="shared" ref="AA19:AA22" si="8">Z19+0.35</f>
        <v>45394.35</v>
      </c>
      <c r="AB19" t="e">
        <f>CONCATENATE(B19,"- ",C19,"шт х ",#REF!,"м; ")</f>
        <v>#REF!</v>
      </c>
      <c r="AC19" t="s">
        <v>40</v>
      </c>
    </row>
    <row r="20" spans="1:29" x14ac:dyDescent="0.25">
      <c r="A20" s="109">
        <v>3</v>
      </c>
      <c r="B20" s="108" t="s">
        <v>104</v>
      </c>
      <c r="C20" s="124">
        <v>40</v>
      </c>
      <c r="D20" s="104">
        <v>17.55</v>
      </c>
      <c r="E20" s="104">
        <v>1365.18</v>
      </c>
      <c r="F20" s="104">
        <v>13.23</v>
      </c>
      <c r="G20" s="131">
        <f t="shared" ref="G20:G22" si="9">D20*C20</f>
        <v>702</v>
      </c>
      <c r="H20" s="132">
        <f t="shared" si="6"/>
        <v>54.607200000000006</v>
      </c>
      <c r="I20" s="133">
        <f t="shared" si="7"/>
        <v>529.20000000000005</v>
      </c>
      <c r="J20" s="104">
        <f t="shared" ref="J20:J22" si="10">ROUNDUP(C20*0.1,0)*D20*3</f>
        <v>210.60000000000002</v>
      </c>
      <c r="K20" s="109"/>
      <c r="L20" s="109"/>
      <c r="M20" s="109"/>
      <c r="N20" s="118"/>
      <c r="O20" s="109"/>
      <c r="P20" s="109"/>
      <c r="Q20" s="109"/>
      <c r="R20" s="109"/>
      <c r="S20" s="118"/>
      <c r="T20" s="109"/>
      <c r="Y20" t="s">
        <v>27</v>
      </c>
      <c r="Z20" s="45" t="s">
        <v>27</v>
      </c>
      <c r="AA20">
        <f t="shared" si="8"/>
        <v>14.35</v>
      </c>
      <c r="AB20" t="e">
        <f>CONCATENATE(B20,"- ",C20,"шт х ",#REF!,"м; ")</f>
        <v>#REF!</v>
      </c>
    </row>
    <row r="21" spans="1:29" x14ac:dyDescent="0.25">
      <c r="A21" s="109">
        <v>4</v>
      </c>
      <c r="B21" s="108" t="s">
        <v>105</v>
      </c>
      <c r="C21" s="124">
        <v>5</v>
      </c>
      <c r="D21" s="104">
        <v>18.45</v>
      </c>
      <c r="E21" s="104">
        <v>1390.4</v>
      </c>
      <c r="F21" s="104">
        <v>13.23</v>
      </c>
      <c r="G21" s="131">
        <f t="shared" si="9"/>
        <v>92.25</v>
      </c>
      <c r="H21" s="132">
        <f t="shared" si="6"/>
        <v>6.952</v>
      </c>
      <c r="I21" s="133">
        <f t="shared" si="7"/>
        <v>66.150000000000006</v>
      </c>
      <c r="J21" s="104">
        <f t="shared" si="10"/>
        <v>55.349999999999994</v>
      </c>
      <c r="K21" s="109"/>
      <c r="L21" s="109"/>
      <c r="M21" s="109"/>
      <c r="N21" s="118"/>
      <c r="O21" s="109"/>
      <c r="P21" s="109"/>
      <c r="Q21" s="121"/>
      <c r="R21" s="109"/>
      <c r="S21" s="118"/>
      <c r="T21" s="118"/>
      <c r="Y21" t="s">
        <v>27</v>
      </c>
      <c r="Z21" s="45" t="s">
        <v>27</v>
      </c>
      <c r="AA21">
        <f t="shared" si="8"/>
        <v>14.35</v>
      </c>
      <c r="AB21" t="e">
        <f>CONCATENATE(B21,"- ",C21,"шт х ",#REF!,"м; ")</f>
        <v>#REF!</v>
      </c>
    </row>
    <row r="22" spans="1:29" ht="15.75" x14ac:dyDescent="0.25">
      <c r="A22" s="109">
        <v>5</v>
      </c>
      <c r="B22" s="108" t="s">
        <v>109</v>
      </c>
      <c r="C22" s="124">
        <v>7</v>
      </c>
      <c r="D22" s="104">
        <v>20.95</v>
      </c>
      <c r="E22" s="104">
        <v>1353.57</v>
      </c>
      <c r="F22" s="104">
        <v>13.23</v>
      </c>
      <c r="G22" s="131">
        <f t="shared" si="9"/>
        <v>146.65</v>
      </c>
      <c r="H22" s="132">
        <f t="shared" si="6"/>
        <v>9.47499</v>
      </c>
      <c r="I22" s="133">
        <f t="shared" si="7"/>
        <v>92.61</v>
      </c>
      <c r="J22" s="104">
        <f t="shared" si="10"/>
        <v>62.849999999999994</v>
      </c>
      <c r="K22" s="109"/>
      <c r="L22" s="109"/>
      <c r="M22" s="109"/>
      <c r="N22" s="118"/>
      <c r="O22" s="109"/>
      <c r="P22" s="109"/>
      <c r="Q22" s="122"/>
      <c r="R22" s="109"/>
      <c r="S22" s="118"/>
      <c r="T22" s="118"/>
      <c r="Y22" t="s">
        <v>39</v>
      </c>
      <c r="Z22" s="45" t="s">
        <v>36</v>
      </c>
      <c r="AA22">
        <f t="shared" si="8"/>
        <v>45366.35</v>
      </c>
      <c r="AB22" t="e">
        <f>CONCATENATE(B22,"- ",C22,"шт х ",#REF!,"м; ")</f>
        <v>#REF!</v>
      </c>
    </row>
    <row r="23" spans="1:29" x14ac:dyDescent="0.25">
      <c r="A23" s="113"/>
      <c r="B23" s="114" t="s">
        <v>2</v>
      </c>
      <c r="C23" s="128">
        <f>SUM(C18:C22)</f>
        <v>76</v>
      </c>
      <c r="D23" s="137">
        <f t="shared" ref="D23:J23" si="11">SUM(D18:D22)</f>
        <v>84.95</v>
      </c>
      <c r="E23" s="137">
        <f t="shared" si="11"/>
        <v>6261.99</v>
      </c>
      <c r="F23" s="137">
        <f t="shared" si="11"/>
        <v>59.870000000000005</v>
      </c>
      <c r="G23" s="137">
        <f t="shared" si="11"/>
        <v>1271.5</v>
      </c>
      <c r="H23" s="138">
        <f t="shared" si="11"/>
        <v>96.565270000000012</v>
      </c>
      <c r="I23" s="137">
        <f t="shared" si="11"/>
        <v>930.12</v>
      </c>
      <c r="J23" s="139">
        <f t="shared" si="11"/>
        <v>453.45000000000005</v>
      </c>
      <c r="K23" s="115"/>
      <c r="L23" s="119"/>
      <c r="M23" s="120"/>
      <c r="N23" s="120"/>
      <c r="O23" s="120"/>
      <c r="P23" s="115"/>
      <c r="Q23" s="119"/>
      <c r="R23" s="120"/>
      <c r="S23" s="120"/>
      <c r="T23" s="120"/>
      <c r="U23" s="1"/>
      <c r="V23" s="68"/>
    </row>
    <row r="24" spans="1:29" x14ac:dyDescent="0.25">
      <c r="A24" s="116"/>
      <c r="B24" s="117"/>
      <c r="C24" s="117"/>
      <c r="D24" s="117"/>
      <c r="E24" s="117"/>
      <c r="F24" s="117"/>
      <c r="G24" s="135"/>
      <c r="H24" s="135">
        <v>96.566000000000003</v>
      </c>
      <c r="I24" s="135">
        <v>930.38</v>
      </c>
      <c r="J24" s="140">
        <v>369.1</v>
      </c>
      <c r="K24" s="117"/>
      <c r="L24" s="117"/>
      <c r="M24" s="117"/>
      <c r="N24" s="116"/>
      <c r="O24" s="116"/>
      <c r="P24" s="117"/>
      <c r="Q24" s="117"/>
      <c r="R24" s="117"/>
      <c r="S24" s="116"/>
      <c r="T24" s="116"/>
    </row>
    <row r="25" spans="1:29" x14ac:dyDescent="0.25">
      <c r="H25"/>
      <c r="I25" t="s">
        <v>106</v>
      </c>
      <c r="J25">
        <f>5.18/1000</f>
        <v>5.1799999999999997E-3</v>
      </c>
    </row>
    <row r="26" spans="1:29" x14ac:dyDescent="0.25">
      <c r="H26"/>
      <c r="I26"/>
      <c r="J26" s="141">
        <f>J24*J25</f>
        <v>1.9119379999999999</v>
      </c>
      <c r="K26" t="s">
        <v>107</v>
      </c>
    </row>
    <row r="27" spans="1:29" x14ac:dyDescent="0.25">
      <c r="A27" s="142" t="s">
        <v>110</v>
      </c>
    </row>
    <row r="28" spans="1:29" ht="15" customHeight="1" x14ac:dyDescent="0.25">
      <c r="A28" s="105"/>
      <c r="B28" s="105"/>
      <c r="C28" s="105"/>
      <c r="D28" s="274" t="s">
        <v>0</v>
      </c>
      <c r="E28" s="275"/>
      <c r="F28" s="276"/>
      <c r="G28" s="277" t="s">
        <v>1</v>
      </c>
      <c r="H28" s="278"/>
      <c r="I28" s="278"/>
      <c r="J28" s="279"/>
      <c r="K28" s="280"/>
      <c r="L28" s="281"/>
      <c r="M28" s="281"/>
      <c r="N28" s="281"/>
      <c r="O28" s="282"/>
      <c r="P28" s="271"/>
      <c r="Q28" s="272"/>
      <c r="R28" s="272"/>
      <c r="S28" s="272"/>
      <c r="T28" s="273"/>
    </row>
    <row r="29" spans="1:29" ht="30" x14ac:dyDescent="0.25">
      <c r="A29" s="111" t="s">
        <v>6</v>
      </c>
      <c r="B29" s="111" t="s">
        <v>93</v>
      </c>
      <c r="C29" s="111" t="s">
        <v>92</v>
      </c>
      <c r="D29" s="112" t="s">
        <v>94</v>
      </c>
      <c r="E29" s="112" t="s">
        <v>91</v>
      </c>
      <c r="F29" s="112" t="s">
        <v>41</v>
      </c>
      <c r="G29" s="110" t="s">
        <v>94</v>
      </c>
      <c r="H29" s="110" t="s">
        <v>91</v>
      </c>
      <c r="I29" s="110" t="s">
        <v>41</v>
      </c>
      <c r="J29" s="110" t="s">
        <v>42</v>
      </c>
      <c r="K29" s="107"/>
      <c r="L29" s="107"/>
      <c r="M29" s="107"/>
      <c r="N29" s="107"/>
      <c r="O29" s="107"/>
      <c r="P29" s="123"/>
      <c r="Q29" s="123"/>
      <c r="R29" s="123"/>
      <c r="S29" s="123"/>
      <c r="T29" s="123"/>
      <c r="U29" s="105"/>
      <c r="V29" s="105"/>
    </row>
    <row r="30" spans="1:29" x14ac:dyDescent="0.25">
      <c r="A30" s="109">
        <v>1</v>
      </c>
      <c r="B30" s="108" t="s">
        <v>100</v>
      </c>
      <c r="C30" s="124">
        <v>22</v>
      </c>
      <c r="D30" s="104">
        <v>13.55</v>
      </c>
      <c r="E30" s="104">
        <v>1051.18</v>
      </c>
      <c r="F30" s="104">
        <v>10.09</v>
      </c>
      <c r="G30" s="131">
        <f>D30*C30</f>
        <v>298.10000000000002</v>
      </c>
      <c r="H30" s="132">
        <f>(E30*C30)/1000</f>
        <v>23.125960000000003</v>
      </c>
      <c r="I30" s="133">
        <f>F30*C30</f>
        <v>221.98</v>
      </c>
      <c r="J30" s="104">
        <f>ROUNDUP(C30*0.1,0)*D30*3</f>
        <v>121.95000000000002</v>
      </c>
      <c r="K30" s="109"/>
      <c r="L30" s="109"/>
      <c r="M30" s="109"/>
      <c r="N30" s="118"/>
      <c r="O30" s="109"/>
      <c r="P30" s="109"/>
      <c r="Q30" s="109"/>
      <c r="R30" s="109"/>
      <c r="S30" s="118"/>
      <c r="T30" s="109"/>
      <c r="Y30" t="s">
        <v>37</v>
      </c>
      <c r="Z30" s="45" t="s">
        <v>26</v>
      </c>
      <c r="AA30">
        <f>Z30+0.35</f>
        <v>45301.35</v>
      </c>
      <c r="AB30" t="e">
        <f>CONCATENATE(B30,"- ",C30,"шт х ",#REF!,"м; ")</f>
        <v>#REF!</v>
      </c>
      <c r="AC30" t="e">
        <f>CONCATENATE(AB30,#REF!,AB31,AB32,AB33,#REF!,#REF!,#REF!,#REF!,#REF!,#REF!)</f>
        <v>#REF!</v>
      </c>
    </row>
    <row r="31" spans="1:29" x14ac:dyDescent="0.25">
      <c r="A31" s="109">
        <v>2</v>
      </c>
      <c r="B31" s="108" t="s">
        <v>104</v>
      </c>
      <c r="C31" s="124">
        <v>59</v>
      </c>
      <c r="D31" s="104">
        <v>17.55</v>
      </c>
      <c r="E31" s="104">
        <v>1365.19</v>
      </c>
      <c r="F31" s="104">
        <v>13.23</v>
      </c>
      <c r="G31" s="131">
        <f t="shared" ref="G31:G33" si="12">D31*C31</f>
        <v>1035.45</v>
      </c>
      <c r="H31" s="132">
        <f t="shared" ref="H31:H33" si="13">E31*C31/1000</f>
        <v>80.546210000000002</v>
      </c>
      <c r="I31" s="133">
        <f t="shared" ref="I31:I33" si="14">F31*C31</f>
        <v>780.57</v>
      </c>
      <c r="J31" s="104">
        <f t="shared" ref="J31:J33" si="15">ROUNDUP(C31*0.1,0)*D31*3</f>
        <v>315.90000000000003</v>
      </c>
      <c r="K31" s="109"/>
      <c r="L31" s="109"/>
      <c r="M31" s="109"/>
      <c r="N31" s="118"/>
      <c r="O31" s="109"/>
      <c r="P31" s="109"/>
      <c r="Q31" s="109"/>
      <c r="R31" s="109"/>
      <c r="S31" s="118"/>
      <c r="T31" s="109"/>
      <c r="Y31" t="s">
        <v>27</v>
      </c>
      <c r="Z31" s="45" t="s">
        <v>27</v>
      </c>
      <c r="AA31">
        <f t="shared" ref="AA31:AA33" si="16">Z31+0.35</f>
        <v>14.35</v>
      </c>
      <c r="AB31" t="e">
        <f>CONCATENATE(B31,"- ",C31,"шт х ",#REF!,"м; ")</f>
        <v>#REF!</v>
      </c>
    </row>
    <row r="32" spans="1:29" x14ac:dyDescent="0.25">
      <c r="A32" s="109">
        <v>3</v>
      </c>
      <c r="B32" s="108" t="s">
        <v>105</v>
      </c>
      <c r="C32" s="124">
        <v>9</v>
      </c>
      <c r="D32" s="104">
        <v>18.45</v>
      </c>
      <c r="E32" s="104">
        <v>1390.44</v>
      </c>
      <c r="F32" s="104">
        <v>13.23</v>
      </c>
      <c r="G32" s="131">
        <f t="shared" si="12"/>
        <v>166.04999999999998</v>
      </c>
      <c r="H32" s="132">
        <f t="shared" si="13"/>
        <v>12.513960000000001</v>
      </c>
      <c r="I32" s="133">
        <f t="shared" si="14"/>
        <v>119.07000000000001</v>
      </c>
      <c r="J32" s="104">
        <f t="shared" si="15"/>
        <v>55.349999999999994</v>
      </c>
      <c r="K32" s="109"/>
      <c r="L32" s="109"/>
      <c r="M32" s="109"/>
      <c r="N32" s="118"/>
      <c r="O32" s="109"/>
      <c r="P32" s="109"/>
      <c r="Q32" s="121"/>
      <c r="R32" s="109"/>
      <c r="S32" s="118"/>
      <c r="T32" s="118"/>
      <c r="Y32" t="s">
        <v>27</v>
      </c>
      <c r="Z32" s="45" t="s">
        <v>27</v>
      </c>
      <c r="AA32">
        <f t="shared" si="16"/>
        <v>14.35</v>
      </c>
      <c r="AB32" t="e">
        <f>CONCATENATE(B32,"- ",C32,"шт х ",#REF!,"м; ")</f>
        <v>#REF!</v>
      </c>
    </row>
    <row r="33" spans="1:28" ht="15.75" x14ac:dyDescent="0.25">
      <c r="A33" s="109">
        <v>4</v>
      </c>
      <c r="B33" s="108" t="s">
        <v>109</v>
      </c>
      <c r="C33" s="124">
        <v>7</v>
      </c>
      <c r="D33" s="104">
        <v>17.95</v>
      </c>
      <c r="E33" s="104">
        <v>1329.86</v>
      </c>
      <c r="F33" s="104">
        <v>13.39</v>
      </c>
      <c r="G33" s="131">
        <f t="shared" si="12"/>
        <v>125.64999999999999</v>
      </c>
      <c r="H33" s="132">
        <f t="shared" si="13"/>
        <v>9.3090199999999985</v>
      </c>
      <c r="I33" s="133">
        <f t="shared" si="14"/>
        <v>93.73</v>
      </c>
      <c r="J33" s="104">
        <f t="shared" si="15"/>
        <v>53.849999999999994</v>
      </c>
      <c r="K33" s="109"/>
      <c r="L33" s="109"/>
      <c r="M33" s="109"/>
      <c r="N33" s="118"/>
      <c r="O33" s="109"/>
      <c r="P33" s="109"/>
      <c r="Q33" s="122"/>
      <c r="R33" s="109"/>
      <c r="S33" s="118"/>
      <c r="T33" s="118"/>
      <c r="Y33" t="s">
        <v>39</v>
      </c>
      <c r="Z33" s="45" t="s">
        <v>36</v>
      </c>
      <c r="AA33">
        <f t="shared" si="16"/>
        <v>45366.35</v>
      </c>
      <c r="AB33" t="e">
        <f>CONCATENATE(B33,"- ",C33,"шт х ",#REF!,"м; ")</f>
        <v>#REF!</v>
      </c>
    </row>
    <row r="34" spans="1:28" x14ac:dyDescent="0.25">
      <c r="A34" s="113"/>
      <c r="B34" s="114" t="s">
        <v>2</v>
      </c>
      <c r="C34" s="128">
        <f>SUM(C30:C33)</f>
        <v>97</v>
      </c>
      <c r="D34" s="137">
        <f t="shared" ref="D34:J34" si="17">SUM(D30:D33)</f>
        <v>67.5</v>
      </c>
      <c r="E34" s="137">
        <f t="shared" si="17"/>
        <v>5136.67</v>
      </c>
      <c r="F34" s="137">
        <f>SUM(F30:F33)</f>
        <v>49.94</v>
      </c>
      <c r="G34" s="137">
        <f t="shared" si="17"/>
        <v>1625.2500000000002</v>
      </c>
      <c r="H34" s="138">
        <f t="shared" si="17"/>
        <v>125.49515000000001</v>
      </c>
      <c r="I34" s="137">
        <f t="shared" si="17"/>
        <v>1215.3500000000001</v>
      </c>
      <c r="J34" s="139">
        <f t="shared" si="17"/>
        <v>547.05000000000007</v>
      </c>
      <c r="K34" s="115"/>
      <c r="L34" s="119"/>
      <c r="M34" s="120"/>
      <c r="N34" s="120"/>
      <c r="O34" s="120"/>
      <c r="P34" s="115"/>
      <c r="Q34" s="119"/>
      <c r="R34" s="120"/>
      <c r="S34" s="120"/>
      <c r="T34" s="120"/>
      <c r="U34" s="1"/>
      <c r="V34" s="68"/>
    </row>
    <row r="35" spans="1:28" x14ac:dyDescent="0.25">
      <c r="A35" s="116"/>
      <c r="B35" s="117"/>
      <c r="C35" s="117"/>
      <c r="D35" s="117"/>
      <c r="E35" s="117"/>
      <c r="F35" s="117"/>
      <c r="G35" s="135"/>
      <c r="H35" s="135">
        <v>125.494</v>
      </c>
      <c r="I35" s="135">
        <v>1215.68</v>
      </c>
      <c r="J35" s="140">
        <v>519.4</v>
      </c>
      <c r="K35" s="117"/>
      <c r="L35" s="117"/>
      <c r="M35" s="117"/>
      <c r="N35" s="116"/>
      <c r="O35" s="116"/>
      <c r="P35" s="117"/>
      <c r="Q35" s="117"/>
      <c r="R35" s="117"/>
      <c r="S35" s="116"/>
      <c r="T35" s="116"/>
    </row>
    <row r="36" spans="1:28" x14ac:dyDescent="0.25">
      <c r="H36"/>
      <c r="I36" t="s">
        <v>106</v>
      </c>
      <c r="J36">
        <f>5.18/1000</f>
        <v>5.1799999999999997E-3</v>
      </c>
    </row>
    <row r="37" spans="1:28" x14ac:dyDescent="0.25">
      <c r="H37"/>
      <c r="I37"/>
      <c r="J37" s="141">
        <f>J35*J36</f>
        <v>2.6904919999999999</v>
      </c>
      <c r="K37" t="s">
        <v>107</v>
      </c>
    </row>
    <row r="38" spans="1:28" x14ac:dyDescent="0.25">
      <c r="J38">
        <v>2.6904919999999999</v>
      </c>
    </row>
  </sheetData>
  <mergeCells count="12">
    <mergeCell ref="P3:T3"/>
    <mergeCell ref="D3:F3"/>
    <mergeCell ref="G3:J3"/>
    <mergeCell ref="K3:O3"/>
    <mergeCell ref="D28:F28"/>
    <mergeCell ref="G28:J28"/>
    <mergeCell ref="K28:O28"/>
    <mergeCell ref="P28:T28"/>
    <mergeCell ref="D16:F16"/>
    <mergeCell ref="G16:J16"/>
    <mergeCell ref="K16:O16"/>
    <mergeCell ref="P16:T1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Шпунтовое ограждение</vt:lpstr>
      <vt:lpstr>ТКП</vt:lpstr>
      <vt:lpstr>выборка объемов</vt:lpstr>
      <vt:lpstr>ТКП!Область_печати</vt:lpstr>
      <vt:lpstr>'Шпунтовое ограждение'!Область_печати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 Дмитрий Викторович</dc:creator>
  <cp:lastModifiedBy>Набатова Татьяна Алексеевна</cp:lastModifiedBy>
  <cp:lastPrinted>2024-06-21T06:38:05Z</cp:lastPrinted>
  <dcterms:created xsi:type="dcterms:W3CDTF">2015-06-05T18:17:20Z</dcterms:created>
  <dcterms:modified xsi:type="dcterms:W3CDTF">2024-07-19T08:26:29Z</dcterms:modified>
</cp:coreProperties>
</file>