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sp.lan\dfs\rsp\Производственная служба\Технический отдел\Тех документация\стоимость работ\Сметы исходящие\Престиж\2024\ремонт помещений\"/>
    </mc:Choice>
  </mc:AlternateContent>
  <bookViews>
    <workbookView xWindow="0" yWindow="0" windowWidth="23040" windowHeight="8904"/>
  </bookViews>
  <sheets>
    <sheet name="Смета 12 гр. ТЕР МО" sheetId="5" r:id="rId1"/>
    <sheet name="Дефектная ведомость" sheetId="6" state="hidden" r:id="rId2"/>
    <sheet name="Макет форма-3" sheetId="7" state="hidden" r:id="rId3"/>
    <sheet name="Source" sheetId="1" state="hidden" r:id="rId4"/>
    <sheet name="SourceObSm" sheetId="2" state="hidden" r:id="rId5"/>
    <sheet name="SmtRes" sheetId="3" state="hidden" r:id="rId6"/>
    <sheet name="EtalonRes" sheetId="4" state="hidden" r:id="rId7"/>
  </sheets>
  <definedNames>
    <definedName name="_xlnm.Print_Titles" localSheetId="1">'Дефектная ведомость'!$18:$18</definedName>
    <definedName name="_xlnm.Print_Titles" localSheetId="0">'Смета 12 гр. ТЕР МО'!$28:$28</definedName>
    <definedName name="_xlnm.Print_Area" localSheetId="1">'Дефектная ведомость'!$A$1:$E$33</definedName>
    <definedName name="_xlnm.Print_Area" localSheetId="0">'Смета 12 гр. ТЕР МО'!$A$1:$L$117</definedName>
  </definedNames>
  <calcPr calcId="162913"/>
</workbook>
</file>

<file path=xl/calcChain.xml><?xml version="1.0" encoding="utf-8"?>
<calcChain xmlns="http://schemas.openxmlformats.org/spreadsheetml/2006/main">
  <c r="G48" i="5" l="1"/>
  <c r="G57" i="5" s="1"/>
  <c r="G43" i="5"/>
  <c r="G52" i="5" s="1"/>
  <c r="G61" i="5" s="1"/>
  <c r="G66" i="5" s="1"/>
  <c r="G70" i="5" s="1"/>
  <c r="G75" i="5" l="1"/>
  <c r="G85" i="5"/>
  <c r="A1" i="7"/>
  <c r="C28" i="6"/>
  <c r="B28" i="6"/>
  <c r="C27" i="6"/>
  <c r="B27" i="6"/>
  <c r="A26" i="6"/>
  <c r="C25" i="6"/>
  <c r="B25" i="6"/>
  <c r="C24" i="6"/>
  <c r="B24" i="6"/>
  <c r="C23" i="6"/>
  <c r="B23" i="6"/>
  <c r="C22" i="6"/>
  <c r="B22" i="6"/>
  <c r="C21" i="6"/>
  <c r="B21" i="6"/>
  <c r="A20" i="6"/>
  <c r="A19" i="6"/>
  <c r="A12" i="6"/>
  <c r="A11" i="6"/>
  <c r="A1" i="6"/>
  <c r="I115" i="5"/>
  <c r="I112" i="5"/>
  <c r="D115" i="5"/>
  <c r="D112" i="5"/>
  <c r="Z100" i="5"/>
  <c r="Y100" i="5"/>
  <c r="X100" i="5"/>
  <c r="E99" i="5"/>
  <c r="J98" i="5"/>
  <c r="E98" i="5"/>
  <c r="J97" i="5"/>
  <c r="E97" i="5"/>
  <c r="J96" i="5"/>
  <c r="G96" i="5"/>
  <c r="F96" i="5"/>
  <c r="J95" i="5"/>
  <c r="G95" i="5"/>
  <c r="F95" i="5"/>
  <c r="J94" i="5"/>
  <c r="F94" i="5"/>
  <c r="F92" i="5"/>
  <c r="D92" i="5"/>
  <c r="I92" i="5"/>
  <c r="C92" i="5"/>
  <c r="B92" i="5"/>
  <c r="Z91" i="5"/>
  <c r="Y91" i="5"/>
  <c r="X91" i="5"/>
  <c r="E90" i="5"/>
  <c r="J89" i="5"/>
  <c r="E89" i="5"/>
  <c r="J88" i="5"/>
  <c r="E88" i="5"/>
  <c r="J87" i="5"/>
  <c r="G87" i="5"/>
  <c r="F87" i="5"/>
  <c r="J86" i="5"/>
  <c r="G86" i="5"/>
  <c r="F86" i="5"/>
  <c r="J85" i="5"/>
  <c r="F85" i="5"/>
  <c r="F83" i="5"/>
  <c r="D83" i="5"/>
  <c r="I83" i="5"/>
  <c r="C83" i="5"/>
  <c r="B83" i="5"/>
  <c r="A82" i="5"/>
  <c r="Z76" i="5"/>
  <c r="Y76" i="5"/>
  <c r="X76" i="5"/>
  <c r="E75" i="5"/>
  <c r="J74" i="5"/>
  <c r="E74" i="5"/>
  <c r="J73" i="5"/>
  <c r="E73" i="5"/>
  <c r="J72" i="5"/>
  <c r="G72" i="5"/>
  <c r="F72" i="5"/>
  <c r="J71" i="5"/>
  <c r="G71" i="5"/>
  <c r="F71" i="5"/>
  <c r="J70" i="5"/>
  <c r="F70" i="5"/>
  <c r="F68" i="5"/>
  <c r="D68" i="5"/>
  <c r="I68" i="5"/>
  <c r="C68" i="5"/>
  <c r="B68" i="5"/>
  <c r="Z67" i="5"/>
  <c r="Y67" i="5"/>
  <c r="X67" i="5"/>
  <c r="E66" i="5"/>
  <c r="J65" i="5"/>
  <c r="E65" i="5"/>
  <c r="J64" i="5"/>
  <c r="E64" i="5"/>
  <c r="J63" i="5"/>
  <c r="G63" i="5"/>
  <c r="F63" i="5"/>
  <c r="J62" i="5"/>
  <c r="G62" i="5"/>
  <c r="F62" i="5"/>
  <c r="J61" i="5"/>
  <c r="F61" i="5"/>
  <c r="F59" i="5"/>
  <c r="D59" i="5"/>
  <c r="I59" i="5"/>
  <c r="C59" i="5"/>
  <c r="B59" i="5"/>
  <c r="Z58" i="5"/>
  <c r="Y58" i="5"/>
  <c r="X58" i="5"/>
  <c r="E57" i="5"/>
  <c r="J56" i="5"/>
  <c r="E56" i="5"/>
  <c r="J55" i="5"/>
  <c r="E55" i="5"/>
  <c r="J54" i="5"/>
  <c r="G54" i="5"/>
  <c r="F54" i="5"/>
  <c r="J53" i="5"/>
  <c r="G53" i="5"/>
  <c r="F53" i="5"/>
  <c r="J52" i="5"/>
  <c r="F52" i="5"/>
  <c r="F50" i="5"/>
  <c r="D50" i="5"/>
  <c r="I50" i="5"/>
  <c r="C50" i="5"/>
  <c r="B50" i="5"/>
  <c r="Z49" i="5"/>
  <c r="Y49" i="5"/>
  <c r="X49" i="5"/>
  <c r="E48" i="5"/>
  <c r="J47" i="5"/>
  <c r="E47" i="5"/>
  <c r="J46" i="5"/>
  <c r="E46" i="5"/>
  <c r="J45" i="5"/>
  <c r="G45" i="5"/>
  <c r="F45" i="5"/>
  <c r="J44" i="5"/>
  <c r="G44" i="5"/>
  <c r="F44" i="5"/>
  <c r="J43" i="5"/>
  <c r="F43" i="5"/>
  <c r="F41" i="5"/>
  <c r="D41" i="5"/>
  <c r="I41" i="5"/>
  <c r="C41" i="5"/>
  <c r="B41" i="5"/>
  <c r="Z40" i="5"/>
  <c r="Y40" i="5"/>
  <c r="X40" i="5"/>
  <c r="E39" i="5"/>
  <c r="J38" i="5"/>
  <c r="E38" i="5"/>
  <c r="J37" i="5"/>
  <c r="E37" i="5"/>
  <c r="J36" i="5"/>
  <c r="F36" i="5"/>
  <c r="J35" i="5"/>
  <c r="F35" i="5"/>
  <c r="J34" i="5"/>
  <c r="F34" i="5"/>
  <c r="F32" i="5"/>
  <c r="D32" i="5"/>
  <c r="I32" i="5"/>
  <c r="C32" i="5"/>
  <c r="B32" i="5"/>
  <c r="A31" i="5"/>
  <c r="B11" i="5"/>
  <c r="H5" i="5"/>
  <c r="A1" i="5"/>
  <c r="G94" i="5" l="1"/>
  <c r="G90" i="5"/>
  <c r="G99" i="5" s="1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1" i="3"/>
  <c r="CY1" i="3"/>
  <c r="CZ1" i="3"/>
  <c r="DB1" i="3" s="1"/>
  <c r="DA1" i="3"/>
  <c r="DC1" i="3"/>
  <c r="A2" i="3"/>
  <c r="CY2" i="3"/>
  <c r="CZ2" i="3"/>
  <c r="DB2" i="3" s="1"/>
  <c r="DA2" i="3"/>
  <c r="DC2" i="3"/>
  <c r="A3" i="3"/>
  <c r="CY3" i="3"/>
  <c r="CZ3" i="3"/>
  <c r="DB3" i="3" s="1"/>
  <c r="DA3" i="3"/>
  <c r="DC3" i="3"/>
  <c r="A4" i="3"/>
  <c r="CY4" i="3"/>
  <c r="CZ4" i="3"/>
  <c r="DB4" i="3" s="1"/>
  <c r="DA4" i="3"/>
  <c r="DC4" i="3"/>
  <c r="A5" i="3"/>
  <c r="CY5" i="3"/>
  <c r="CZ5" i="3"/>
  <c r="DB5" i="3" s="1"/>
  <c r="DA5" i="3"/>
  <c r="DC5" i="3"/>
  <c r="A6" i="3"/>
  <c r="CY6" i="3"/>
  <c r="CZ6" i="3"/>
  <c r="DA6" i="3"/>
  <c r="DB6" i="3"/>
  <c r="DC6" i="3"/>
  <c r="A7" i="3"/>
  <c r="CY7" i="3"/>
  <c r="CZ7" i="3"/>
  <c r="DB7" i="3" s="1"/>
  <c r="DA7" i="3"/>
  <c r="DC7" i="3"/>
  <c r="A8" i="3"/>
  <c r="CY8" i="3"/>
  <c r="CZ8" i="3"/>
  <c r="DB8" i="3" s="1"/>
  <c r="DA8" i="3"/>
  <c r="DC8" i="3"/>
  <c r="A9" i="3"/>
  <c r="CY9" i="3"/>
  <c r="CZ9" i="3"/>
  <c r="DB9" i="3" s="1"/>
  <c r="DA9" i="3"/>
  <c r="DC9" i="3"/>
  <c r="A10" i="3"/>
  <c r="CY10" i="3"/>
  <c r="CZ10" i="3"/>
  <c r="DA10" i="3"/>
  <c r="DB10" i="3"/>
  <c r="DC10" i="3"/>
  <c r="A11" i="3"/>
  <c r="CY11" i="3"/>
  <c r="CZ11" i="3"/>
  <c r="DB11" i="3" s="1"/>
  <c r="DA11" i="3"/>
  <c r="DC11" i="3"/>
  <c r="A12" i="3"/>
  <c r="CY12" i="3"/>
  <c r="CZ12" i="3"/>
  <c r="DB12" i="3" s="1"/>
  <c r="DA12" i="3"/>
  <c r="DC12" i="3"/>
  <c r="A13" i="3"/>
  <c r="CY13" i="3"/>
  <c r="CZ13" i="3"/>
  <c r="DA13" i="3"/>
  <c r="DB13" i="3"/>
  <c r="DC13" i="3"/>
  <c r="A14" i="3"/>
  <c r="CY14" i="3"/>
  <c r="CZ14" i="3"/>
  <c r="DA14" i="3"/>
  <c r="DB14" i="3"/>
  <c r="DC14" i="3"/>
  <c r="A15" i="3"/>
  <c r="CY15" i="3"/>
  <c r="CZ15" i="3"/>
  <c r="DB15" i="3" s="1"/>
  <c r="DA15" i="3"/>
  <c r="DC15" i="3"/>
  <c r="A16" i="3"/>
  <c r="CY16" i="3"/>
  <c r="CZ16" i="3"/>
  <c r="DB16" i="3" s="1"/>
  <c r="DA16" i="3"/>
  <c r="DC16" i="3"/>
  <c r="A17" i="3"/>
  <c r="CY17" i="3"/>
  <c r="CZ17" i="3"/>
  <c r="DA17" i="3"/>
  <c r="DB17" i="3"/>
  <c r="DC17" i="3"/>
  <c r="A18" i="3"/>
  <c r="CY18" i="3"/>
  <c r="CZ18" i="3"/>
  <c r="DA18" i="3"/>
  <c r="DB18" i="3"/>
  <c r="DC18" i="3"/>
  <c r="A19" i="3"/>
  <c r="CY19" i="3"/>
  <c r="CZ19" i="3"/>
  <c r="DB19" i="3" s="1"/>
  <c r="DA19" i="3"/>
  <c r="DC19" i="3"/>
  <c r="A20" i="3"/>
  <c r="CY20" i="3"/>
  <c r="CZ20" i="3"/>
  <c r="DB20" i="3" s="1"/>
  <c r="DA20" i="3"/>
  <c r="DC20" i="3"/>
  <c r="A21" i="3"/>
  <c r="CY21" i="3"/>
  <c r="CZ21" i="3"/>
  <c r="DA21" i="3"/>
  <c r="DB21" i="3"/>
  <c r="DC21" i="3"/>
  <c r="A22" i="3"/>
  <c r="CY22" i="3"/>
  <c r="CZ22" i="3"/>
  <c r="DA22" i="3"/>
  <c r="DB22" i="3"/>
  <c r="DC22" i="3"/>
  <c r="A23" i="3"/>
  <c r="CY23" i="3"/>
  <c r="CZ23" i="3"/>
  <c r="DB23" i="3" s="1"/>
  <c r="DA23" i="3"/>
  <c r="DC23" i="3"/>
  <c r="A24" i="3"/>
  <c r="CY24" i="3"/>
  <c r="CZ24" i="3"/>
  <c r="DB24" i="3" s="1"/>
  <c r="DA24" i="3"/>
  <c r="DC24" i="3"/>
  <c r="A25" i="3"/>
  <c r="CY25" i="3"/>
  <c r="CZ25" i="3"/>
  <c r="DA25" i="3"/>
  <c r="DB25" i="3"/>
  <c r="DC25" i="3"/>
  <c r="A26" i="3"/>
  <c r="CY26" i="3"/>
  <c r="CZ26" i="3"/>
  <c r="DA26" i="3"/>
  <c r="DB26" i="3"/>
  <c r="DC26" i="3"/>
  <c r="A27" i="3"/>
  <c r="CY27" i="3"/>
  <c r="CZ27" i="3"/>
  <c r="DB27" i="3" s="1"/>
  <c r="DA27" i="3"/>
  <c r="DC27" i="3"/>
  <c r="A28" i="3"/>
  <c r="CY28" i="3"/>
  <c r="CZ28" i="3"/>
  <c r="DB28" i="3" s="1"/>
  <c r="DA28" i="3"/>
  <c r="DC28" i="3"/>
  <c r="A29" i="3"/>
  <c r="CY29" i="3"/>
  <c r="CZ29" i="3"/>
  <c r="DA29" i="3"/>
  <c r="DB29" i="3"/>
  <c r="DC29" i="3"/>
  <c r="A30" i="3"/>
  <c r="CY30" i="3"/>
  <c r="CZ30" i="3"/>
  <c r="DA30" i="3"/>
  <c r="DB30" i="3"/>
  <c r="DC30" i="3"/>
  <c r="A31" i="3"/>
  <c r="CY31" i="3"/>
  <c r="CZ31" i="3"/>
  <c r="DB31" i="3" s="1"/>
  <c r="DA31" i="3"/>
  <c r="DC31" i="3"/>
  <c r="A32" i="3"/>
  <c r="CY32" i="3"/>
  <c r="CZ32" i="3"/>
  <c r="DB32" i="3" s="1"/>
  <c r="DA32" i="3"/>
  <c r="DC32" i="3"/>
  <c r="A33" i="3"/>
  <c r="CY33" i="3"/>
  <c r="CZ33" i="3"/>
  <c r="DA33" i="3"/>
  <c r="DB33" i="3"/>
  <c r="DC33" i="3"/>
  <c r="A34" i="3"/>
  <c r="CY34" i="3"/>
  <c r="CZ34" i="3"/>
  <c r="DA34" i="3"/>
  <c r="DB34" i="3"/>
  <c r="DC34" i="3"/>
  <c r="A35" i="3"/>
  <c r="CY35" i="3"/>
  <c r="CZ35" i="3"/>
  <c r="DB35" i="3" s="1"/>
  <c r="DA35" i="3"/>
  <c r="DC35" i="3"/>
  <c r="A36" i="3"/>
  <c r="CY36" i="3"/>
  <c r="CZ36" i="3"/>
  <c r="DB36" i="3" s="1"/>
  <c r="DA36" i="3"/>
  <c r="DC36" i="3"/>
  <c r="A37" i="3"/>
  <c r="CY37" i="3"/>
  <c r="CZ37" i="3"/>
  <c r="DA37" i="3"/>
  <c r="DB37" i="3"/>
  <c r="DC37" i="3"/>
  <c r="A38" i="3"/>
  <c r="CY38" i="3"/>
  <c r="CZ38" i="3"/>
  <c r="DB38" i="3" s="1"/>
  <c r="DA38" i="3"/>
  <c r="DC38" i="3"/>
  <c r="A39" i="3"/>
  <c r="CY39" i="3"/>
  <c r="CZ39" i="3"/>
  <c r="DB39" i="3" s="1"/>
  <c r="DA39" i="3"/>
  <c r="DC39" i="3"/>
  <c r="A40" i="3"/>
  <c r="CY40" i="3"/>
  <c r="CZ40" i="3"/>
  <c r="DB40" i="3" s="1"/>
  <c r="DA40" i="3"/>
  <c r="DC40" i="3"/>
  <c r="A41" i="3"/>
  <c r="CY41" i="3"/>
  <c r="CZ41" i="3"/>
  <c r="DB41" i="3" s="1"/>
  <c r="DA41" i="3"/>
  <c r="DC41" i="3"/>
  <c r="A42" i="3"/>
  <c r="CY42" i="3"/>
  <c r="CZ42" i="3"/>
  <c r="DA42" i="3"/>
  <c r="DB42" i="3"/>
  <c r="DC42" i="3"/>
  <c r="A43" i="3"/>
  <c r="CY43" i="3"/>
  <c r="CZ43" i="3"/>
  <c r="DB43" i="3" s="1"/>
  <c r="DA43" i="3"/>
  <c r="DC43" i="3"/>
  <c r="A44" i="3"/>
  <c r="CY44" i="3"/>
  <c r="CZ44" i="3"/>
  <c r="DB44" i="3" s="1"/>
  <c r="DA44" i="3"/>
  <c r="DC44" i="3"/>
  <c r="A45" i="3"/>
  <c r="CY45" i="3"/>
  <c r="CZ45" i="3"/>
  <c r="DA45" i="3"/>
  <c r="DB45" i="3"/>
  <c r="DC45" i="3"/>
  <c r="A46" i="3"/>
  <c r="CY46" i="3"/>
  <c r="CZ46" i="3"/>
  <c r="DA46" i="3"/>
  <c r="DB46" i="3"/>
  <c r="DC46" i="3"/>
  <c r="A47" i="3"/>
  <c r="CY47" i="3"/>
  <c r="CZ47" i="3"/>
  <c r="DB47" i="3" s="1"/>
  <c r="DA47" i="3"/>
  <c r="DC47" i="3"/>
  <c r="A48" i="3"/>
  <c r="CY48" i="3"/>
  <c r="CZ48" i="3"/>
  <c r="DB48" i="3" s="1"/>
  <c r="DA48" i="3"/>
  <c r="DC48" i="3"/>
  <c r="A49" i="3"/>
  <c r="CY49" i="3"/>
  <c r="CZ49" i="3"/>
  <c r="DA49" i="3"/>
  <c r="DB49" i="3"/>
  <c r="DC49" i="3"/>
  <c r="A50" i="3"/>
  <c r="CY50" i="3"/>
  <c r="CZ50" i="3"/>
  <c r="DB50" i="3" s="1"/>
  <c r="DA50" i="3"/>
  <c r="DC50" i="3"/>
  <c r="A51" i="3"/>
  <c r="CY51" i="3"/>
  <c r="CZ51" i="3"/>
  <c r="DB51" i="3" s="1"/>
  <c r="DA51" i="3"/>
  <c r="DC51" i="3"/>
  <c r="A52" i="3"/>
  <c r="CY52" i="3"/>
  <c r="CZ52" i="3"/>
  <c r="DB52" i="3" s="1"/>
  <c r="DA52" i="3"/>
  <c r="DC52" i="3"/>
  <c r="A53" i="3"/>
  <c r="CY53" i="3"/>
  <c r="CZ53" i="3"/>
  <c r="DB53" i="3" s="1"/>
  <c r="DA53" i="3"/>
  <c r="DC53" i="3"/>
  <c r="A54" i="3"/>
  <c r="CY54" i="3"/>
  <c r="CZ54" i="3"/>
  <c r="DB54" i="3" s="1"/>
  <c r="DA54" i="3"/>
  <c r="DC54" i="3"/>
  <c r="A55" i="3"/>
  <c r="CY55" i="3"/>
  <c r="CZ55" i="3"/>
  <c r="DB55" i="3" s="1"/>
  <c r="DA55" i="3"/>
  <c r="DC55" i="3"/>
  <c r="A56" i="3"/>
  <c r="CY56" i="3"/>
  <c r="CZ56" i="3"/>
  <c r="DB56" i="3" s="1"/>
  <c r="DA56" i="3"/>
  <c r="DC56" i="3"/>
  <c r="A57" i="3"/>
  <c r="CY57" i="3"/>
  <c r="CZ57" i="3"/>
  <c r="DB57" i="3" s="1"/>
  <c r="DA57" i="3"/>
  <c r="DC57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D24" i="1"/>
  <c r="E26" i="1"/>
  <c r="Z26" i="1"/>
  <c r="AA26" i="1"/>
  <c r="AM26" i="1"/>
  <c r="AN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C28" i="1"/>
  <c r="D28" i="1"/>
  <c r="I28" i="1"/>
  <c r="CX6" i="3" s="1"/>
  <c r="K28" i="1"/>
  <c r="AC28" i="1"/>
  <c r="AE28" i="1"/>
  <c r="H36" i="5" s="1"/>
  <c r="R36" i="5" s="1"/>
  <c r="AF28" i="1"/>
  <c r="AG28" i="1"/>
  <c r="CU28" i="1" s="1"/>
  <c r="T28" i="1" s="1"/>
  <c r="AH28" i="1"/>
  <c r="CV28" i="1" s="1"/>
  <c r="U28" i="1" s="1"/>
  <c r="AI28" i="1"/>
  <c r="CW28" i="1" s="1"/>
  <c r="V28" i="1" s="1"/>
  <c r="AJ28" i="1"/>
  <c r="CX28" i="1"/>
  <c r="W28" i="1" s="1"/>
  <c r="FR28" i="1"/>
  <c r="GL28" i="1"/>
  <c r="BZ34" i="1" s="1"/>
  <c r="BZ26" i="1" s="1"/>
  <c r="GO28" i="1"/>
  <c r="GP28" i="1"/>
  <c r="GV28" i="1"/>
  <c r="HC28" i="1"/>
  <c r="GX28" i="1" s="1"/>
  <c r="C29" i="1"/>
  <c r="D29" i="1"/>
  <c r="I29" i="1"/>
  <c r="K29" i="1"/>
  <c r="AC29" i="1"/>
  <c r="CQ29" i="1" s="1"/>
  <c r="AE29" i="1"/>
  <c r="AF29" i="1"/>
  <c r="AG29" i="1"/>
  <c r="CU29" i="1" s="1"/>
  <c r="AH29" i="1"/>
  <c r="CV29" i="1" s="1"/>
  <c r="U29" i="1" s="1"/>
  <c r="AI29" i="1"/>
  <c r="CW29" i="1" s="1"/>
  <c r="AJ29" i="1"/>
  <c r="CX29" i="1" s="1"/>
  <c r="CS29" i="1"/>
  <c r="FR29" i="1"/>
  <c r="BY34" i="1" s="1"/>
  <c r="GL29" i="1"/>
  <c r="GO29" i="1"/>
  <c r="CC34" i="1" s="1"/>
  <c r="CC26" i="1" s="1"/>
  <c r="GP29" i="1"/>
  <c r="GV29" i="1"/>
  <c r="HC29" i="1" s="1"/>
  <c r="GX29" i="1" s="1"/>
  <c r="C30" i="1"/>
  <c r="D30" i="1"/>
  <c r="I30" i="1"/>
  <c r="K30" i="1"/>
  <c r="AC30" i="1"/>
  <c r="CQ30" i="1" s="1"/>
  <c r="AE30" i="1"/>
  <c r="AF30" i="1"/>
  <c r="AG30" i="1"/>
  <c r="CU30" i="1" s="1"/>
  <c r="T30" i="1" s="1"/>
  <c r="AH30" i="1"/>
  <c r="CV30" i="1" s="1"/>
  <c r="U30" i="1" s="1"/>
  <c r="AI30" i="1"/>
  <c r="CW30" i="1" s="1"/>
  <c r="V30" i="1" s="1"/>
  <c r="AJ30" i="1"/>
  <c r="CX30" i="1" s="1"/>
  <c r="W30" i="1" s="1"/>
  <c r="CS30" i="1"/>
  <c r="R30" i="1" s="1"/>
  <c r="K54" i="5" s="1"/>
  <c r="CT30" i="1"/>
  <c r="S30" i="1" s="1"/>
  <c r="K52" i="5" s="1"/>
  <c r="FR30" i="1"/>
  <c r="GL30" i="1"/>
  <c r="GO30" i="1"/>
  <c r="GP30" i="1"/>
  <c r="GV30" i="1"/>
  <c r="HC30" i="1"/>
  <c r="GX30" i="1" s="1"/>
  <c r="C31" i="1"/>
  <c r="D31" i="1"/>
  <c r="I31" i="1"/>
  <c r="K31" i="1"/>
  <c r="AC31" i="1"/>
  <c r="CQ31" i="1" s="1"/>
  <c r="AE31" i="1"/>
  <c r="AF31" i="1"/>
  <c r="AG31" i="1"/>
  <c r="CU31" i="1" s="1"/>
  <c r="T31" i="1" s="1"/>
  <c r="AH31" i="1"/>
  <c r="CV31" i="1" s="1"/>
  <c r="U31" i="1" s="1"/>
  <c r="AI31" i="1"/>
  <c r="CW31" i="1" s="1"/>
  <c r="AJ31" i="1"/>
  <c r="CX31" i="1" s="1"/>
  <c r="FR31" i="1"/>
  <c r="GL31" i="1"/>
  <c r="GO31" i="1"/>
  <c r="GP31" i="1"/>
  <c r="GV31" i="1"/>
  <c r="HC31" i="1" s="1"/>
  <c r="GX31" i="1" s="1"/>
  <c r="C32" i="1"/>
  <c r="D32" i="1"/>
  <c r="I32" i="1"/>
  <c r="K32" i="1"/>
  <c r="AC32" i="1"/>
  <c r="CQ32" i="1" s="1"/>
  <c r="AE32" i="1"/>
  <c r="AF32" i="1"/>
  <c r="AG32" i="1"/>
  <c r="CU32" i="1" s="1"/>
  <c r="AH32" i="1"/>
  <c r="AI32" i="1"/>
  <c r="CW32" i="1" s="1"/>
  <c r="AJ32" i="1"/>
  <c r="CX32" i="1" s="1"/>
  <c r="CS32" i="1"/>
  <c r="CV32" i="1"/>
  <c r="FR32" i="1"/>
  <c r="GL32" i="1"/>
  <c r="GO32" i="1"/>
  <c r="GP32" i="1"/>
  <c r="GV32" i="1"/>
  <c r="HC32" i="1"/>
  <c r="GX32" i="1" s="1"/>
  <c r="B34" i="1"/>
  <c r="B26" i="1" s="1"/>
  <c r="C34" i="1"/>
  <c r="C26" i="1" s="1"/>
  <c r="D34" i="1"/>
  <c r="D26" i="1" s="1"/>
  <c r="F34" i="1"/>
  <c r="F26" i="1" s="1"/>
  <c r="G34" i="1"/>
  <c r="BX34" i="1"/>
  <c r="BX26" i="1" s="1"/>
  <c r="CK34" i="1"/>
  <c r="CK26" i="1" s="1"/>
  <c r="CL34" i="1"/>
  <c r="CL26" i="1" s="1"/>
  <c r="CM34" i="1"/>
  <c r="CM26" i="1" s="1"/>
  <c r="D64" i="1"/>
  <c r="B66" i="1"/>
  <c r="C66" i="1"/>
  <c r="E66" i="1"/>
  <c r="G66" i="1"/>
  <c r="Z66" i="1"/>
  <c r="AA66" i="1"/>
  <c r="AM66" i="1"/>
  <c r="AN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C66" i="1"/>
  <c r="ED66" i="1"/>
  <c r="EE66" i="1"/>
  <c r="EF66" i="1"/>
  <c r="EG66" i="1"/>
  <c r="EH66" i="1"/>
  <c r="EI66" i="1"/>
  <c r="EJ66" i="1"/>
  <c r="EK66" i="1"/>
  <c r="EL66" i="1"/>
  <c r="EM66" i="1"/>
  <c r="EN66" i="1"/>
  <c r="EO66" i="1"/>
  <c r="EP66" i="1"/>
  <c r="EQ66" i="1"/>
  <c r="ER66" i="1"/>
  <c r="ES66" i="1"/>
  <c r="ET66" i="1"/>
  <c r="EU66" i="1"/>
  <c r="EV66" i="1"/>
  <c r="EW66" i="1"/>
  <c r="EX66" i="1"/>
  <c r="EY66" i="1"/>
  <c r="EZ66" i="1"/>
  <c r="FA66" i="1"/>
  <c r="FB66" i="1"/>
  <c r="FC66" i="1"/>
  <c r="FD66" i="1"/>
  <c r="FE66" i="1"/>
  <c r="FF66" i="1"/>
  <c r="FG66" i="1"/>
  <c r="FH66" i="1"/>
  <c r="FI66" i="1"/>
  <c r="FJ66" i="1"/>
  <c r="FK66" i="1"/>
  <c r="FL66" i="1"/>
  <c r="FM66" i="1"/>
  <c r="FN66" i="1"/>
  <c r="FO66" i="1"/>
  <c r="FP66" i="1"/>
  <c r="FQ66" i="1"/>
  <c r="FR66" i="1"/>
  <c r="FS66" i="1"/>
  <c r="FT66" i="1"/>
  <c r="FU66" i="1"/>
  <c r="FV66" i="1"/>
  <c r="FW66" i="1"/>
  <c r="FX66" i="1"/>
  <c r="FY66" i="1"/>
  <c r="FZ66" i="1"/>
  <c r="GA66" i="1"/>
  <c r="GB66" i="1"/>
  <c r="GC66" i="1"/>
  <c r="GD66" i="1"/>
  <c r="GE66" i="1"/>
  <c r="GF66" i="1"/>
  <c r="GG66" i="1"/>
  <c r="GH66" i="1"/>
  <c r="GI66" i="1"/>
  <c r="GJ66" i="1"/>
  <c r="GK66" i="1"/>
  <c r="GL66" i="1"/>
  <c r="GM66" i="1"/>
  <c r="GN66" i="1"/>
  <c r="GO66" i="1"/>
  <c r="GP66" i="1"/>
  <c r="GQ66" i="1"/>
  <c r="GR66" i="1"/>
  <c r="GS66" i="1"/>
  <c r="GT66" i="1"/>
  <c r="GU66" i="1"/>
  <c r="GV66" i="1"/>
  <c r="GW66" i="1"/>
  <c r="GX66" i="1"/>
  <c r="C68" i="1"/>
  <c r="D68" i="1"/>
  <c r="I68" i="1"/>
  <c r="K68" i="1"/>
  <c r="AC68" i="1"/>
  <c r="AE68" i="1"/>
  <c r="AF68" i="1"/>
  <c r="AG68" i="1"/>
  <c r="AH68" i="1"/>
  <c r="CV68" i="1" s="1"/>
  <c r="AI68" i="1"/>
  <c r="CW68" i="1" s="1"/>
  <c r="AJ68" i="1"/>
  <c r="CX68" i="1" s="1"/>
  <c r="CQ68" i="1"/>
  <c r="P68" i="1" s="1"/>
  <c r="CU68" i="1"/>
  <c r="FR68" i="1"/>
  <c r="GL68" i="1"/>
  <c r="GO68" i="1"/>
  <c r="GP68" i="1"/>
  <c r="GV68" i="1"/>
  <c r="HC68" i="1" s="1"/>
  <c r="GX68" i="1" s="1"/>
  <c r="C69" i="1"/>
  <c r="D69" i="1"/>
  <c r="I69" i="1"/>
  <c r="K69" i="1"/>
  <c r="AC69" i="1"/>
  <c r="AE69" i="1"/>
  <c r="H96" i="5" s="1"/>
  <c r="R96" i="5" s="1"/>
  <c r="AF69" i="1"/>
  <c r="AG69" i="1"/>
  <c r="AH69" i="1"/>
  <c r="CV69" i="1" s="1"/>
  <c r="U69" i="1" s="1"/>
  <c r="AI69" i="1"/>
  <c r="AJ69" i="1"/>
  <c r="CX69" i="1" s="1"/>
  <c r="CQ69" i="1"/>
  <c r="P69" i="1" s="1"/>
  <c r="CS69" i="1"/>
  <c r="CU69" i="1"/>
  <c r="T69" i="1" s="1"/>
  <c r="CW69" i="1"/>
  <c r="V69" i="1" s="1"/>
  <c r="FR69" i="1"/>
  <c r="GL69" i="1"/>
  <c r="GO69" i="1"/>
  <c r="GP69" i="1"/>
  <c r="GV69" i="1"/>
  <c r="HC69" i="1" s="1"/>
  <c r="GX69" i="1" s="1"/>
  <c r="B71" i="1"/>
  <c r="C71" i="1"/>
  <c r="D71" i="1"/>
  <c r="D66" i="1" s="1"/>
  <c r="F71" i="1"/>
  <c r="F66" i="1" s="1"/>
  <c r="G71" i="1"/>
  <c r="BX71" i="1"/>
  <c r="BZ71" i="1"/>
  <c r="AQ71" i="1" s="1"/>
  <c r="CD71" i="1"/>
  <c r="AU71" i="1" s="1"/>
  <c r="CK71" i="1"/>
  <c r="BB71" i="1" s="1"/>
  <c r="F84" i="1" s="1"/>
  <c r="CL71" i="1"/>
  <c r="CL66" i="1" s="1"/>
  <c r="CM71" i="1"/>
  <c r="CM66" i="1" s="1"/>
  <c r="B101" i="1"/>
  <c r="B22" i="1" s="1"/>
  <c r="C101" i="1"/>
  <c r="C22" i="1" s="1"/>
  <c r="D101" i="1"/>
  <c r="D22" i="1" s="1"/>
  <c r="F101" i="1"/>
  <c r="F22" i="1" s="1"/>
  <c r="G101" i="1"/>
  <c r="G22" i="1" s="1"/>
  <c r="B131" i="1"/>
  <c r="B18" i="1" s="1"/>
  <c r="C131" i="1"/>
  <c r="C18" i="1" s="1"/>
  <c r="D131" i="1"/>
  <c r="D18" i="1" s="1"/>
  <c r="F131" i="1"/>
  <c r="F18" i="1" s="1"/>
  <c r="G131" i="1"/>
  <c r="L58" i="5" l="1"/>
  <c r="Q58" i="5" s="1"/>
  <c r="L57" i="5"/>
  <c r="L49" i="5"/>
  <c r="Q49" i="5" s="1"/>
  <c r="L48" i="5"/>
  <c r="L67" i="5"/>
  <c r="Q67" i="5" s="1"/>
  <c r="L66" i="5"/>
  <c r="CT31" i="1"/>
  <c r="S31" i="1" s="1"/>
  <c r="K61" i="5" s="1"/>
  <c r="S59" i="5"/>
  <c r="H64" i="5" s="1"/>
  <c r="H61" i="5"/>
  <c r="U59" i="5"/>
  <c r="H65" i="5" s="1"/>
  <c r="C69" i="5"/>
  <c r="E68" i="5"/>
  <c r="D25" i="6"/>
  <c r="AD31" i="1"/>
  <c r="AB31" i="1" s="1"/>
  <c r="H63" i="5"/>
  <c r="R63" i="5" s="1"/>
  <c r="H34" i="5"/>
  <c r="U32" i="5"/>
  <c r="H38" i="5" s="1"/>
  <c r="S32" i="5"/>
  <c r="H37" i="5" s="1"/>
  <c r="CX9" i="3"/>
  <c r="L39" i="5"/>
  <c r="L40" i="5"/>
  <c r="Q40" i="5" s="1"/>
  <c r="G18" i="1"/>
  <c r="A105" i="5"/>
  <c r="BC71" i="1"/>
  <c r="BC66" i="1" s="1"/>
  <c r="AD28" i="1"/>
  <c r="T68" i="1"/>
  <c r="AG71" i="1" s="1"/>
  <c r="T71" i="1" s="1"/>
  <c r="E59" i="5"/>
  <c r="D24" i="6"/>
  <c r="C60" i="5"/>
  <c r="H52" i="5"/>
  <c r="U50" i="5"/>
  <c r="H56" i="5" s="1"/>
  <c r="S50" i="5"/>
  <c r="H55" i="5" s="1"/>
  <c r="R29" i="1"/>
  <c r="K45" i="5" s="1"/>
  <c r="D22" i="6"/>
  <c r="C42" i="5"/>
  <c r="E41" i="5"/>
  <c r="AD30" i="1"/>
  <c r="H54" i="5"/>
  <c r="R54" i="5" s="1"/>
  <c r="W29" i="1"/>
  <c r="AJ34" i="1" s="1"/>
  <c r="CJ71" i="1"/>
  <c r="BA71" i="1" s="1"/>
  <c r="CK66" i="1"/>
  <c r="U32" i="1"/>
  <c r="AH34" i="1" s="1"/>
  <c r="V29" i="1"/>
  <c r="AI34" i="1" s="1"/>
  <c r="CX1" i="3"/>
  <c r="C33" i="5"/>
  <c r="E32" i="5"/>
  <c r="D21" i="6"/>
  <c r="W68" i="1"/>
  <c r="CJ34" i="1"/>
  <c r="U68" i="1"/>
  <c r="W32" i="1"/>
  <c r="T29" i="1"/>
  <c r="V68" i="1"/>
  <c r="AI71" i="1" s="1"/>
  <c r="AD69" i="1"/>
  <c r="V32" i="1"/>
  <c r="CT29" i="1"/>
  <c r="S29" i="1" s="1"/>
  <c r="K43" i="5" s="1"/>
  <c r="H43" i="5"/>
  <c r="U41" i="5"/>
  <c r="H47" i="5" s="1"/>
  <c r="S41" i="5"/>
  <c r="H46" i="5" s="1"/>
  <c r="CX5" i="3"/>
  <c r="CT68" i="1"/>
  <c r="S68" i="1" s="1"/>
  <c r="K85" i="5" s="1"/>
  <c r="H85" i="5"/>
  <c r="U83" i="5"/>
  <c r="H89" i="5" s="1"/>
  <c r="S83" i="5"/>
  <c r="H88" i="5" s="1"/>
  <c r="D23" i="6"/>
  <c r="C51" i="5"/>
  <c r="E50" i="5"/>
  <c r="AD29" i="1"/>
  <c r="H45" i="5"/>
  <c r="R45" i="5" s="1"/>
  <c r="CT28" i="1"/>
  <c r="S28" i="1" s="1"/>
  <c r="K34" i="5" s="1"/>
  <c r="CX10" i="3"/>
  <c r="C84" i="5"/>
  <c r="D27" i="6"/>
  <c r="E83" i="5"/>
  <c r="AB32" i="1"/>
  <c r="AF102" i="5"/>
  <c r="A102" i="5"/>
  <c r="L99" i="5"/>
  <c r="L100" i="5"/>
  <c r="Q100" i="5" s="1"/>
  <c r="AD68" i="1"/>
  <c r="H86" i="5" s="1"/>
  <c r="H87" i="5"/>
  <c r="R87" i="5" s="1"/>
  <c r="G26" i="1"/>
  <c r="A78" i="5"/>
  <c r="AF78" i="5"/>
  <c r="T32" i="1"/>
  <c r="CS31" i="1"/>
  <c r="R31" i="1" s="1"/>
  <c r="K63" i="5" s="1"/>
  <c r="CS28" i="1"/>
  <c r="R28" i="1" s="1"/>
  <c r="CT69" i="1"/>
  <c r="U92" i="5"/>
  <c r="H98" i="5" s="1"/>
  <c r="S92" i="5"/>
  <c r="H97" i="5" s="1"/>
  <c r="H94" i="5"/>
  <c r="CD66" i="1"/>
  <c r="R69" i="1"/>
  <c r="K96" i="5" s="1"/>
  <c r="C93" i="5"/>
  <c r="E92" i="5"/>
  <c r="D28" i="6"/>
  <c r="CT32" i="1"/>
  <c r="S32" i="1" s="1"/>
  <c r="K70" i="5" s="1"/>
  <c r="H70" i="5"/>
  <c r="U68" i="5"/>
  <c r="H74" i="5" s="1"/>
  <c r="S68" i="5"/>
  <c r="H73" i="5" s="1"/>
  <c r="W31" i="1"/>
  <c r="AB29" i="1"/>
  <c r="CQ28" i="1"/>
  <c r="P28" i="1" s="1"/>
  <c r="R32" i="1"/>
  <c r="K72" i="5" s="1"/>
  <c r="AD32" i="1"/>
  <c r="H72" i="5"/>
  <c r="R72" i="5" s="1"/>
  <c r="V31" i="1"/>
  <c r="AB68" i="1"/>
  <c r="CR68" i="1"/>
  <c r="Q68" i="1" s="1"/>
  <c r="CJ26" i="1"/>
  <c r="BA34" i="1"/>
  <c r="AU66" i="1"/>
  <c r="F90" i="1"/>
  <c r="CY32" i="1"/>
  <c r="X32" i="1" s="1"/>
  <c r="T68" i="5" s="1"/>
  <c r="K73" i="5" s="1"/>
  <c r="CZ32" i="1"/>
  <c r="Y32" i="1" s="1"/>
  <c r="V68" i="5" s="1"/>
  <c r="K74" i="5" s="1"/>
  <c r="CY30" i="1"/>
  <c r="X30" i="1" s="1"/>
  <c r="T50" i="5" s="1"/>
  <c r="K55" i="5" s="1"/>
  <c r="CZ30" i="1"/>
  <c r="Y30" i="1" s="1"/>
  <c r="V50" i="5" s="1"/>
  <c r="K56" i="5" s="1"/>
  <c r="BY26" i="1"/>
  <c r="CI34" i="1"/>
  <c r="AP34" i="1"/>
  <c r="AQ66" i="1"/>
  <c r="F81" i="1"/>
  <c r="CD34" i="1"/>
  <c r="AT34" i="1"/>
  <c r="AG34" i="1"/>
  <c r="BX66" i="1"/>
  <c r="CG71" i="1"/>
  <c r="AO71" i="1"/>
  <c r="W69" i="1"/>
  <c r="AJ71" i="1" s="1"/>
  <c r="CX41" i="3"/>
  <c r="CX45" i="3"/>
  <c r="CX49" i="3"/>
  <c r="CX40" i="3"/>
  <c r="CX44" i="3"/>
  <c r="CX48" i="3"/>
  <c r="CX43" i="3"/>
  <c r="CX47" i="3"/>
  <c r="CX42" i="3"/>
  <c r="CX46" i="3"/>
  <c r="CX50" i="3"/>
  <c r="BZ66" i="1"/>
  <c r="CG34" i="1"/>
  <c r="F87" i="1"/>
  <c r="BD71" i="1"/>
  <c r="CC71" i="1"/>
  <c r="BY71" i="1"/>
  <c r="BB66" i="1"/>
  <c r="CX53" i="3"/>
  <c r="CX57" i="3"/>
  <c r="CX52" i="3"/>
  <c r="CX56" i="3"/>
  <c r="CX51" i="3"/>
  <c r="CX55" i="3"/>
  <c r="CX54" i="3"/>
  <c r="AO34" i="1"/>
  <c r="CS68" i="1"/>
  <c r="R68" i="1" s="1"/>
  <c r="K87" i="5" s="1"/>
  <c r="BB34" i="1"/>
  <c r="AC71" i="1"/>
  <c r="S69" i="1"/>
  <c r="K94" i="5" s="1"/>
  <c r="BC34" i="1"/>
  <c r="AQ34" i="1"/>
  <c r="P32" i="1"/>
  <c r="P31" i="1"/>
  <c r="P30" i="1"/>
  <c r="P29" i="1"/>
  <c r="BD34" i="1"/>
  <c r="CX33" i="3"/>
  <c r="CX37" i="3"/>
  <c r="CX36" i="3"/>
  <c r="CX35" i="3"/>
  <c r="CX39" i="3"/>
  <c r="CX34" i="3"/>
  <c r="CX38" i="3"/>
  <c r="CX29" i="3"/>
  <c r="CX28" i="3"/>
  <c r="CX32" i="3"/>
  <c r="CX27" i="3"/>
  <c r="CX31" i="3"/>
  <c r="CX30" i="3"/>
  <c r="CX21" i="3"/>
  <c r="CX25" i="3"/>
  <c r="CX20" i="3"/>
  <c r="CX24" i="3"/>
  <c r="CX19" i="3"/>
  <c r="CX23" i="3"/>
  <c r="CX22" i="3"/>
  <c r="CX26" i="3"/>
  <c r="CX13" i="3"/>
  <c r="CX17" i="3"/>
  <c r="CX12" i="3"/>
  <c r="CX16" i="3"/>
  <c r="CX15" i="3"/>
  <c r="CX14" i="3"/>
  <c r="CX18" i="3"/>
  <c r="CX2" i="3"/>
  <c r="CX11" i="3"/>
  <c r="CX7" i="3"/>
  <c r="CX3" i="3"/>
  <c r="CX8" i="3"/>
  <c r="CX4" i="3"/>
  <c r="AJ26" i="1" l="1"/>
  <c r="W34" i="1"/>
  <c r="V34" i="1"/>
  <c r="AI26" i="1"/>
  <c r="CR32" i="1"/>
  <c r="Q32" i="1" s="1"/>
  <c r="K71" i="5" s="1"/>
  <c r="H71" i="5"/>
  <c r="G76" i="5" s="1"/>
  <c r="O76" i="5" s="1"/>
  <c r="CR28" i="1"/>
  <c r="Q28" i="1" s="1"/>
  <c r="H35" i="5"/>
  <c r="R61" i="5"/>
  <c r="W67" i="5"/>
  <c r="G67" i="5"/>
  <c r="O67" i="5" s="1"/>
  <c r="R52" i="5"/>
  <c r="G58" i="5"/>
  <c r="O58" i="5" s="1"/>
  <c r="W58" i="5"/>
  <c r="J67" i="5"/>
  <c r="P67" i="5" s="1"/>
  <c r="J100" i="5"/>
  <c r="P100" i="5" s="1"/>
  <c r="R43" i="5"/>
  <c r="G49" i="5"/>
  <c r="O49" i="5" s="1"/>
  <c r="K86" i="5"/>
  <c r="CR30" i="1"/>
  <c r="Q30" i="1" s="1"/>
  <c r="K53" i="5" s="1"/>
  <c r="J58" i="5" s="1"/>
  <c r="P58" i="5" s="1"/>
  <c r="H53" i="5"/>
  <c r="AB30" i="1"/>
  <c r="AB69" i="1"/>
  <c r="H95" i="5"/>
  <c r="L105" i="5"/>
  <c r="L78" i="5"/>
  <c r="R94" i="5"/>
  <c r="W100" i="5"/>
  <c r="G100" i="5"/>
  <c r="O100" i="5" s="1"/>
  <c r="G102" i="5" s="1"/>
  <c r="CZ28" i="1"/>
  <c r="Y28" i="1" s="1"/>
  <c r="R70" i="5"/>
  <c r="AH71" i="1"/>
  <c r="L90" i="5"/>
  <c r="L91" i="5"/>
  <c r="Q91" i="5" s="1"/>
  <c r="L102" i="5" s="1"/>
  <c r="CR31" i="1"/>
  <c r="Q31" i="1" s="1"/>
  <c r="K62" i="5" s="1"/>
  <c r="H62" i="5"/>
  <c r="CY28" i="1"/>
  <c r="X28" i="1" s="1"/>
  <c r="T32" i="5" s="1"/>
  <c r="K37" i="5" s="1"/>
  <c r="CJ66" i="1"/>
  <c r="J76" i="5"/>
  <c r="P76" i="5" s="1"/>
  <c r="J49" i="5"/>
  <c r="P49" i="5" s="1"/>
  <c r="CR69" i="1"/>
  <c r="Q69" i="1" s="1"/>
  <c r="K95" i="5" s="1"/>
  <c r="AB28" i="1"/>
  <c r="AG66" i="1"/>
  <c r="CR29" i="1"/>
  <c r="Q29" i="1" s="1"/>
  <c r="K44" i="5" s="1"/>
  <c r="H44" i="5"/>
  <c r="W49" i="5" s="1"/>
  <c r="AF34" i="1"/>
  <c r="L76" i="5"/>
  <c r="Q76" i="5" s="1"/>
  <c r="L75" i="5"/>
  <c r="CP30" i="1"/>
  <c r="O30" i="1" s="1"/>
  <c r="GN30" i="1" s="1"/>
  <c r="CP31" i="1"/>
  <c r="O31" i="1" s="1"/>
  <c r="CZ29" i="1"/>
  <c r="Y29" i="1" s="1"/>
  <c r="V41" i="5" s="1"/>
  <c r="K47" i="5" s="1"/>
  <c r="CZ31" i="1"/>
  <c r="Y31" i="1" s="1"/>
  <c r="V59" i="5" s="1"/>
  <c r="K65" i="5" s="1"/>
  <c r="G91" i="5"/>
  <c r="O91" i="5" s="1"/>
  <c r="R85" i="5"/>
  <c r="W91" i="5"/>
  <c r="R34" i="5"/>
  <c r="G40" i="5"/>
  <c r="O40" i="5" s="1"/>
  <c r="W40" i="5"/>
  <c r="K36" i="5"/>
  <c r="AE34" i="1"/>
  <c r="CP29" i="1"/>
  <c r="O29" i="1" s="1"/>
  <c r="CY29" i="1"/>
  <c r="X29" i="1" s="1"/>
  <c r="T41" i="5" s="1"/>
  <c r="K46" i="5" s="1"/>
  <c r="CY31" i="1"/>
  <c r="X31" i="1" s="1"/>
  <c r="T59" i="5" s="1"/>
  <c r="K64" i="5" s="1"/>
  <c r="AJ66" i="1"/>
  <c r="W71" i="1"/>
  <c r="W101" i="1" s="1"/>
  <c r="GM31" i="1"/>
  <c r="GN31" i="1"/>
  <c r="CY69" i="1"/>
  <c r="X69" i="1" s="1"/>
  <c r="T92" i="5" s="1"/>
  <c r="K97" i="5" s="1"/>
  <c r="CZ69" i="1"/>
  <c r="Y69" i="1" s="1"/>
  <c r="V92" i="5" s="1"/>
  <c r="K98" i="5" s="1"/>
  <c r="BB26" i="1"/>
  <c r="F47" i="1"/>
  <c r="BB101" i="1"/>
  <c r="AO26" i="1"/>
  <c r="F38" i="1"/>
  <c r="AO101" i="1"/>
  <c r="AT71" i="1"/>
  <c r="CC66" i="1"/>
  <c r="AG26" i="1"/>
  <c r="T34" i="1"/>
  <c r="AF26" i="1"/>
  <c r="S34" i="1"/>
  <c r="AP26" i="1"/>
  <c r="F43" i="1"/>
  <c r="AC66" i="1"/>
  <c r="CE71" i="1"/>
  <c r="CH71" i="1"/>
  <c r="P71" i="1"/>
  <c r="CF71" i="1"/>
  <c r="AE71" i="1"/>
  <c r="CZ68" i="1"/>
  <c r="Y68" i="1" s="1"/>
  <c r="V83" i="5" s="1"/>
  <c r="K89" i="5" s="1"/>
  <c r="J91" i="5" s="1"/>
  <c r="P91" i="5" s="1"/>
  <c r="J102" i="5" s="1"/>
  <c r="AF71" i="1"/>
  <c r="BD66" i="1"/>
  <c r="F96" i="1"/>
  <c r="F75" i="1"/>
  <c r="AO66" i="1"/>
  <c r="AT26" i="1"/>
  <c r="F52" i="1"/>
  <c r="CP68" i="1"/>
  <c r="O68" i="1" s="1"/>
  <c r="V26" i="1"/>
  <c r="F57" i="1"/>
  <c r="W26" i="1"/>
  <c r="F58" i="1"/>
  <c r="CI26" i="1"/>
  <c r="AZ34" i="1"/>
  <c r="GM29" i="1"/>
  <c r="GN29" i="1"/>
  <c r="AQ26" i="1"/>
  <c r="AQ101" i="1"/>
  <c r="F44" i="1"/>
  <c r="CY68" i="1"/>
  <c r="X68" i="1" s="1"/>
  <c r="T83" i="5" s="1"/>
  <c r="K88" i="5" s="1"/>
  <c r="AX71" i="1"/>
  <c r="CG66" i="1"/>
  <c r="AH26" i="1"/>
  <c r="U34" i="1"/>
  <c r="BA26" i="1"/>
  <c r="F54" i="1"/>
  <c r="BA101" i="1"/>
  <c r="BA66" i="1"/>
  <c r="F91" i="1"/>
  <c r="BD26" i="1"/>
  <c r="F59" i="1"/>
  <c r="BD101" i="1"/>
  <c r="BC26" i="1"/>
  <c r="F50" i="1"/>
  <c r="BC101" i="1"/>
  <c r="AC34" i="1"/>
  <c r="AP71" i="1"/>
  <c r="AP101" i="1" s="1"/>
  <c r="BY66" i="1"/>
  <c r="CI71" i="1"/>
  <c r="CG26" i="1"/>
  <c r="AX34" i="1"/>
  <c r="CD26" i="1"/>
  <c r="AU34" i="1"/>
  <c r="T66" i="1"/>
  <c r="F92" i="1"/>
  <c r="AI66" i="1"/>
  <c r="V71" i="1"/>
  <c r="K35" i="5" l="1"/>
  <c r="CP28" i="1"/>
  <c r="O28" i="1" s="1"/>
  <c r="AD34" i="1"/>
  <c r="AL34" i="1"/>
  <c r="V32" i="5"/>
  <c r="K38" i="5" s="1"/>
  <c r="CP69" i="1"/>
  <c r="O69" i="1" s="1"/>
  <c r="AD71" i="1"/>
  <c r="W76" i="5"/>
  <c r="G78" i="5"/>
  <c r="G105" i="5"/>
  <c r="GM30" i="1"/>
  <c r="U71" i="1"/>
  <c r="AH66" i="1"/>
  <c r="CP32" i="1"/>
  <c r="O32" i="1" s="1"/>
  <c r="AK34" i="1"/>
  <c r="AK26" i="1" s="1"/>
  <c r="AE26" i="1"/>
  <c r="R34" i="1"/>
  <c r="AP22" i="1"/>
  <c r="AP131" i="1"/>
  <c r="F110" i="1"/>
  <c r="G16" i="2" s="1"/>
  <c r="G18" i="2" s="1"/>
  <c r="BC22" i="1"/>
  <c r="BC131" i="1"/>
  <c r="F117" i="1"/>
  <c r="GM69" i="1"/>
  <c r="GN69" i="1"/>
  <c r="AZ26" i="1"/>
  <c r="F45" i="1"/>
  <c r="AB71" i="1"/>
  <c r="GM68" i="1"/>
  <c r="GN68" i="1"/>
  <c r="S26" i="1"/>
  <c r="F49" i="1"/>
  <c r="F89" i="1"/>
  <c r="AT66" i="1"/>
  <c r="F94" i="1"/>
  <c r="V66" i="1"/>
  <c r="AU26" i="1"/>
  <c r="AU101" i="1"/>
  <c r="F53" i="1"/>
  <c r="CI66" i="1"/>
  <c r="AZ71" i="1"/>
  <c r="BA22" i="1"/>
  <c r="F121" i="1"/>
  <c r="BA131" i="1"/>
  <c r="F78" i="1"/>
  <c r="AX66" i="1"/>
  <c r="AL71" i="1"/>
  <c r="AY71" i="1"/>
  <c r="CH66" i="1"/>
  <c r="T26" i="1"/>
  <c r="F55" i="1"/>
  <c r="T101" i="1"/>
  <c r="AO22" i="1"/>
  <c r="F105" i="1"/>
  <c r="AO131" i="1"/>
  <c r="W66" i="1"/>
  <c r="F95" i="1"/>
  <c r="AX26" i="1"/>
  <c r="AX101" i="1"/>
  <c r="F41" i="1"/>
  <c r="AP66" i="1"/>
  <c r="F80" i="1"/>
  <c r="AQ22" i="1"/>
  <c r="F111" i="1"/>
  <c r="AQ131" i="1"/>
  <c r="CF66" i="1"/>
  <c r="AW71" i="1"/>
  <c r="BD22" i="1"/>
  <c r="BD131" i="1"/>
  <c r="F126" i="1"/>
  <c r="AF66" i="1"/>
  <c r="S71" i="1"/>
  <c r="P66" i="1"/>
  <c r="F74" i="1"/>
  <c r="BB22" i="1"/>
  <c r="F114" i="1"/>
  <c r="BB131" i="1"/>
  <c r="AC26" i="1"/>
  <c r="CE34" i="1"/>
  <c r="P34" i="1"/>
  <c r="CH34" i="1"/>
  <c r="CF34" i="1"/>
  <c r="U26" i="1"/>
  <c r="U101" i="1"/>
  <c r="F56" i="1"/>
  <c r="AK71" i="1"/>
  <c r="W22" i="1"/>
  <c r="W131" i="1"/>
  <c r="F125" i="1"/>
  <c r="V101" i="1"/>
  <c r="AT101" i="1"/>
  <c r="AE66" i="1"/>
  <c r="R71" i="1"/>
  <c r="CE66" i="1"/>
  <c r="AV71" i="1"/>
  <c r="GN32" i="1" l="1"/>
  <c r="GM32" i="1"/>
  <c r="U66" i="1"/>
  <c r="F93" i="1"/>
  <c r="X34" i="1"/>
  <c r="AD66" i="1"/>
  <c r="Q71" i="1"/>
  <c r="AD26" i="1"/>
  <c r="Q34" i="1"/>
  <c r="AL26" i="1"/>
  <c r="Y34" i="1"/>
  <c r="CB71" i="1"/>
  <c r="GN28" i="1"/>
  <c r="CB34" i="1" s="1"/>
  <c r="AB34" i="1"/>
  <c r="GM28" i="1"/>
  <c r="CA34" i="1" s="1"/>
  <c r="AR34" i="1" s="1"/>
  <c r="CA71" i="1"/>
  <c r="CA66" i="1" s="1"/>
  <c r="F48" i="1"/>
  <c r="R26" i="1"/>
  <c r="J40" i="5"/>
  <c r="P40" i="5" s="1"/>
  <c r="R66" i="1"/>
  <c r="F85" i="1"/>
  <c r="R101" i="1"/>
  <c r="BB18" i="1"/>
  <c r="F144" i="1"/>
  <c r="BD18" i="1"/>
  <c r="F156" i="1"/>
  <c r="AU22" i="1"/>
  <c r="AU131" i="1"/>
  <c r="F120" i="1"/>
  <c r="H16" i="2" s="1"/>
  <c r="H18" i="2" s="1"/>
  <c r="W18" i="1"/>
  <c r="F155" i="1"/>
  <c r="U22" i="1"/>
  <c r="U131" i="1"/>
  <c r="F123" i="1"/>
  <c r="P26" i="1"/>
  <c r="P101" i="1"/>
  <c r="F37" i="1"/>
  <c r="S66" i="1"/>
  <c r="F86" i="1"/>
  <c r="T22" i="1"/>
  <c r="T131" i="1"/>
  <c r="F122" i="1"/>
  <c r="AY66" i="1"/>
  <c r="F79" i="1"/>
  <c r="AZ66" i="1"/>
  <c r="F82" i="1"/>
  <c r="CB66" i="1"/>
  <c r="AS71" i="1"/>
  <c r="AZ101" i="1"/>
  <c r="AP18" i="1"/>
  <c r="F140" i="1"/>
  <c r="AV66" i="1"/>
  <c r="F76" i="1"/>
  <c r="AT22" i="1"/>
  <c r="F119" i="1"/>
  <c r="F16" i="2" s="1"/>
  <c r="F18" i="2" s="1"/>
  <c r="AT131" i="1"/>
  <c r="CE26" i="1"/>
  <c r="AV34" i="1"/>
  <c r="AW66" i="1"/>
  <c r="F77" i="1"/>
  <c r="AX22" i="1"/>
  <c r="F108" i="1"/>
  <c r="AX131" i="1"/>
  <c r="AO18" i="1"/>
  <c r="F135" i="1"/>
  <c r="BA18" i="1"/>
  <c r="F151" i="1"/>
  <c r="BC18" i="1"/>
  <c r="F147" i="1"/>
  <c r="V22" i="1"/>
  <c r="F124" i="1"/>
  <c r="V131" i="1"/>
  <c r="AK66" i="1"/>
  <c r="X71" i="1"/>
  <c r="X101" i="1" s="1"/>
  <c r="CF26" i="1"/>
  <c r="AW34" i="1"/>
  <c r="S101" i="1"/>
  <c r="AB66" i="1"/>
  <c r="O71" i="1"/>
  <c r="X26" i="1"/>
  <c r="F60" i="1"/>
  <c r="CH26" i="1"/>
  <c r="AY34" i="1"/>
  <c r="AQ18" i="1"/>
  <c r="F141" i="1"/>
  <c r="Y71" i="1"/>
  <c r="AL66" i="1"/>
  <c r="CB26" i="1" l="1"/>
  <c r="AS34" i="1"/>
  <c r="AB26" i="1"/>
  <c r="O34" i="1"/>
  <c r="F61" i="1"/>
  <c r="Y26" i="1"/>
  <c r="AR71" i="1"/>
  <c r="F99" i="1" s="1"/>
  <c r="CA26" i="1"/>
  <c r="Q101" i="1"/>
  <c r="Q26" i="1"/>
  <c r="F46" i="1"/>
  <c r="Q66" i="1"/>
  <c r="F83" i="1"/>
  <c r="J78" i="5"/>
  <c r="J105" i="5"/>
  <c r="O66" i="1"/>
  <c r="F73" i="1"/>
  <c r="AX18" i="1"/>
  <c r="F138" i="1"/>
  <c r="AV26" i="1"/>
  <c r="F39" i="1"/>
  <c r="AV101" i="1"/>
  <c r="R22" i="1"/>
  <c r="F115" i="1"/>
  <c r="R131" i="1"/>
  <c r="AY26" i="1"/>
  <c r="F42" i="1"/>
  <c r="AY101" i="1"/>
  <c r="AW26" i="1"/>
  <c r="F40" i="1"/>
  <c r="AW101" i="1"/>
  <c r="V18" i="1"/>
  <c r="F154" i="1"/>
  <c r="AZ22" i="1"/>
  <c r="F112" i="1"/>
  <c r="AZ131" i="1"/>
  <c r="T18" i="1"/>
  <c r="F152" i="1"/>
  <c r="U18" i="1"/>
  <c r="F153" i="1"/>
  <c r="I19" i="5" s="1"/>
  <c r="F98" i="1"/>
  <c r="Y66" i="1"/>
  <c r="Y101" i="1"/>
  <c r="S22" i="1"/>
  <c r="F116" i="1"/>
  <c r="J16" i="2" s="1"/>
  <c r="J18" i="2" s="1"/>
  <c r="S131" i="1"/>
  <c r="AT18" i="1"/>
  <c r="F149" i="1"/>
  <c r="F88" i="1"/>
  <c r="AS66" i="1"/>
  <c r="P22" i="1"/>
  <c r="F104" i="1"/>
  <c r="P131" i="1"/>
  <c r="AU18" i="1"/>
  <c r="F150" i="1"/>
  <c r="O101" i="1"/>
  <c r="AR26" i="1"/>
  <c r="F62" i="1"/>
  <c r="X66" i="1"/>
  <c r="F97" i="1"/>
  <c r="X22" i="1"/>
  <c r="X131" i="1"/>
  <c r="F127" i="1"/>
  <c r="AR66" i="1" l="1"/>
  <c r="F36" i="1"/>
  <c r="O26" i="1"/>
  <c r="AR101" i="1"/>
  <c r="AR22" i="1" s="1"/>
  <c r="AS26" i="1"/>
  <c r="F51" i="1"/>
  <c r="AS101" i="1"/>
  <c r="F113" i="1"/>
  <c r="Q131" i="1"/>
  <c r="Q22" i="1"/>
  <c r="S18" i="1"/>
  <c r="F146" i="1"/>
  <c r="X18" i="1"/>
  <c r="F157" i="1"/>
  <c r="AW22" i="1"/>
  <c r="F107" i="1"/>
  <c r="AW131" i="1"/>
  <c r="AV22" i="1"/>
  <c r="AV131" i="1"/>
  <c r="F106" i="1"/>
  <c r="AZ18" i="1"/>
  <c r="F142" i="1"/>
  <c r="R18" i="1"/>
  <c r="F145" i="1"/>
  <c r="O22" i="1"/>
  <c r="F103" i="1"/>
  <c r="O131" i="1"/>
  <c r="P18" i="1"/>
  <c r="F134" i="1"/>
  <c r="Y22" i="1"/>
  <c r="Y131" i="1"/>
  <c r="F128" i="1"/>
  <c r="AY22" i="1"/>
  <c r="F109" i="1"/>
  <c r="AY131" i="1"/>
  <c r="I20" i="5" l="1"/>
  <c r="Q18" i="1"/>
  <c r="F143" i="1"/>
  <c r="AS22" i="1"/>
  <c r="AS131" i="1"/>
  <c r="F118" i="1"/>
  <c r="E16" i="2" s="1"/>
  <c r="AR131" i="1"/>
  <c r="F129" i="1"/>
  <c r="AR18" i="1"/>
  <c r="F159" i="1"/>
  <c r="I18" i="5" s="1"/>
  <c r="AY18" i="1"/>
  <c r="F139" i="1"/>
  <c r="Y18" i="1"/>
  <c r="F158" i="1"/>
  <c r="O18" i="1"/>
  <c r="F133" i="1"/>
  <c r="AV18" i="1"/>
  <c r="F136" i="1"/>
  <c r="AW18" i="1"/>
  <c r="F137" i="1"/>
  <c r="AS18" i="1" l="1"/>
  <c r="F148" i="1"/>
  <c r="E18" i="2"/>
  <c r="I16" i="2"/>
  <c r="I18" i="2" s="1"/>
</calcChain>
</file>

<file path=xl/sharedStrings.xml><?xml version="1.0" encoding="utf-8"?>
<sst xmlns="http://schemas.openxmlformats.org/spreadsheetml/2006/main" count="2099" uniqueCount="363">
  <si>
    <t>Smeta.RU  (495) 974-1589</t>
  </si>
  <si>
    <t>_PS_</t>
  </si>
  <si>
    <t>Smeta.RU</t>
  </si>
  <si>
    <t/>
  </si>
  <si>
    <t>Новый объект</t>
  </si>
  <si>
    <t>Ремонт санузлов АБК</t>
  </si>
  <si>
    <t>Сметные нормы списания</t>
  </si>
  <si>
    <t>Коды ценников</t>
  </si>
  <si>
    <t>ФЕР-2020 И8</t>
  </si>
  <si>
    <t>Версия 1.3.0 ГСН (ГЭСН, ФЕР) и ТЕР (МДС 81-25.2001 и МДС 81-33.2004) шифры НР, СП и ПНР с версии Smeta.ru 11.4.1.0</t>
  </si>
  <si>
    <t>ФЕР-2020 - изменения И8</t>
  </si>
  <si>
    <t>Поправки для ГСН (ФЕР) 2020 от 18.10.2021 г И8 Строительство</t>
  </si>
  <si>
    <t>Новая локальная смета</t>
  </si>
  <si>
    <t>Новый раздел</t>
  </si>
  <si>
    <t>Ремонт помещений в котельной: лаборатория.</t>
  </si>
  <si>
    <t>1</t>
  </si>
  <si>
    <t>11-01-027-05</t>
  </si>
  <si>
    <t>Устройство покрытий на растворе из сухой смеси с приготовлением раствора в построечных условиях из плиток  керамических для полов</t>
  </si>
  <si>
    <t>100 м2</t>
  </si>
  <si>
    <t>ФЕР-2001 доп.4, 11-01-027-05, приказ Минстроя России № 636/пр от 20.10.2020</t>
  </si>
  <si>
    <t>*0</t>
  </si>
  <si>
    <t>)*1,25</t>
  </si>
  <si>
    <t>)*1,15*1,5</t>
  </si>
  <si>
    <t>Общестроительные работы</t>
  </si>
  <si>
    <t>Полы</t>
  </si>
  <si>
    <t>ФЕР-11</t>
  </si>
  <si>
    <t>Поправка: МДС 81-35.2004, п.4.7</t>
  </si>
  <si>
    <t>МДС 81-33.2004 прил.4 п.11</t>
  </si>
  <si>
    <t>МДС 81-25.2001 прил.3 письмо АП-5536/06 прил.1 п.11</t>
  </si>
  <si>
    <t>2</t>
  </si>
  <si>
    <t>15-01-019-05</t>
  </si>
  <si>
    <t>Гладкая облицовка стен из плиток керамических на клее из сухих смесей: по кирпичу и бетону</t>
  </si>
  <si>
    <t>ФЕР-2001 доп.5, 15-01-019-05, приказ Минстроя России № 51/пр от 09.02.2021</t>
  </si>
  <si>
    <t>Отделочные работы</t>
  </si>
  <si>
    <t>ФЕР-15</t>
  </si>
  <si>
    <t>МДС 81-33.2004 прил.4 п.15</t>
  </si>
  <si>
    <t>МДС 81-25.2001 прил.3 письмо АП-5536/06 прил.1 п.15</t>
  </si>
  <si>
    <t>3</t>
  </si>
  <si>
    <t>15-01-047-16</t>
  </si>
  <si>
    <t>Устройство потолков и стен из профнастила</t>
  </si>
  <si>
    <t>ФЕР-2001 доп.4, 15-01-047-16, приказ Минстроя России № 635/пр от 20.10.2020</t>
  </si>
  <si>
    <t>4</t>
  </si>
  <si>
    <t>15-02-019-03</t>
  </si>
  <si>
    <t>Сплошное выравниваание стен</t>
  </si>
  <si>
    <t>ФЕР-2001, 15-02-019-03, приказ Минстроя России № 876/пр от 26.12.2019</t>
  </si>
  <si>
    <t>)*1,15*2</t>
  </si>
  <si>
    <t>5</t>
  </si>
  <si>
    <t>15-04-005-03</t>
  </si>
  <si>
    <t>Окраска поливинилацетатными водоэмульсионными составами улучшенная: по штукатурке стен</t>
  </si>
  <si>
    <t>ФЕР-2001, 15-04-005-03, приказ Минстроя России № 876/пр от 26.12.2019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</si>
  <si>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</si>
  <si>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</si>
  <si>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</si>
  <si>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</si>
  <si>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</si>
  <si>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</si>
  <si>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</si>
  <si>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</si>
  <si>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</si>
  <si>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</si>
  <si>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</si>
  <si>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</si>
  <si>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</si>
  <si>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</si>
  <si>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</si>
  <si>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</si>
  <si>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</si>
  <si>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</si>
  <si>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</si>
  <si>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</si>
  <si>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</si>
  <si>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</si>
  <si>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</si>
  <si>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</si>
  <si>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</si>
  <si>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</si>
  <si>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</si>
  <si>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</si>
  <si>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</si>
  <si>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</si>
  <si>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</si>
  <si>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</si>
  <si>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</si>
  <si>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</si>
  <si>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</si>
  <si>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</si>
  <si>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</si>
  <si>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</si>
  <si>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</si>
  <si>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</si>
  <si>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</si>
  <si>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</si>
  <si>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</si>
  <si>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</si>
  <si>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</si>
  <si>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</si>
  <si>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</si>
  <si>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</si>
  <si>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</si>
  <si>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</si>
  <si>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</si>
  <si>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</si>
  <si>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</si>
  <si>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</si>
  <si>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Ремонт санузлов в здании АБК</t>
  </si>
  <si>
    <t>6</t>
  </si>
  <si>
    <t>7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</si>
  <si>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</si>
  <si>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</si>
  <si>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</si>
  <si>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</si>
  <si>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</si>
  <si>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</si>
  <si>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</si>
  <si>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</si>
  <si>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</si>
  <si>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</si>
  <si>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</si>
  <si>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</si>
  <si>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</si>
  <si>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</si>
  <si>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</si>
  <si>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</si>
  <si>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</si>
  <si>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</si>
  <si>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Упрощенное налогообложение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</si>
  <si>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</si>
  <si>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</si>
  <si>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</si>
  <si>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Хозяйственный способ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</si>
  <si>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</si>
  <si>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</si>
  <si>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</si>
  <si>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"Сложные объекты "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</si>
  <si>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</si>
  <si>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</si>
  <si>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При работе в текущем уровне цен с 27.04.2018 г.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</si>
  <si>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</si>
  <si>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</si>
  <si>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</si>
  <si>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городских в/опт. линий связи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</si>
  <si>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</si>
  <si>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</si>
  <si>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</si>
  <si>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 обслуживающие процессы )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</si>
  <si>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</si>
  <si>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</si>
  <si>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</si>
  <si>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</si>
  <si>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</si>
  <si>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</si>
  <si>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</si>
  <si>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Э/монтаж и контроль сварки на АЭС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</si>
  <si>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</si>
  <si>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</si>
  <si>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</si>
  <si>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</si>
  <si>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</si>
  <si>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</si>
  <si>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</si>
  <si>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</si>
  <si>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</si>
  <si>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</si>
  <si>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</si>
  <si>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</si>
  <si>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</si>
  <si>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</si>
  <si>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</si>
  <si>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</si>
  <si>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</si>
  <si>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</si>
  <si>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</si>
  <si>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</si>
  <si>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</si>
  <si>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</si>
  <si>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</si>
  <si>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</si>
  <si>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</si>
  <si>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</si>
  <si>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</si>
  <si>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</si>
  <si>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</si>
  <si>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</si>
  <si>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</si>
  <si>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</si>
  <si>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Лист_НРиСП</t>
  </si>
  <si>
    <t>Уровень цен</t>
  </si>
  <si>
    <t>Индексы за итогом</t>
  </si>
  <si>
    <t>_OBSM_</t>
  </si>
  <si>
    <t>ГСН</t>
  </si>
  <si>
    <t>1-100-32</t>
  </si>
  <si>
    <t>Затраты труда рабочих (Средний разряд - 3,2)</t>
  </si>
  <si>
    <t>чел.-ч.</t>
  </si>
  <si>
    <t>4-100-00</t>
  </si>
  <si>
    <t>Затраты труда машинистов</t>
  </si>
  <si>
    <t>91.06.05-011</t>
  </si>
  <si>
    <t>ФСЭМ-2001, 91.06.05-011 , приказ Минстроя России № 876/пр от 26.12.2019</t>
  </si>
  <si>
    <t>Погрузчики, грузоподъемность 5 т</t>
  </si>
  <si>
    <t>маш.-ч.</t>
  </si>
  <si>
    <t>91.06.06-048</t>
  </si>
  <si>
    <t>ФСЭМ-2001, 91.06.06-048 , приказ Минстроя России № 876/пр от 26.12.2019</t>
  </si>
  <si>
    <t>Подъемники одномачтовые, грузоподъемность до 500 кг, высота подъема 45 м</t>
  </si>
  <si>
    <t>91.07.08-024</t>
  </si>
  <si>
    <t>ФСЭМ-2001, 91.07.08-024 , приказ Минстроя России № 876/пр от 26.12.2019</t>
  </si>
  <si>
    <t>Растворосмесители передвижные, объем барабана 65 л</t>
  </si>
  <si>
    <t>91.14.02-001</t>
  </si>
  <si>
    <t>ФСЭМ-2001, 91.14.02-001 , приказ Минстроя России № 876/пр от 26.12.2019</t>
  </si>
  <si>
    <t>Автомобили бортовые, грузоподъемность до 5 т</t>
  </si>
  <si>
    <t>01.7.03.01-0001</t>
  </si>
  <si>
    <t>ФССЦ-2001, 01.7.03.01-0001, приказ Минстроя России № 876/пр от 26.12.2019</t>
  </si>
  <si>
    <t>Вода</t>
  </si>
  <si>
    <t>м3</t>
  </si>
  <si>
    <t>01.7.20.08-0051</t>
  </si>
  <si>
    <t>ФССЦ-2001, 01.7.20.08-0051, приказ Минстроя России № 876/пр от 26.12.2019</t>
  </si>
  <si>
    <t>Ветошь</t>
  </si>
  <si>
    <t>кг</t>
  </si>
  <si>
    <t>04.3.02.09-0102</t>
  </si>
  <si>
    <t>ФССЦ-2001, 04.3.02.09-0102, приказ Минстроя России № 876/пр от 26.12.2019</t>
  </si>
  <si>
    <t>Смеси сухие водостойкие для затирки межплиточных швов шириной 1-6 мм (различная цветовая гамма)</t>
  </si>
  <si>
    <t>т</t>
  </si>
  <si>
    <t>06.2.02.01-0081</t>
  </si>
  <si>
    <t>ФССЦ-2001 доп.4, 06.2.02.01-0081, приказ Минстроя России № 636/пр от 20.10.2020</t>
  </si>
  <si>
    <t>Плитка керамическая глазурованная для полов рельефная, квадратная и прямоугольная с многоцветным рисунком, декорированная методом сериографии, толщина 11 мм</t>
  </si>
  <si>
    <t>м2</t>
  </si>
  <si>
    <t>14.1.06.02-1002</t>
  </si>
  <si>
    <t>ФССЦ-2001, 14.1.06.02-1002, приказ Минстроя России № 876/пр от 26.12.2019</t>
  </si>
  <si>
    <t>Клей плиточный</t>
  </si>
  <si>
    <t>1-100-36</t>
  </si>
  <si>
    <t>Затраты труда рабочих (Средний разряд - 3,6)</t>
  </si>
  <si>
    <t>1-100-38</t>
  </si>
  <si>
    <t>Затраты труда рабочих (Средний разряд - 3,8)</t>
  </si>
  <si>
    <t>91.05.05-015</t>
  </si>
  <si>
    <t>ФСЭМ-2001, 91.05.05-015 , приказ Минстроя России № 876/пр от 26.12.2019</t>
  </si>
  <si>
    <t>Краны на автомобильном ходу, грузоподъемность 16 т</t>
  </si>
  <si>
    <t>91.06.03-062</t>
  </si>
  <si>
    <t>ФСЭМ-2001, 91.06.03-062 , приказ Минстроя России № 876/пр от 26.12.2019</t>
  </si>
  <si>
    <t>Лебедки электрические тяговым усилием до 31,39 кН (3,2 т)</t>
  </si>
  <si>
    <t>09.2.01.05-0001</t>
  </si>
  <si>
    <t>ФССЦ-2001, 09.2.01.05-0001, приказ Минстроя России № 876/пр от 26.12.2019</t>
  </si>
  <si>
    <t>Гребенка несущая</t>
  </si>
  <si>
    <t>м</t>
  </si>
  <si>
    <t>09.2.01.05-0051</t>
  </si>
  <si>
    <t>ФССЦ-2001, 09.2.01.05-0051, приказ Минстроя России № 876/пр от 26.12.2019</t>
  </si>
  <si>
    <t>Подвес в комплекте</t>
  </si>
  <si>
    <t>100 ШТ</t>
  </si>
  <si>
    <t>09.2.02.02-0011</t>
  </si>
  <si>
    <t>ФССЦ-2001, 09.2.02.02-0011, приказ Минстроя России № 876/пр от 26.12.2019</t>
  </si>
  <si>
    <t>Рейка алюминиевая потолочная, ширина 100 мм</t>
  </si>
  <si>
    <t>1-100-30</t>
  </si>
  <si>
    <t>Затраты труда рабочих (Средний разряд - 3)</t>
  </si>
  <si>
    <t>1-100-34</t>
  </si>
  <si>
    <t>Затраты труда рабочих (Средний разряд - 3,4)</t>
  </si>
  <si>
    <t>01.7.17.11-0011</t>
  </si>
  <si>
    <t>ФССЦ-2001, 01.7.17.11-0011, приказ Минстроя России № 876/пр от 26.12.2019</t>
  </si>
  <si>
    <t>Шкурка шлифовальная двухслойная с зернистостью 40-25</t>
  </si>
  <si>
    <t>14.5.11.01-0001</t>
  </si>
  <si>
    <t>ФССЦ-2001, 14.5.11.01-0001, приказ Минстроя России № 876/пр от 26.12.2019</t>
  </si>
  <si>
    <t>Шпатлевка клеевая</t>
  </si>
  <si>
    <t>04.3.02.09</t>
  </si>
  <si>
    <t>Смесь сухая для заделки швов</t>
  </si>
  <si>
    <t>06.2.05.04</t>
  </si>
  <si>
    <t>Плитки рядовые</t>
  </si>
  <si>
    <t>14.1.06.02</t>
  </si>
  <si>
    <t>Клей для облицовочных работ (сухая смесь)</t>
  </si>
  <si>
    <t>09.2.01.05-0091</t>
  </si>
  <si>
    <t>ФССЦ-2001, 09.2.01.05-0091, приказ Минстроя России № 876/пр от 26.12.2019</t>
  </si>
  <si>
    <t>Уголок декоративный (пристенный)</t>
  </si>
  <si>
    <t>Смеси на цементной основе</t>
  </si>
  <si>
    <t>14.4.01.21</t>
  </si>
  <si>
    <t>Грунтовка</t>
  </si>
  <si>
    <t>14.3.02.01</t>
  </si>
  <si>
    <t>Краска водоэмульсионная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</si>
  <si>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</si>
  <si>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ГОСУДАРСТВЕННЫЕ СМЕТНЫЕ НОРМАТИВЫ (ФЕР-2020),   утвержденные приказами Минстроя России от 26 декабря 2019 г.   № 876/пр (в редакции приказов Минстроя РФ от 30 марта 2020 г.   № 172/пр, от 1 июня 2020 г. № 294/пр, от 30 июня 2020 г. № 352/пр,   от 20 октября 2020 г. № 636/пр, от 9 февраля 2021 г. № 51/пр,   от 24 мая 2021 г. № 321/пр, от 24 июня 2021 г. № 408/пр,  от 14 октября 2021 № 746/пр)</t>
  </si>
  <si>
    <t>(наименование стройки)</t>
  </si>
  <si>
    <t>(наименование работ и затрат, наименование объекта)</t>
  </si>
  <si>
    <t>текущая цена</t>
  </si>
  <si>
    <t>Сметная стоимость</t>
  </si>
  <si>
    <t>тыс. руб.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</si>
  <si>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</si>
  <si>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</si>
  <si>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</si>
  <si>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</si>
  <si>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</si>
  <si>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</si>
  <si>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</si>
  <si>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</si>
  <si>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</si>
  <si>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</si>
  <si>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</si>
  <si>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</si>
  <si>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</si>
  <si>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</si>
  <si>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</si>
  <si>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</si>
  <si>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</si>
  <si>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</si>
  <si>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</si>
  <si>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</si>
  <si>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</si>
  <si>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</si>
  <si>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</si>
  <si>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</si>
  <si>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</si>
  <si>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</si>
  <si>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</si>
  <si>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</si>
  <si>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</si>
  <si>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>"УТВЕРЖДАЮ"</t>
  </si>
  <si>
    <t>___________________________</t>
  </si>
  <si>
    <t>" ___ " ___________ 20 ___ г.</t>
  </si>
  <si>
    <t xml:space="preserve">Мы, нижеподписавшиеся, произвели осмотр объекта </t>
  </si>
  <si>
    <t xml:space="preserve">и постановили произвести ремонт объекта в </t>
  </si>
  <si>
    <t>следующем объеме:</t>
  </si>
  <si>
    <t>Единица измерения</t>
  </si>
  <si>
    <t>Количество</t>
  </si>
  <si>
    <t>Примечание</t>
  </si>
  <si>
    <t>Заказчик _________________</t>
  </si>
  <si>
    <t>Подрядчик _________________</t>
  </si>
  <si>
    <t>Унифицированная форма № КС-3</t>
  </si>
  <si>
    <t>Утверждена постановлением Госкомстата России</t>
  </si>
  <si>
    <t>от 11.11.99. № 100</t>
  </si>
  <si>
    <t>Коды</t>
  </si>
  <si>
    <t>Форма по ОКУД</t>
  </si>
  <si>
    <t xml:space="preserve">Инвестор </t>
  </si>
  <si>
    <t>по ОКПО</t>
  </si>
  <si>
    <t>организация, адрес, телефон, факс</t>
  </si>
  <si>
    <t xml:space="preserve">Заказчик (генподрядчик) </t>
  </si>
  <si>
    <t xml:space="preserve">Подрядчик (субподрядчик) </t>
  </si>
  <si>
    <t xml:space="preserve">Стройка </t>
  </si>
  <si>
    <t>наименование, адрес</t>
  </si>
  <si>
    <t>Вид деятельности  по ОКДП</t>
  </si>
  <si>
    <t xml:space="preserve">Договор подряда (контракт) 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</si>
  <si>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</si>
  <si>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</si>
  <si>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</si>
  <si>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</si>
  <si>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</si>
  <si>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</si>
  <si>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</si>
  <si>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</si>
  <si>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СПРАВКА</t>
  </si>
  <si>
    <t>СТОИМОСТИ ВЫПОЛНЕННЫХ РАБОТ И ЗАТРАТ</t>
  </si>
  <si>
    <t>Наименование пусковых комплексов, объектов, видов работ, оборудования, затрат</t>
  </si>
  <si>
    <t>Код</t>
  </si>
  <si>
    <t>Стоимость выполненных работ и затрат</t>
  </si>
  <si>
    <t>с начала проведения работ</t>
  </si>
  <si>
    <t>с начала года по отчетный период включительно</t>
  </si>
  <si>
    <t>в том числе за отчетный месяц</t>
  </si>
  <si>
    <t>Всего работ и затрат, включаемых в стоимость</t>
  </si>
  <si>
    <t>В том числе:</t>
  </si>
  <si>
    <t>Итого</t>
  </si>
  <si>
    <t xml:space="preserve">Сумма НДС </t>
  </si>
  <si>
    <t xml:space="preserve">Всего с учетом НДС </t>
  </si>
  <si>
    <t>должность</t>
  </si>
  <si>
    <t>подпись</t>
  </si>
  <si>
    <t>расшифровка подпись</t>
  </si>
  <si>
    <t>МП</t>
  </si>
  <si>
    <t>ОООПрестиж</t>
  </si>
  <si>
    <t xml:space="preserve">ЛОКАЛЬНАЯ СМЕТА </t>
  </si>
  <si>
    <t>Основание: дефектная ведомость</t>
  </si>
  <si>
    <t xml:space="preserve">Составлен(а) в ценах по состоянию на 01.01.2000 г. , перевод в текущие  письмо Минстроя от 30.10.2024г. №63748-АЛ/09 </t>
  </si>
  <si>
    <t>)*1,15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</si>
</sst>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\-\ #,##0.00"/>
    <numFmt numFmtId="165" formatCode="#,##0;[Red]\-\ #,##0"/>
  </numFmts>
  <fonts count="17" x14ac:knownFonts="1">
    <font>
      <sz val="10"/>
      <name val="Arial"/>
      <charset val="204"/>
    </font>
    <font>
      <b/>
      <sz val="10"/>
      <color indexed="12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b/>
      <sz val="10"/>
      <color indexed="14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3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164" fontId="9" fillId="0" borderId="0" xfId="0" applyNumberFormat="1" applyFont="1"/>
    <xf numFmtId="0" fontId="10" fillId="0" borderId="2" xfId="0" applyFont="1" applyBorder="1"/>
    <xf numFmtId="0" fontId="12" fillId="0" borderId="0" xfId="0" applyFont="1"/>
    <xf numFmtId="0" fontId="9" fillId="0" borderId="0" xfId="0" applyFont="1" applyAlignment="1">
      <alignment horizontal="right"/>
    </xf>
    <xf numFmtId="164" fontId="9" fillId="0" borderId="2" xfId="0" applyNumberFormat="1" applyFont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right" wrapText="1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0" fillId="0" borderId="0" xfId="0" applyNumberFormat="1" applyFont="1"/>
    <xf numFmtId="0" fontId="10" fillId="0" borderId="6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 vertical="top"/>
    </xf>
    <xf numFmtId="0" fontId="9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165" fontId="9" fillId="0" borderId="0" xfId="0" applyNumberFormat="1" applyFont="1" applyAlignment="1">
      <alignment horizontal="right"/>
    </xf>
    <xf numFmtId="0" fontId="9" fillId="0" borderId="0" xfId="0" applyFont="1" applyAlignment="1">
      <alignment vertical="top" wrapText="1"/>
    </xf>
    <xf numFmtId="165" fontId="16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 wrapText="1"/>
    </xf>
    <xf numFmtId="165" fontId="9" fillId="0" borderId="2" xfId="0" applyNumberFormat="1" applyFont="1" applyBorder="1" applyAlignment="1">
      <alignment horizontal="right"/>
    </xf>
    <xf numFmtId="165" fontId="9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2" xfId="0" applyFont="1" applyBorder="1"/>
    <xf numFmtId="0" fontId="16" fillId="0" borderId="0" xfId="0" applyFont="1"/>
    <xf numFmtId="0" fontId="15" fillId="0" borderId="0" xfId="0" applyFont="1" applyAlignment="1">
      <alignment horizontal="center" wrapText="1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165" fontId="15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16" fillId="0" borderId="2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center" vertical="top"/>
    </xf>
    <xf numFmtId="0" fontId="9" fillId="0" borderId="0" xfId="0" applyFont="1"/>
    <xf numFmtId="0" fontId="15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5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right" wrapText="1"/>
    </xf>
    <xf numFmtId="0" fontId="14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right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 shrinkToFit="1"/>
    </xf>
    <xf numFmtId="0" fontId="10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top" shrinkToFit="1"/>
    </xf>
    <xf numFmtId="0" fontId="10" fillId="0" borderId="4" xfId="0" applyFont="1" applyBorder="1" applyAlignment="1">
      <alignment horizontal="justify" vertical="top" wrapText="1" shrinkToFit="1"/>
    </xf>
    <xf numFmtId="0" fontId="10" fillId="0" borderId="7" xfId="0" applyFont="1" applyBorder="1" applyAlignment="1">
      <alignment horizontal="justify" vertical="top" wrapText="1" shrinkToFit="1"/>
    </xf>
    <xf numFmtId="0" fontId="10" fillId="0" borderId="1" xfId="0" applyFont="1" applyBorder="1" applyAlignment="1">
      <alignment horizontal="justify" vertical="top" wrapText="1" shrinkToFit="1"/>
    </xf>
    <xf numFmtId="0" fontId="10" fillId="0" borderId="9" xfId="0" applyFont="1" applyBorder="1" applyAlignment="1">
      <alignment horizontal="justify" vertical="top" wrapText="1" shrinkToFit="1"/>
    </xf>
    <xf numFmtId="0" fontId="10" fillId="0" borderId="1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164" fontId="10" fillId="0" borderId="6" xfId="0" applyNumberFormat="1" applyFont="1" applyBorder="1" applyAlignment="1">
      <alignment horizontal="right"/>
    </xf>
    <xf numFmtId="0" fontId="10" fillId="0" borderId="0" xfId="0" applyFont="1" applyAlignment="1">
      <alignment horizontal="right" vertical="center" wrapText="1" shrinkToFit="1"/>
    </xf>
    <xf numFmtId="164" fontId="10" fillId="0" borderId="6" xfId="0" applyNumberFormat="1" applyFont="1" applyBorder="1" applyAlignment="1">
      <alignment horizontal="right" vertical="center" wrapText="1" shrinkToFit="1"/>
    </xf>
    <xf numFmtId="0" fontId="10" fillId="0" borderId="9" xfId="0" applyFont="1" applyBorder="1" applyAlignment="1">
      <alignment horizontal="right" vertical="center" wrapText="1" shrinkToFit="1"/>
    </xf>
    <xf numFmtId="164" fontId="10" fillId="0" borderId="4" xfId="0" applyNumberFormat="1" applyFont="1" applyBorder="1" applyAlignment="1">
      <alignment horizontal="right" vertical="center" wrapText="1" shrinkToFit="1"/>
    </xf>
    <xf numFmtId="0" fontId="10" fillId="0" borderId="8" xfId="0" applyFont="1" applyBorder="1" applyAlignment="1">
      <alignment horizontal="right" vertical="center" wrapText="1" shrinkToFit="1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justify" vertical="top" wrapText="1" shrinkToFit="1"/>
    </xf>
    <xf numFmtId="164" fontId="10" fillId="0" borderId="6" xfId="0" applyNumberFormat="1" applyFont="1" applyBorder="1" applyAlignment="1">
      <alignment horizontal="right" wrapText="1" shrinkToFit="1"/>
    </xf>
    <xf numFmtId="0" fontId="10" fillId="0" borderId="1" xfId="0" applyFont="1" applyBorder="1" applyAlignment="1">
      <alignment horizontal="right" wrapText="1" shrinkToFit="1"/>
    </xf>
    <xf numFmtId="0" fontId="10" fillId="0" borderId="9" xfId="0" applyFont="1" applyBorder="1" applyAlignment="1">
      <alignment horizontal="right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14" fontId="10" fillId="0" borderId="8" xfId="0" applyNumberFormat="1" applyFont="1" applyBorder="1" applyAlignment="1">
      <alignment horizontal="center"/>
    </xf>
    <xf numFmtId="14" fontId="10" fillId="0" borderId="7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4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8" xfId="0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2" xfId="0" applyFont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6"/>
  <sheetViews>
    <sheetView tabSelected="1" zoomScaleNormal="100" workbookViewId="0">
      <selection activeCell="I108" sqref="I108"/>
    </sheetView>
  </sheetViews>
  <sheetFormatPr defaultColWidth="9.109375" defaultRowHeight="11.4" x14ac:dyDescent="0.2"/>
  <cols>
    <col min="1" max="1" width="5.6640625" style="9" customWidth="1"/>
    <col min="2" max="2" width="11.6640625" style="9" customWidth="1"/>
    <col min="3" max="3" width="40.6640625" style="9" customWidth="1"/>
    <col min="4" max="5" width="10.6640625" style="9" customWidth="1"/>
    <col min="6" max="8" width="12.6640625" style="9" customWidth="1"/>
    <col min="9" max="9" width="17.6640625" style="9" customWidth="1"/>
    <col min="10" max="10" width="8.6640625" style="9" customWidth="1"/>
    <col min="11" max="11" width="12.6640625" style="9" customWidth="1"/>
    <col min="12" max="12" width="9.6640625" style="9" customWidth="1"/>
    <col min="13" max="14" width="9.109375" style="9"/>
    <col min="15" max="31" width="0" style="9" hidden="1" customWidth="1"/>
    <col min="32" max="32" width="91.6640625" style="9" hidden="1" customWidth="1"/>
    <col min="33" max="36" width="0" style="9" hidden="1" customWidth="1"/>
    <col min="37" max="16384" width="9.109375" style="9"/>
  </cols>
  <sheetData>
    <row r="1" spans="1:12" x14ac:dyDescent="0.2">
      <c r="A1" s="9" t="str">
        <f>Source!B1</f>
        <v>Smeta.RU  (495) 974-1589</v>
      </c>
    </row>
    <row r="2" spans="1:12" ht="12" x14ac:dyDescent="0.25">
      <c r="A2" s="39"/>
      <c r="B2" s="88" t="s">
        <v>358</v>
      </c>
      <c r="C2" s="88"/>
      <c r="D2" s="88"/>
      <c r="E2" s="88"/>
      <c r="F2" s="88"/>
      <c r="G2" s="88"/>
      <c r="H2" s="88"/>
      <c r="I2" s="88"/>
      <c r="J2" s="88"/>
      <c r="K2" s="88"/>
      <c r="L2" s="39"/>
    </row>
    <row r="3" spans="1:12" x14ac:dyDescent="0.2">
      <c r="A3" s="40"/>
      <c r="B3" s="89" t="s">
        <v>274</v>
      </c>
      <c r="C3" s="89"/>
      <c r="D3" s="89"/>
      <c r="E3" s="89"/>
      <c r="F3" s="89"/>
      <c r="G3" s="89"/>
      <c r="H3" s="89"/>
      <c r="I3" s="89"/>
      <c r="J3" s="89"/>
      <c r="K3" s="89"/>
      <c r="L3" s="39"/>
    </row>
    <row r="5" spans="1:12" x14ac:dyDescent="0.2">
      <c r="F5" s="90"/>
      <c r="G5" s="90"/>
      <c r="H5" s="87" t="str">
        <f>IF(Source!F12&lt;&gt;"Новый объект", Source!F12, "")</f>
        <v/>
      </c>
      <c r="I5" s="87"/>
      <c r="J5" s="87"/>
      <c r="K5" s="87"/>
      <c r="L5" s="41"/>
    </row>
    <row r="7" spans="1:12" ht="12" x14ac:dyDescent="0.25">
      <c r="A7" s="42"/>
      <c r="B7" s="88" t="s">
        <v>359</v>
      </c>
      <c r="C7" s="88"/>
      <c r="D7" s="88"/>
      <c r="E7" s="88"/>
      <c r="F7" s="88"/>
      <c r="G7" s="88"/>
      <c r="H7" s="88"/>
      <c r="I7" s="88"/>
      <c r="J7" s="88"/>
      <c r="K7" s="88"/>
      <c r="L7" s="42"/>
    </row>
    <row r="8" spans="1:12" ht="12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2"/>
    </row>
    <row r="9" spans="1:12" ht="12" hidden="1" x14ac:dyDescent="0.25">
      <c r="A9" s="42"/>
      <c r="B9" s="88"/>
      <c r="C9" s="88"/>
      <c r="D9" s="88"/>
      <c r="E9" s="88"/>
      <c r="F9" s="88"/>
      <c r="G9" s="88"/>
      <c r="H9" s="88"/>
      <c r="I9" s="88"/>
      <c r="J9" s="88"/>
      <c r="K9" s="88"/>
      <c r="L9" s="42"/>
    </row>
    <row r="10" spans="1:12" hidden="1" x14ac:dyDescent="0.2"/>
    <row r="11" spans="1:12" ht="12" x14ac:dyDescent="0.25">
      <c r="B11" s="85" t="str">
        <f>IF(Source!G12&lt;&gt;"Новый объект", Source!G12, "")</f>
        <v>Ремонт санузлов АБК</v>
      </c>
      <c r="C11" s="85"/>
      <c r="D11" s="85"/>
      <c r="E11" s="85"/>
      <c r="F11" s="85"/>
      <c r="G11" s="85"/>
      <c r="H11" s="85"/>
      <c r="I11" s="85"/>
      <c r="J11" s="85"/>
      <c r="K11" s="85"/>
      <c r="L11" s="44"/>
    </row>
    <row r="12" spans="1:12" x14ac:dyDescent="0.2">
      <c r="B12" s="86" t="s">
        <v>275</v>
      </c>
      <c r="C12" s="86"/>
      <c r="D12" s="86"/>
      <c r="E12" s="86"/>
      <c r="F12" s="86"/>
      <c r="G12" s="86"/>
      <c r="H12" s="86"/>
      <c r="I12" s="86"/>
      <c r="J12" s="86"/>
      <c r="K12" s="86"/>
      <c r="L12" s="39"/>
    </row>
    <row r="14" spans="1:12" x14ac:dyDescent="0.2">
      <c r="A14" s="87" t="s">
        <v>360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7" spans="1:22" x14ac:dyDescent="0.2">
      <c r="E17" s="45"/>
      <c r="F17" s="45"/>
      <c r="G17" s="83"/>
      <c r="H17" s="83"/>
      <c r="I17" s="83" t="s">
        <v>276</v>
      </c>
      <c r="J17" s="83"/>
    </row>
    <row r="18" spans="1:22" ht="12" x14ac:dyDescent="0.25">
      <c r="C18" s="82" t="s">
        <v>277</v>
      </c>
      <c r="D18" s="82"/>
      <c r="E18" s="82"/>
      <c r="F18" s="82"/>
      <c r="G18" s="83"/>
      <c r="H18" s="83"/>
      <c r="I18" s="80">
        <f>(Source!F159/1000)</f>
        <v>107.325</v>
      </c>
      <c r="J18" s="80"/>
      <c r="K18" s="84" t="s">
        <v>278</v>
      </c>
      <c r="L18" s="84"/>
    </row>
    <row r="19" spans="1:22" ht="12" x14ac:dyDescent="0.25">
      <c r="C19" s="82" t="s">
        <v>279</v>
      </c>
      <c r="D19" s="82"/>
      <c r="E19" s="82"/>
      <c r="F19" s="82"/>
      <c r="G19" s="83"/>
      <c r="H19" s="83"/>
      <c r="I19" s="80">
        <f>(Source!F153+Source!F154)</f>
        <v>138.88425000000001</v>
      </c>
      <c r="J19" s="80"/>
      <c r="K19" s="84" t="s">
        <v>280</v>
      </c>
      <c r="L19" s="84"/>
    </row>
    <row r="20" spans="1:22" ht="12" x14ac:dyDescent="0.25">
      <c r="C20" s="82" t="s">
        <v>281</v>
      </c>
      <c r="D20" s="82"/>
      <c r="E20" s="82"/>
      <c r="F20" s="82"/>
      <c r="G20" s="83"/>
      <c r="H20" s="83"/>
      <c r="I20" s="80">
        <f>(Source!F146+ Source!F145)/1000</f>
        <v>39.889000000000003</v>
      </c>
      <c r="J20" s="80"/>
      <c r="K20" s="84" t="s">
        <v>278</v>
      </c>
      <c r="L20" s="84"/>
    </row>
    <row r="21" spans="1:22" hidden="1" x14ac:dyDescent="0.2">
      <c r="C21" s="79" t="s">
        <v>89</v>
      </c>
      <c r="D21" s="79"/>
      <c r="E21" s="79"/>
      <c r="F21" s="79"/>
      <c r="G21" s="80"/>
      <c r="H21" s="80"/>
      <c r="I21" s="80"/>
      <c r="J21" s="80"/>
      <c r="K21" s="46" t="s">
        <v>278</v>
      </c>
    </row>
    <row r="22" spans="1:22" ht="12" x14ac:dyDescent="0.25">
      <c r="C22" s="47"/>
      <c r="D22" s="47"/>
      <c r="E22" s="47"/>
      <c r="F22" s="48"/>
      <c r="G22" s="49"/>
      <c r="H22" s="49"/>
      <c r="I22" s="49"/>
      <c r="J22" s="49"/>
      <c r="K22" s="49"/>
      <c r="L22" s="49"/>
    </row>
    <row r="23" spans="1:22" hidden="1" x14ac:dyDescent="0.2">
      <c r="A23" s="48" t="s">
        <v>282</v>
      </c>
      <c r="D23" s="50"/>
      <c r="G23" s="49"/>
      <c r="H23" s="49"/>
      <c r="I23" s="48"/>
      <c r="J23" s="49"/>
      <c r="K23" s="49"/>
      <c r="L23" s="49"/>
    </row>
    <row r="24" spans="1:22" hidden="1" x14ac:dyDescent="0.2">
      <c r="A24" s="48" t="s">
        <v>283</v>
      </c>
      <c r="D24" s="50"/>
      <c r="G24" s="49"/>
      <c r="H24" s="49"/>
      <c r="I24" s="48"/>
      <c r="J24" s="49"/>
      <c r="K24" s="49"/>
      <c r="L24" s="49"/>
    </row>
    <row r="25" spans="1:22" hidden="1" x14ac:dyDescent="0.2">
      <c r="C25" s="17"/>
      <c r="D25" s="17"/>
      <c r="E25" s="17"/>
      <c r="F25" s="17"/>
      <c r="G25" s="49"/>
      <c r="H25" s="49"/>
      <c r="I25" s="48"/>
      <c r="J25" s="49"/>
      <c r="K25" s="49"/>
      <c r="L25" s="49"/>
    </row>
    <row r="26" spans="1:22" s="73" customFormat="1" x14ac:dyDescent="0.2">
      <c r="A26" s="81" t="s">
        <v>361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22" ht="45.6" x14ac:dyDescent="0.2">
      <c r="A27" s="51" t="s">
        <v>284</v>
      </c>
      <c r="B27" s="51" t="s">
        <v>285</v>
      </c>
      <c r="C27" s="51" t="s">
        <v>286</v>
      </c>
      <c r="D27" s="51" t="s">
        <v>287</v>
      </c>
      <c r="E27" s="51" t="s">
        <v>288</v>
      </c>
      <c r="F27" s="51" t="s">
        <v>289</v>
      </c>
      <c r="G27" s="51" t="s">
        <v>290</v>
      </c>
      <c r="H27" s="51" t="s">
        <v>291</v>
      </c>
      <c r="I27" s="51" t="s">
        <v>292</v>
      </c>
      <c r="J27" s="51" t="s">
        <v>293</v>
      </c>
      <c r="K27" s="51" t="s">
        <v>294</v>
      </c>
      <c r="L27" s="51" t="s">
        <v>295</v>
      </c>
    </row>
    <row r="28" spans="1:22" x14ac:dyDescent="0.2">
      <c r="A28" s="52">
        <v>1</v>
      </c>
      <c r="B28" s="52">
        <v>2</v>
      </c>
      <c r="C28" s="52">
        <v>3</v>
      </c>
      <c r="D28" s="52">
        <v>4</v>
      </c>
      <c r="E28" s="52">
        <v>5</v>
      </c>
      <c r="F28" s="52">
        <v>6</v>
      </c>
      <c r="G28" s="52">
        <v>7</v>
      </c>
      <c r="H28" s="52">
        <v>8</v>
      </c>
      <c r="I28" s="52">
        <v>9</v>
      </c>
      <c r="J28" s="52">
        <v>10</v>
      </c>
      <c r="K28" s="52">
        <v>11</v>
      </c>
      <c r="L28" s="53">
        <v>12</v>
      </c>
    </row>
    <row r="31" spans="1:22" ht="12" x14ac:dyDescent="0.25">
      <c r="A31" s="74" t="str">
        <f>CONCATENATE("Раздел: ",IF(Source!G24&lt;&gt;"Новый раздел", Source!G24, ""))</f>
        <v>Раздел: Ремонт помещений в котельной: лаборатория.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22" ht="34.200000000000003" x14ac:dyDescent="0.2">
      <c r="A32" s="54">
        <v>1</v>
      </c>
      <c r="B32" s="54" t="str">
        <f>Source!F28</f>
        <v>11-01-027-05</v>
      </c>
      <c r="C32" s="54" t="str">
        <f>Source!G28</f>
        <v>Устройство покрытий на растворе из сухой смеси с приготовлением раствора в построечных условиях из плиток  керамических для полов</v>
      </c>
      <c r="D32" s="55" t="str">
        <f>Source!H28</f>
        <v>100 м2</v>
      </c>
      <c r="E32" s="17">
        <f>Source!I28</f>
        <v>0.11</v>
      </c>
      <c r="F32" s="56">
        <f>Source!AL28+Source!AM28+Source!AO28</f>
        <v>10547.21</v>
      </c>
      <c r="G32" s="57"/>
      <c r="H32" s="58"/>
      <c r="I32" s="57" t="str">
        <f>Source!BO28</f>
        <v/>
      </c>
      <c r="J32" s="57"/>
      <c r="K32" s="58"/>
      <c r="L32" s="17"/>
      <c r="S32" s="9">
        <f>ROUND((Source!FX28/100)*((ROUND(Source!AF28*Source!I28, 0)+ROUND(Source!AE28*Source!I28, 0))), 0)</f>
        <v>253</v>
      </c>
      <c r="T32" s="9">
        <f>Source!X28</f>
        <v>7984</v>
      </c>
      <c r="U32" s="9">
        <f>ROUND((Source!FY28/100)*((ROUND(Source!AF28*Source!I28, 0)+ROUND(Source!AE28*Source!I28, 0))), 0)</f>
        <v>155</v>
      </c>
      <c r="V32" s="9">
        <f>Source!Y28</f>
        <v>4868</v>
      </c>
    </row>
    <row r="33" spans="1:26" x14ac:dyDescent="0.2">
      <c r="C33" s="59" t="str">
        <f>"Объем: "&amp;Source!I28&amp;"=11/"&amp;"100"</f>
        <v>Объем: 0,11=11/100</v>
      </c>
    </row>
    <row r="34" spans="1:26" x14ac:dyDescent="0.2">
      <c r="A34" s="54"/>
      <c r="B34" s="54"/>
      <c r="C34" s="54" t="s">
        <v>296</v>
      </c>
      <c r="D34" s="55"/>
      <c r="E34" s="17"/>
      <c r="F34" s="56">
        <f>Source!AO28</f>
        <v>1046.8800000000001</v>
      </c>
      <c r="G34" s="57" t="s">
        <v>362</v>
      </c>
      <c r="H34" s="58">
        <f>ROUND(Source!AF28*Source!I28, 0)</f>
        <v>199</v>
      </c>
      <c r="I34" s="57"/>
      <c r="J34" s="57">
        <f>IF(Source!BA28&lt;&gt; 0, Source!BA28, 1)</f>
        <v>31.51</v>
      </c>
      <c r="K34" s="58">
        <f>Source!S28</f>
        <v>6259</v>
      </c>
      <c r="L34" s="17"/>
      <c r="R34" s="9">
        <f>H34</f>
        <v>199</v>
      </c>
    </row>
    <row r="35" spans="1:26" x14ac:dyDescent="0.2">
      <c r="A35" s="54"/>
      <c r="B35" s="54"/>
      <c r="C35" s="54" t="s">
        <v>71</v>
      </c>
      <c r="D35" s="55"/>
      <c r="E35" s="17"/>
      <c r="F35" s="56">
        <f>Source!AM28</f>
        <v>142.03</v>
      </c>
      <c r="G35" s="57" t="s">
        <v>21</v>
      </c>
      <c r="H35" s="58">
        <f>ROUND(Source!AD28*Source!I28, 0)</f>
        <v>20</v>
      </c>
      <c r="I35" s="57"/>
      <c r="J35" s="57">
        <f>IF(Source!BB28&lt;&gt; 0, Source!BB28, 1)</f>
        <v>11.55</v>
      </c>
      <c r="K35" s="58">
        <f>Source!Q28</f>
        <v>226</v>
      </c>
      <c r="L35" s="17"/>
    </row>
    <row r="36" spans="1:26" x14ac:dyDescent="0.2">
      <c r="A36" s="54"/>
      <c r="B36" s="54"/>
      <c r="C36" s="54" t="s">
        <v>297</v>
      </c>
      <c r="D36" s="55"/>
      <c r="E36" s="17"/>
      <c r="F36" s="56">
        <f>Source!AN28</f>
        <v>53.61</v>
      </c>
      <c r="G36" s="57" t="s">
        <v>21</v>
      </c>
      <c r="H36" s="60">
        <f>ROUND(Source!AE28*Source!I28, 0)</f>
        <v>7</v>
      </c>
      <c r="I36" s="57"/>
      <c r="J36" s="57">
        <f>IF(Source!BS28&lt;&gt; 0, Source!BS28, 1)</f>
        <v>31.51</v>
      </c>
      <c r="K36" s="60">
        <f>Source!R28</f>
        <v>232</v>
      </c>
      <c r="L36" s="17"/>
      <c r="R36" s="9">
        <f>H36</f>
        <v>7</v>
      </c>
    </row>
    <row r="37" spans="1:26" x14ac:dyDescent="0.2">
      <c r="A37" s="54"/>
      <c r="B37" s="54"/>
      <c r="C37" s="54" t="s">
        <v>298</v>
      </c>
      <c r="D37" s="55" t="s">
        <v>299</v>
      </c>
      <c r="E37" s="17">
        <f>Source!BZ28</f>
        <v>123</v>
      </c>
      <c r="F37" s="61"/>
      <c r="G37" s="57"/>
      <c r="H37" s="58">
        <f>SUM(S32:S39)</f>
        <v>253</v>
      </c>
      <c r="I37" s="57"/>
      <c r="J37" s="62">
        <f>Source!AT28</f>
        <v>123</v>
      </c>
      <c r="K37" s="58">
        <f>SUM(T32:T39)</f>
        <v>7984</v>
      </c>
      <c r="L37" s="17"/>
    </row>
    <row r="38" spans="1:26" x14ac:dyDescent="0.2">
      <c r="A38" s="54"/>
      <c r="B38" s="54"/>
      <c r="C38" s="54" t="s">
        <v>300</v>
      </c>
      <c r="D38" s="55" t="s">
        <v>299</v>
      </c>
      <c r="E38" s="17">
        <f>Source!CA28</f>
        <v>75</v>
      </c>
      <c r="F38" s="61"/>
      <c r="G38" s="57"/>
      <c r="H38" s="58">
        <f>SUM(U32:U39)</f>
        <v>155</v>
      </c>
      <c r="I38" s="57"/>
      <c r="J38" s="62">
        <f>Source!AU28</f>
        <v>75</v>
      </c>
      <c r="K38" s="58">
        <f>SUM(V32:V39)</f>
        <v>4868</v>
      </c>
      <c r="L38" s="17"/>
    </row>
    <row r="39" spans="1:26" x14ac:dyDescent="0.2">
      <c r="A39" s="63"/>
      <c r="B39" s="63"/>
      <c r="C39" s="63" t="s">
        <v>301</v>
      </c>
      <c r="D39" s="64" t="s">
        <v>302</v>
      </c>
      <c r="E39" s="65">
        <f>Source!AQ28</f>
        <v>119.78</v>
      </c>
      <c r="F39" s="18"/>
      <c r="G39" s="66" t="s">
        <v>362</v>
      </c>
      <c r="H39" s="67"/>
      <c r="I39" s="66"/>
      <c r="J39" s="66"/>
      <c r="K39" s="67"/>
      <c r="L39" s="18">
        <f>Source!U28</f>
        <v>22.728255000000001</v>
      </c>
    </row>
    <row r="40" spans="1:26" ht="12" x14ac:dyDescent="0.25">
      <c r="G40" s="77">
        <f>H34+H35+H37+H38</f>
        <v>627</v>
      </c>
      <c r="H40" s="77"/>
      <c r="J40" s="77">
        <f>K34+K35+K37+K38</f>
        <v>19337</v>
      </c>
      <c r="K40" s="77"/>
      <c r="L40" s="19">
        <f>Source!U28</f>
        <v>22.728255000000001</v>
      </c>
      <c r="O40" s="68">
        <f>G40</f>
        <v>627</v>
      </c>
      <c r="P40" s="68">
        <f>J40</f>
        <v>19337</v>
      </c>
      <c r="Q40" s="14">
        <f>L40</f>
        <v>22.728255000000001</v>
      </c>
      <c r="W40" s="9">
        <f>IF(Source!BI28&lt;=1,H34+H35+H37+H38, 0)</f>
        <v>627</v>
      </c>
      <c r="X40" s="9">
        <f>IF(Source!BI28=2,H34+H35+H37+H38, 0)</f>
        <v>0</v>
      </c>
      <c r="Y40" s="9">
        <f>IF(Source!BI28=3,H34+H35+H37+H38, 0)</f>
        <v>0</v>
      </c>
      <c r="Z40" s="9">
        <f>IF(Source!BI28=4,H34+H35+H37+H38, 0)</f>
        <v>0</v>
      </c>
    </row>
    <row r="41" spans="1:26" ht="22.8" x14ac:dyDescent="0.2">
      <c r="A41" s="54">
        <v>2</v>
      </c>
      <c r="B41" s="54" t="str">
        <f>Source!F29</f>
        <v>15-01-019-05</v>
      </c>
      <c r="C41" s="54" t="str">
        <f>Source!G29</f>
        <v>Гладкая облицовка стен из плиток керамических на клее из сухих смесей: по кирпичу и бетону</v>
      </c>
      <c r="D41" s="55" t="str">
        <f>Source!H29</f>
        <v>100 м2</v>
      </c>
      <c r="E41" s="17">
        <f>Source!I29</f>
        <v>0.2</v>
      </c>
      <c r="F41" s="56">
        <f>Source!AL29+Source!AM29+Source!AO29</f>
        <v>1090.9599999999998</v>
      </c>
      <c r="G41" s="57"/>
      <c r="H41" s="58"/>
      <c r="I41" s="57" t="str">
        <f>Source!BO29</f>
        <v/>
      </c>
      <c r="J41" s="57"/>
      <c r="K41" s="58"/>
      <c r="L41" s="17"/>
      <c r="S41" s="9">
        <f>ROUND((Source!FX29/100)*((ROUND(Source!AF29*Source!I29, 0)+ROUND(Source!AE29*Source!I29, 0))), 0)</f>
        <v>387</v>
      </c>
      <c r="T41" s="9">
        <f>Source!X29</f>
        <v>12222</v>
      </c>
      <c r="U41" s="9">
        <f>ROUND((Source!FY29/100)*((ROUND(Source!AF29*Source!I29, 0)+ROUND(Source!AE29*Source!I29, 0))), 0)</f>
        <v>203</v>
      </c>
      <c r="V41" s="9">
        <f>Source!Y29</f>
        <v>6402</v>
      </c>
    </row>
    <row r="42" spans="1:26" x14ac:dyDescent="0.2">
      <c r="C42" s="59" t="str">
        <f>"Объем: "&amp;Source!I29&amp;"=20/"&amp;"100"</f>
        <v>Объем: 0,2=20/100</v>
      </c>
    </row>
    <row r="43" spans="1:26" x14ac:dyDescent="0.2">
      <c r="A43" s="54"/>
      <c r="B43" s="54"/>
      <c r="C43" s="54" t="s">
        <v>296</v>
      </c>
      <c r="D43" s="55"/>
      <c r="E43" s="17"/>
      <c r="F43" s="56">
        <f>Source!AO29</f>
        <v>1058.0899999999999</v>
      </c>
      <c r="G43" s="57" t="str">
        <f>G34</f>
        <v>)*1,15</v>
      </c>
      <c r="H43" s="58">
        <f>ROUND(Source!AF29*Source!I29, 0)</f>
        <v>365</v>
      </c>
      <c r="I43" s="57"/>
      <c r="J43" s="57">
        <f>IF(Source!BA29&lt;&gt; 0, Source!BA29, 1)</f>
        <v>31.51</v>
      </c>
      <c r="K43" s="58">
        <f>Source!S29</f>
        <v>11502</v>
      </c>
      <c r="L43" s="17"/>
      <c r="R43" s="9">
        <f>H43</f>
        <v>365</v>
      </c>
    </row>
    <row r="44" spans="1:26" x14ac:dyDescent="0.2">
      <c r="A44" s="54"/>
      <c r="B44" s="54"/>
      <c r="C44" s="54" t="s">
        <v>71</v>
      </c>
      <c r="D44" s="55"/>
      <c r="E44" s="17"/>
      <c r="F44" s="56">
        <f>Source!AM29</f>
        <v>31.75</v>
      </c>
      <c r="G44" s="57" t="str">
        <f>Source!DE29</f>
        <v>)*1,25</v>
      </c>
      <c r="H44" s="58">
        <f>ROUND(Source!AD29*Source!I29, 0)</f>
        <v>8</v>
      </c>
      <c r="I44" s="57"/>
      <c r="J44" s="57">
        <f>IF(Source!BB29&lt;&gt; 0, Source!BB29, 1)</f>
        <v>11.55</v>
      </c>
      <c r="K44" s="58">
        <f>Source!Q29</f>
        <v>92</v>
      </c>
      <c r="L44" s="17"/>
    </row>
    <row r="45" spans="1:26" x14ac:dyDescent="0.2">
      <c r="A45" s="54"/>
      <c r="B45" s="54"/>
      <c r="C45" s="54" t="s">
        <v>297</v>
      </c>
      <c r="D45" s="55"/>
      <c r="E45" s="17"/>
      <c r="F45" s="56">
        <f>Source!AN29</f>
        <v>17.53</v>
      </c>
      <c r="G45" s="57" t="str">
        <f>Source!DF29</f>
        <v>)*1,25</v>
      </c>
      <c r="H45" s="60">
        <f>ROUND(Source!AE29*Source!I29, 0)</f>
        <v>4</v>
      </c>
      <c r="I45" s="57"/>
      <c r="J45" s="57">
        <f>IF(Source!BS29&lt;&gt; 0, Source!BS29, 1)</f>
        <v>31.51</v>
      </c>
      <c r="K45" s="60">
        <f>Source!R29</f>
        <v>138</v>
      </c>
      <c r="L45" s="17"/>
      <c r="R45" s="9">
        <f>H45</f>
        <v>4</v>
      </c>
    </row>
    <row r="46" spans="1:26" x14ac:dyDescent="0.2">
      <c r="A46" s="54"/>
      <c r="B46" s="54"/>
      <c r="C46" s="54" t="s">
        <v>298</v>
      </c>
      <c r="D46" s="55" t="s">
        <v>299</v>
      </c>
      <c r="E46" s="17">
        <f>Source!BZ29</f>
        <v>105</v>
      </c>
      <c r="F46" s="61"/>
      <c r="G46" s="57"/>
      <c r="H46" s="58">
        <f>SUM(S41:S48)</f>
        <v>387</v>
      </c>
      <c r="I46" s="57"/>
      <c r="J46" s="62">
        <f>Source!AT29</f>
        <v>105</v>
      </c>
      <c r="K46" s="58">
        <f>SUM(T41:T48)</f>
        <v>12222</v>
      </c>
      <c r="L46" s="17"/>
    </row>
    <row r="47" spans="1:26" x14ac:dyDescent="0.2">
      <c r="A47" s="54"/>
      <c r="B47" s="54"/>
      <c r="C47" s="54" t="s">
        <v>300</v>
      </c>
      <c r="D47" s="55" t="s">
        <v>299</v>
      </c>
      <c r="E47" s="17">
        <f>Source!CA29</f>
        <v>55</v>
      </c>
      <c r="F47" s="61"/>
      <c r="G47" s="57"/>
      <c r="H47" s="58">
        <f>SUM(U41:U48)</f>
        <v>203</v>
      </c>
      <c r="I47" s="57"/>
      <c r="J47" s="62">
        <f>Source!AU29</f>
        <v>55</v>
      </c>
      <c r="K47" s="58">
        <f>SUM(V41:V48)</f>
        <v>6402</v>
      </c>
      <c r="L47" s="17"/>
    </row>
    <row r="48" spans="1:26" x14ac:dyDescent="0.2">
      <c r="A48" s="63"/>
      <c r="B48" s="63"/>
      <c r="C48" s="63" t="s">
        <v>301</v>
      </c>
      <c r="D48" s="64" t="s">
        <v>302</v>
      </c>
      <c r="E48" s="65">
        <f>Source!AQ29</f>
        <v>115.26</v>
      </c>
      <c r="F48" s="18"/>
      <c r="G48" s="66" t="str">
        <f>G39</f>
        <v>)*1,15</v>
      </c>
      <c r="H48" s="67"/>
      <c r="I48" s="66"/>
      <c r="J48" s="66"/>
      <c r="K48" s="67"/>
      <c r="L48" s="18">
        <f>Source!U29</f>
        <v>39.764700000000005</v>
      </c>
    </row>
    <row r="49" spans="1:26" ht="12" x14ac:dyDescent="0.25">
      <c r="G49" s="77">
        <f>H43+H44+H46+H47</f>
        <v>963</v>
      </c>
      <c r="H49" s="77"/>
      <c r="J49" s="77">
        <f>K43+K44+K46+K47</f>
        <v>30218</v>
      </c>
      <c r="K49" s="77"/>
      <c r="L49" s="19">
        <f>Source!U29</f>
        <v>39.764700000000005</v>
      </c>
      <c r="O49" s="68">
        <f>G49</f>
        <v>963</v>
      </c>
      <c r="P49" s="68">
        <f>J49</f>
        <v>30218</v>
      </c>
      <c r="Q49" s="14">
        <f>L49</f>
        <v>39.764700000000005</v>
      </c>
      <c r="W49" s="9">
        <f>IF(Source!BI29&lt;=1,H43+H44+H46+H47, 0)</f>
        <v>963</v>
      </c>
      <c r="X49" s="9">
        <f>IF(Source!BI29=2,H43+H44+H46+H47, 0)</f>
        <v>0</v>
      </c>
      <c r="Y49" s="9">
        <f>IF(Source!BI29=3,H43+H44+H46+H47, 0)</f>
        <v>0</v>
      </c>
      <c r="Z49" s="9">
        <f>IF(Source!BI29=4,H43+H44+H46+H47, 0)</f>
        <v>0</v>
      </c>
    </row>
    <row r="50" spans="1:26" x14ac:dyDescent="0.2">
      <c r="A50" s="54">
        <v>3</v>
      </c>
      <c r="B50" s="54" t="str">
        <f>Source!F30</f>
        <v>15-01-047-16</v>
      </c>
      <c r="C50" s="54" t="str">
        <f>Source!G30</f>
        <v>Устройство потолков и стен из профнастила</v>
      </c>
      <c r="D50" s="55" t="str">
        <f>Source!H30</f>
        <v>100 м2</v>
      </c>
      <c r="E50" s="17">
        <f>Source!I30</f>
        <v>0.17</v>
      </c>
      <c r="F50" s="56">
        <f>Source!AL30+Source!AM30+Source!AO30</f>
        <v>29417.110000000004</v>
      </c>
      <c r="G50" s="57"/>
      <c r="H50" s="58"/>
      <c r="I50" s="57" t="str">
        <f>Source!BO30</f>
        <v/>
      </c>
      <c r="J50" s="57"/>
      <c r="K50" s="58"/>
      <c r="L50" s="17"/>
      <c r="S50" s="9">
        <f>ROUND((Source!FX30/100)*((ROUND(Source!AF30*Source!I30, 0)+ROUND(Source!AE30*Source!I30, 0))), 0)</f>
        <v>315</v>
      </c>
      <c r="T50" s="9">
        <f>Source!X30</f>
        <v>9917</v>
      </c>
      <c r="U50" s="9">
        <f>ROUND((Source!FY30/100)*((ROUND(Source!AF30*Source!I30, 0)+ROUND(Source!AE30*Source!I30, 0))), 0)</f>
        <v>165</v>
      </c>
      <c r="V50" s="9">
        <f>Source!Y30</f>
        <v>5195</v>
      </c>
    </row>
    <row r="51" spans="1:26" x14ac:dyDescent="0.2">
      <c r="C51" s="59" t="str">
        <f>"Объем: "&amp;Source!I30&amp;"=17/"&amp;"100"</f>
        <v>Объем: 0,17=17/100</v>
      </c>
    </row>
    <row r="52" spans="1:26" x14ac:dyDescent="0.2">
      <c r="A52" s="54"/>
      <c r="B52" s="54"/>
      <c r="C52" s="54" t="s">
        <v>296</v>
      </c>
      <c r="D52" s="55"/>
      <c r="E52" s="17"/>
      <c r="F52" s="56">
        <f>Source!AO30</f>
        <v>1018.58</v>
      </c>
      <c r="G52" s="57" t="str">
        <f>G43</f>
        <v>)*1,15</v>
      </c>
      <c r="H52" s="58">
        <f>ROUND(Source!AF30*Source!I30, 0)</f>
        <v>299</v>
      </c>
      <c r="I52" s="57"/>
      <c r="J52" s="57">
        <f>IF(Source!BA30&lt;&gt; 0, Source!BA30, 1)</f>
        <v>31.51</v>
      </c>
      <c r="K52" s="58">
        <f>Source!S30</f>
        <v>9412</v>
      </c>
      <c r="L52" s="17"/>
      <c r="R52" s="9">
        <f>H52</f>
        <v>299</v>
      </c>
    </row>
    <row r="53" spans="1:26" x14ac:dyDescent="0.2">
      <c r="A53" s="54"/>
      <c r="B53" s="54"/>
      <c r="C53" s="54" t="s">
        <v>71</v>
      </c>
      <c r="D53" s="55"/>
      <c r="E53" s="17"/>
      <c r="F53" s="56">
        <f>Source!AM30</f>
        <v>149.83000000000001</v>
      </c>
      <c r="G53" s="57" t="str">
        <f>Source!DE30</f>
        <v>)*1,25</v>
      </c>
      <c r="H53" s="58">
        <f>ROUND(Source!AD30*Source!I30, 0)</f>
        <v>32</v>
      </c>
      <c r="I53" s="57"/>
      <c r="J53" s="57">
        <f>IF(Source!BB30&lt;&gt; 0, Source!BB30, 1)</f>
        <v>11.55</v>
      </c>
      <c r="K53" s="58">
        <f>Source!Q30</f>
        <v>368</v>
      </c>
      <c r="L53" s="17"/>
    </row>
    <row r="54" spans="1:26" x14ac:dyDescent="0.2">
      <c r="A54" s="54"/>
      <c r="B54" s="54"/>
      <c r="C54" s="54" t="s">
        <v>297</v>
      </c>
      <c r="D54" s="55"/>
      <c r="E54" s="17"/>
      <c r="F54" s="56">
        <f>Source!AN30</f>
        <v>5</v>
      </c>
      <c r="G54" s="57" t="str">
        <f>Source!DF30</f>
        <v>)*1,25</v>
      </c>
      <c r="H54" s="60">
        <f>ROUND(Source!AE30*Source!I30, 0)</f>
        <v>1</v>
      </c>
      <c r="I54" s="57"/>
      <c r="J54" s="57">
        <f>IF(Source!BS30&lt;&gt; 0, Source!BS30, 1)</f>
        <v>31.51</v>
      </c>
      <c r="K54" s="60">
        <f>Source!R30</f>
        <v>33</v>
      </c>
      <c r="L54" s="17"/>
      <c r="R54" s="9">
        <f>H54</f>
        <v>1</v>
      </c>
    </row>
    <row r="55" spans="1:26" x14ac:dyDescent="0.2">
      <c r="A55" s="54"/>
      <c r="B55" s="54"/>
      <c r="C55" s="54" t="s">
        <v>298</v>
      </c>
      <c r="D55" s="55" t="s">
        <v>299</v>
      </c>
      <c r="E55" s="17">
        <f>Source!BZ30</f>
        <v>105</v>
      </c>
      <c r="F55" s="61"/>
      <c r="G55" s="57"/>
      <c r="H55" s="58">
        <f>SUM(S50:S57)</f>
        <v>315</v>
      </c>
      <c r="I55" s="57"/>
      <c r="J55" s="62">
        <f>Source!AT30</f>
        <v>105</v>
      </c>
      <c r="K55" s="58">
        <f>SUM(T50:T57)</f>
        <v>9917</v>
      </c>
      <c r="L55" s="17"/>
    </row>
    <row r="56" spans="1:26" x14ac:dyDescent="0.2">
      <c r="A56" s="54"/>
      <c r="B56" s="54"/>
      <c r="C56" s="54" t="s">
        <v>300</v>
      </c>
      <c r="D56" s="55" t="s">
        <v>299</v>
      </c>
      <c r="E56" s="17">
        <f>Source!CA30</f>
        <v>55</v>
      </c>
      <c r="F56" s="61"/>
      <c r="G56" s="57"/>
      <c r="H56" s="58">
        <f>SUM(U50:U57)</f>
        <v>165</v>
      </c>
      <c r="I56" s="57"/>
      <c r="J56" s="62">
        <f>Source!AU30</f>
        <v>55</v>
      </c>
      <c r="K56" s="58">
        <f>SUM(V50:V57)</f>
        <v>5195</v>
      </c>
      <c r="L56" s="17"/>
    </row>
    <row r="57" spans="1:26" x14ac:dyDescent="0.2">
      <c r="A57" s="63"/>
      <c r="B57" s="63"/>
      <c r="C57" s="63" t="s">
        <v>301</v>
      </c>
      <c r="D57" s="64" t="s">
        <v>302</v>
      </c>
      <c r="E57" s="65">
        <f>Source!AQ30</f>
        <v>108.36</v>
      </c>
      <c r="F57" s="18"/>
      <c r="G57" s="66" t="str">
        <f>G48</f>
        <v>)*1,15</v>
      </c>
      <c r="H57" s="67"/>
      <c r="I57" s="66"/>
      <c r="J57" s="66"/>
      <c r="K57" s="67"/>
      <c r="L57" s="18">
        <f>Source!U30</f>
        <v>31.77657</v>
      </c>
    </row>
    <row r="58" spans="1:26" ht="12" x14ac:dyDescent="0.25">
      <c r="G58" s="77">
        <f>H52+H53+H55+H56</f>
        <v>811</v>
      </c>
      <c r="H58" s="77"/>
      <c r="J58" s="77">
        <f>K52+K53+K55+K56</f>
        <v>24892</v>
      </c>
      <c r="K58" s="77"/>
      <c r="L58" s="19">
        <f>Source!U30</f>
        <v>31.77657</v>
      </c>
      <c r="O58" s="68">
        <f>G58</f>
        <v>811</v>
      </c>
      <c r="P58" s="68">
        <f>J58</f>
        <v>24892</v>
      </c>
      <c r="Q58" s="14">
        <f>L58</f>
        <v>31.77657</v>
      </c>
      <c r="W58" s="9">
        <f>IF(Source!BI30&lt;=1,H52+H53+H55+H56, 0)</f>
        <v>811</v>
      </c>
      <c r="X58" s="9">
        <f>IF(Source!BI30=2,H52+H53+H55+H56, 0)</f>
        <v>0</v>
      </c>
      <c r="Y58" s="9">
        <f>IF(Source!BI30=3,H52+H53+H55+H56, 0)</f>
        <v>0</v>
      </c>
      <c r="Z58" s="9">
        <f>IF(Source!BI30=4,H52+H53+H55+H56, 0)</f>
        <v>0</v>
      </c>
    </row>
    <row r="59" spans="1:26" x14ac:dyDescent="0.2">
      <c r="A59" s="54">
        <v>4</v>
      </c>
      <c r="B59" s="54" t="str">
        <f>Source!F31</f>
        <v>15-02-019-03</v>
      </c>
      <c r="C59" s="54" t="str">
        <f>Source!G31</f>
        <v>Сплошное выравниваание стен</v>
      </c>
      <c r="D59" s="55" t="str">
        <f>Source!H31</f>
        <v>100 м2</v>
      </c>
      <c r="E59" s="17">
        <f>Source!I31</f>
        <v>0.09</v>
      </c>
      <c r="F59" s="56">
        <f>Source!AL31+Source!AM31+Source!AO31</f>
        <v>295.40999999999997</v>
      </c>
      <c r="G59" s="57"/>
      <c r="H59" s="58"/>
      <c r="I59" s="57" t="str">
        <f>Source!BO31</f>
        <v/>
      </c>
      <c r="J59" s="57"/>
      <c r="K59" s="58"/>
      <c r="L59" s="17"/>
      <c r="S59" s="9">
        <f>ROUND((Source!FX31/100)*((ROUND(Source!AF31*Source!I31, 0)+ROUND(Source!AE31*Source!I31, 0))), 0)</f>
        <v>61</v>
      </c>
      <c r="T59" s="9">
        <f>Source!X31</f>
        <v>1936</v>
      </c>
      <c r="U59" s="9">
        <f>ROUND((Source!FY31/100)*((ROUND(Source!AF31*Source!I31, 0)+ROUND(Source!AE31*Source!I31, 0))), 0)</f>
        <v>32</v>
      </c>
      <c r="V59" s="9">
        <f>Source!Y31</f>
        <v>1014</v>
      </c>
    </row>
    <row r="60" spans="1:26" x14ac:dyDescent="0.2">
      <c r="C60" s="59" t="str">
        <f>"Объем: "&amp;Source!I31&amp;"=9/"&amp;"100"</f>
        <v>Объем: 0,09=9/100</v>
      </c>
    </row>
    <row r="61" spans="1:26" x14ac:dyDescent="0.2">
      <c r="A61" s="54"/>
      <c r="B61" s="54"/>
      <c r="C61" s="54" t="s">
        <v>296</v>
      </c>
      <c r="D61" s="55"/>
      <c r="E61" s="17"/>
      <c r="F61" s="56">
        <f>Source!AO31</f>
        <v>277.14</v>
      </c>
      <c r="G61" s="57" t="str">
        <f>G52</f>
        <v>)*1,15</v>
      </c>
      <c r="H61" s="58">
        <f>ROUND(Source!AF31*Source!I31, 0)</f>
        <v>57</v>
      </c>
      <c r="I61" s="57"/>
      <c r="J61" s="57">
        <f>IF(Source!BA31&lt;&gt; 0, Source!BA31, 1)</f>
        <v>31.51</v>
      </c>
      <c r="K61" s="58">
        <f>Source!S31</f>
        <v>1808</v>
      </c>
      <c r="L61" s="17"/>
      <c r="R61" s="9">
        <f>H61</f>
        <v>57</v>
      </c>
    </row>
    <row r="62" spans="1:26" x14ac:dyDescent="0.2">
      <c r="A62" s="54"/>
      <c r="B62" s="54"/>
      <c r="C62" s="54" t="s">
        <v>71</v>
      </c>
      <c r="D62" s="55"/>
      <c r="E62" s="17"/>
      <c r="F62" s="56">
        <f>Source!AM31</f>
        <v>17.03</v>
      </c>
      <c r="G62" s="57" t="str">
        <f>Source!DE31</f>
        <v>)*1,25</v>
      </c>
      <c r="H62" s="58">
        <f>ROUND(Source!AD31*Source!I31, 0)</f>
        <v>2</v>
      </c>
      <c r="I62" s="57"/>
      <c r="J62" s="57">
        <f>IF(Source!BB31&lt;&gt; 0, Source!BB31, 1)</f>
        <v>11.55</v>
      </c>
      <c r="K62" s="58">
        <f>Source!Q31</f>
        <v>22</v>
      </c>
      <c r="L62" s="17"/>
    </row>
    <row r="63" spans="1:26" x14ac:dyDescent="0.2">
      <c r="A63" s="54"/>
      <c r="B63" s="54"/>
      <c r="C63" s="54" t="s">
        <v>297</v>
      </c>
      <c r="D63" s="55"/>
      <c r="E63" s="17"/>
      <c r="F63" s="56">
        <f>Source!AN31</f>
        <v>10.08</v>
      </c>
      <c r="G63" s="57" t="str">
        <f>Source!DF31</f>
        <v>)*1,25</v>
      </c>
      <c r="H63" s="60">
        <f>ROUND(Source!AE31*Source!I31, 0)</f>
        <v>1</v>
      </c>
      <c r="I63" s="57"/>
      <c r="J63" s="57">
        <f>IF(Source!BS31&lt;&gt; 0, Source!BS31, 1)</f>
        <v>31.51</v>
      </c>
      <c r="K63" s="60">
        <f>Source!R31</f>
        <v>36</v>
      </c>
      <c r="L63" s="17"/>
      <c r="R63" s="9">
        <f>H63</f>
        <v>1</v>
      </c>
    </row>
    <row r="64" spans="1:26" x14ac:dyDescent="0.2">
      <c r="A64" s="54"/>
      <c r="B64" s="54"/>
      <c r="C64" s="54" t="s">
        <v>298</v>
      </c>
      <c r="D64" s="55" t="s">
        <v>299</v>
      </c>
      <c r="E64" s="17">
        <f>Source!BZ31</f>
        <v>105</v>
      </c>
      <c r="F64" s="61"/>
      <c r="G64" s="57"/>
      <c r="H64" s="58">
        <f>SUM(S59:S66)</f>
        <v>61</v>
      </c>
      <c r="I64" s="57"/>
      <c r="J64" s="62">
        <f>Source!AT31</f>
        <v>105</v>
      </c>
      <c r="K64" s="58">
        <f>SUM(T59:T66)</f>
        <v>1936</v>
      </c>
      <c r="L64" s="17"/>
    </row>
    <row r="65" spans="1:32" x14ac:dyDescent="0.2">
      <c r="A65" s="54"/>
      <c r="B65" s="54"/>
      <c r="C65" s="54" t="s">
        <v>300</v>
      </c>
      <c r="D65" s="55" t="s">
        <v>299</v>
      </c>
      <c r="E65" s="17">
        <f>Source!CA31</f>
        <v>55</v>
      </c>
      <c r="F65" s="61"/>
      <c r="G65" s="57"/>
      <c r="H65" s="58">
        <f>SUM(U59:U66)</f>
        <v>32</v>
      </c>
      <c r="I65" s="57"/>
      <c r="J65" s="62">
        <f>Source!AU31</f>
        <v>55</v>
      </c>
      <c r="K65" s="58">
        <f>SUM(V59:V66)</f>
        <v>1014</v>
      </c>
      <c r="L65" s="17"/>
    </row>
    <row r="66" spans="1:32" x14ac:dyDescent="0.2">
      <c r="A66" s="63"/>
      <c r="B66" s="63"/>
      <c r="C66" s="63" t="s">
        <v>301</v>
      </c>
      <c r="D66" s="64" t="s">
        <v>302</v>
      </c>
      <c r="E66" s="65">
        <f>Source!AQ31</f>
        <v>32.49</v>
      </c>
      <c r="F66" s="18"/>
      <c r="G66" s="66" t="str">
        <f>G61</f>
        <v>)*1,15</v>
      </c>
      <c r="H66" s="67"/>
      <c r="I66" s="66"/>
      <c r="J66" s="66"/>
      <c r="K66" s="67"/>
      <c r="L66" s="18">
        <f>Source!U31</f>
        <v>6.7254300000000002</v>
      </c>
    </row>
    <row r="67" spans="1:32" ht="12" x14ac:dyDescent="0.25">
      <c r="G67" s="77">
        <f>H61+H62+H64+H65</f>
        <v>152</v>
      </c>
      <c r="H67" s="77"/>
      <c r="J67" s="77">
        <f>K61+K62+K64+K65</f>
        <v>4780</v>
      </c>
      <c r="K67" s="77"/>
      <c r="L67" s="19">
        <f>Source!U31</f>
        <v>6.7254300000000002</v>
      </c>
      <c r="O67" s="68">
        <f>G67</f>
        <v>152</v>
      </c>
      <c r="P67" s="68">
        <f>J67</f>
        <v>4780</v>
      </c>
      <c r="Q67" s="14">
        <f>L67</f>
        <v>6.7254300000000002</v>
      </c>
      <c r="W67" s="9">
        <f>IF(Source!BI31&lt;=1,H61+H62+H64+H65, 0)</f>
        <v>152</v>
      </c>
      <c r="X67" s="9">
        <f>IF(Source!BI31=2,H61+H62+H64+H65, 0)</f>
        <v>0</v>
      </c>
      <c r="Y67" s="9">
        <f>IF(Source!BI31=3,H61+H62+H64+H65, 0)</f>
        <v>0</v>
      </c>
      <c r="Z67" s="9">
        <f>IF(Source!BI31=4,H61+H62+H64+H65, 0)</f>
        <v>0</v>
      </c>
    </row>
    <row r="68" spans="1:32" ht="34.200000000000003" x14ac:dyDescent="0.2">
      <c r="A68" s="54">
        <v>5</v>
      </c>
      <c r="B68" s="54" t="str">
        <f>Source!F32</f>
        <v>15-04-005-03</v>
      </c>
      <c r="C68" s="54" t="str">
        <f>Source!G32</f>
        <v>Окраска поливинилацетатными водоэмульсионными составами улучшенная: по штукатурке стен</v>
      </c>
      <c r="D68" s="55" t="str">
        <f>Source!H32</f>
        <v>100 м2</v>
      </c>
      <c r="E68" s="17">
        <f>Source!I32</f>
        <v>0.09</v>
      </c>
      <c r="F68" s="56">
        <f>Source!AL32+Source!AM32+Source!AO32</f>
        <v>640.62</v>
      </c>
      <c r="G68" s="57"/>
      <c r="H68" s="58"/>
      <c r="I68" s="57" t="str">
        <f>Source!BO32</f>
        <v/>
      </c>
      <c r="J68" s="57"/>
      <c r="K68" s="58"/>
      <c r="L68" s="17"/>
      <c r="S68" s="9">
        <f>ROUND((Source!FX32/100)*((ROUND(Source!AF32*Source!I32, 0)+ROUND(Source!AE32*Source!I32, 0))), 0)</f>
        <v>76</v>
      </c>
      <c r="T68" s="9">
        <f>Source!X32</f>
        <v>2403</v>
      </c>
      <c r="U68" s="9">
        <f>ROUND((Source!FY32/100)*((ROUND(Source!AF32*Source!I32, 0)+ROUND(Source!AE32*Source!I32, 0))), 0)</f>
        <v>40</v>
      </c>
      <c r="V68" s="9">
        <f>Source!Y32</f>
        <v>1259</v>
      </c>
    </row>
    <row r="69" spans="1:32" x14ac:dyDescent="0.2">
      <c r="C69" s="59" t="str">
        <f>"Объем: "&amp;Source!I32&amp;"=9/"&amp;"100"</f>
        <v>Объем: 0,09=9/100</v>
      </c>
    </row>
    <row r="70" spans="1:32" x14ac:dyDescent="0.2">
      <c r="A70" s="54"/>
      <c r="B70" s="54"/>
      <c r="C70" s="54" t="s">
        <v>296</v>
      </c>
      <c r="D70" s="55"/>
      <c r="E70" s="17"/>
      <c r="F70" s="56">
        <f>Source!AO32</f>
        <v>349.83</v>
      </c>
      <c r="G70" s="57" t="str">
        <f>G66</f>
        <v>)*1,15</v>
      </c>
      <c r="H70" s="58">
        <f>ROUND(Source!AF32*Source!I32, 0)</f>
        <v>72</v>
      </c>
      <c r="I70" s="57"/>
      <c r="J70" s="57">
        <f>IF(Source!BA32&lt;&gt; 0, Source!BA32, 1)</f>
        <v>31.51</v>
      </c>
      <c r="K70" s="58">
        <f>Source!S32</f>
        <v>2282</v>
      </c>
      <c r="L70" s="17"/>
      <c r="R70" s="9">
        <f>H70</f>
        <v>72</v>
      </c>
    </row>
    <row r="71" spans="1:32" x14ac:dyDescent="0.2">
      <c r="A71" s="54"/>
      <c r="B71" s="54"/>
      <c r="C71" s="54" t="s">
        <v>71</v>
      </c>
      <c r="D71" s="55"/>
      <c r="E71" s="17"/>
      <c r="F71" s="56">
        <f>Source!AM32</f>
        <v>10.49</v>
      </c>
      <c r="G71" s="57" t="str">
        <f>Source!DE32</f>
        <v>)*1,25</v>
      </c>
      <c r="H71" s="58">
        <f>ROUND(Source!AD32*Source!I32, 0)</f>
        <v>1</v>
      </c>
      <c r="I71" s="57"/>
      <c r="J71" s="57">
        <f>IF(Source!BB32&lt;&gt; 0, Source!BB32, 1)</f>
        <v>11.55</v>
      </c>
      <c r="K71" s="58">
        <f>Source!Q32</f>
        <v>14</v>
      </c>
      <c r="L71" s="17"/>
    </row>
    <row r="72" spans="1:32" x14ac:dyDescent="0.2">
      <c r="A72" s="54"/>
      <c r="B72" s="54"/>
      <c r="C72" s="54" t="s">
        <v>297</v>
      </c>
      <c r="D72" s="55"/>
      <c r="E72" s="17"/>
      <c r="F72" s="56">
        <f>Source!AN32</f>
        <v>2.0099999999999998</v>
      </c>
      <c r="G72" s="57" t="str">
        <f>Source!DF32</f>
        <v>)*1,25</v>
      </c>
      <c r="H72" s="60">
        <f>ROUND(Source!AE32*Source!I32, 0)</f>
        <v>0</v>
      </c>
      <c r="I72" s="57"/>
      <c r="J72" s="57">
        <f>IF(Source!BS32&lt;&gt; 0, Source!BS32, 1)</f>
        <v>31.51</v>
      </c>
      <c r="K72" s="60">
        <f>Source!R32</f>
        <v>7</v>
      </c>
      <c r="L72" s="17"/>
      <c r="R72" s="9">
        <f>H72</f>
        <v>0</v>
      </c>
    </row>
    <row r="73" spans="1:32" x14ac:dyDescent="0.2">
      <c r="A73" s="54"/>
      <c r="B73" s="54"/>
      <c r="C73" s="54" t="s">
        <v>298</v>
      </c>
      <c r="D73" s="55" t="s">
        <v>299</v>
      </c>
      <c r="E73" s="17">
        <f>Source!BZ32</f>
        <v>105</v>
      </c>
      <c r="F73" s="61"/>
      <c r="G73" s="57"/>
      <c r="H73" s="58">
        <f>SUM(S68:S75)</f>
        <v>76</v>
      </c>
      <c r="I73" s="57"/>
      <c r="J73" s="62">
        <f>Source!AT32</f>
        <v>105</v>
      </c>
      <c r="K73" s="58">
        <f>SUM(T68:T75)</f>
        <v>2403</v>
      </c>
      <c r="L73" s="17"/>
    </row>
    <row r="74" spans="1:32" x14ac:dyDescent="0.2">
      <c r="A74" s="54"/>
      <c r="B74" s="54"/>
      <c r="C74" s="54" t="s">
        <v>300</v>
      </c>
      <c r="D74" s="55" t="s">
        <v>299</v>
      </c>
      <c r="E74" s="17">
        <f>Source!CA32</f>
        <v>55</v>
      </c>
      <c r="F74" s="61"/>
      <c r="G74" s="57"/>
      <c r="H74" s="58">
        <f>SUM(U68:U75)</f>
        <v>40</v>
      </c>
      <c r="I74" s="57"/>
      <c r="J74" s="62">
        <f>Source!AU32</f>
        <v>55</v>
      </c>
      <c r="K74" s="58">
        <f>SUM(V68:V75)</f>
        <v>1259</v>
      </c>
      <c r="L74" s="17"/>
    </row>
    <row r="75" spans="1:32" x14ac:dyDescent="0.2">
      <c r="A75" s="63"/>
      <c r="B75" s="63"/>
      <c r="C75" s="63" t="s">
        <v>301</v>
      </c>
      <c r="D75" s="64" t="s">
        <v>302</v>
      </c>
      <c r="E75" s="65">
        <f>Source!AQ32</f>
        <v>39</v>
      </c>
      <c r="F75" s="18"/>
      <c r="G75" s="66" t="str">
        <f>G70</f>
        <v>)*1,15</v>
      </c>
      <c r="H75" s="67"/>
      <c r="I75" s="66"/>
      <c r="J75" s="66"/>
      <c r="K75" s="67"/>
      <c r="L75" s="18">
        <f>Source!U32</f>
        <v>8.0729999999999986</v>
      </c>
    </row>
    <row r="76" spans="1:32" ht="12" x14ac:dyDescent="0.25">
      <c r="G76" s="77">
        <f>H70+H71+H73+H74</f>
        <v>189</v>
      </c>
      <c r="H76" s="77"/>
      <c r="J76" s="77">
        <f>K70+K71+K73+K74</f>
        <v>5958</v>
      </c>
      <c r="K76" s="77"/>
      <c r="L76" s="19">
        <f>Source!U32</f>
        <v>8.0729999999999986</v>
      </c>
      <c r="O76" s="68">
        <f>G76</f>
        <v>189</v>
      </c>
      <c r="P76" s="68">
        <f>J76</f>
        <v>5958</v>
      </c>
      <c r="Q76" s="14">
        <f>L76</f>
        <v>8.0729999999999986</v>
      </c>
      <c r="W76" s="9">
        <f>IF(Source!BI32&lt;=1,H70+H71+H73+H74, 0)</f>
        <v>189</v>
      </c>
      <c r="X76" s="9">
        <f>IF(Source!BI32=2,H70+H71+H73+H74, 0)</f>
        <v>0</v>
      </c>
      <c r="Y76" s="9">
        <f>IF(Source!BI32=3,H70+H71+H73+H74, 0)</f>
        <v>0</v>
      </c>
      <c r="Z76" s="9">
        <f>IF(Source!BI32=4,H70+H71+H73+H74, 0)</f>
        <v>0</v>
      </c>
    </row>
    <row r="78" spans="1:32" ht="12" x14ac:dyDescent="0.25">
      <c r="A78" s="76" t="str">
        <f>CONCATENATE("Итого по разделу: ",IF(Source!G34&lt;&gt;"Новый раздел", Source!G34, ""))</f>
        <v>Итого по разделу: Ремонт помещений в котельной: лаборатория.</v>
      </c>
      <c r="B78" s="76"/>
      <c r="C78" s="76"/>
      <c r="D78" s="76"/>
      <c r="E78" s="76"/>
      <c r="F78" s="76"/>
      <c r="G78" s="75">
        <f>SUM(O31:O77)</f>
        <v>2742</v>
      </c>
      <c r="H78" s="75"/>
      <c r="I78" s="69"/>
      <c r="J78" s="75">
        <f>SUM(P31:P77)</f>
        <v>85185</v>
      </c>
      <c r="K78" s="75"/>
      <c r="L78" s="19">
        <f>SUM(Q31:Q77)</f>
        <v>109.06795500000001</v>
      </c>
      <c r="AF78" s="70" t="str">
        <f>CONCATENATE("Итого по разделу: ",IF(Source!G34&lt;&gt;"Новый раздел", Source!G34, ""))</f>
        <v>Итого по разделу: Ремонт помещений в котельной: лаборатория.</v>
      </c>
    </row>
    <row r="82" spans="1:26" ht="12" x14ac:dyDescent="0.25">
      <c r="A82" s="74" t="str">
        <f>CONCATENATE("Раздел: ",IF(Source!G64&lt;&gt;"Новый раздел", Source!G64, ""))</f>
        <v>Раздел: Ремонт санузлов в здании АБК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</row>
    <row r="83" spans="1:26" ht="34.200000000000003" x14ac:dyDescent="0.2">
      <c r="A83" s="54">
        <v>6</v>
      </c>
      <c r="B83" s="54" t="str">
        <f>Source!F68</f>
        <v>11-01-027-05</v>
      </c>
      <c r="C83" s="54" t="str">
        <f>Source!G68</f>
        <v>Устройство покрытий на растворе из сухой смеси с приготовлением раствора в построечных условиях из плиток  керамических для полов</v>
      </c>
      <c r="D83" s="55" t="str">
        <f>Source!H68</f>
        <v>100 м2</v>
      </c>
      <c r="E83" s="17">
        <f>Source!I68</f>
        <v>0.04</v>
      </c>
      <c r="F83" s="56">
        <f>Source!AL68+Source!AM68+Source!AO68</f>
        <v>10547.21</v>
      </c>
      <c r="G83" s="57"/>
      <c r="H83" s="58"/>
      <c r="I83" s="57" t="str">
        <f>Source!BO68</f>
        <v/>
      </c>
      <c r="J83" s="57"/>
      <c r="K83" s="58"/>
      <c r="L83" s="17"/>
      <c r="S83" s="9">
        <f>ROUND((Source!FX68/100)*((ROUND(Source!AF68*Source!I68, 0)+ROUND(Source!AE68*Source!I68, 0))), 0)</f>
        <v>92</v>
      </c>
      <c r="T83" s="9">
        <f>Source!X68</f>
        <v>2903</v>
      </c>
      <c r="U83" s="9">
        <f>ROUND((Source!FY68/100)*((ROUND(Source!AF68*Source!I68, 0)+ROUND(Source!AE68*Source!I68, 0))), 0)</f>
        <v>56</v>
      </c>
      <c r="V83" s="9">
        <f>Source!Y68</f>
        <v>1770</v>
      </c>
    </row>
    <row r="84" spans="1:26" x14ac:dyDescent="0.2">
      <c r="C84" s="59" t="str">
        <f>"Объем: "&amp;Source!I68&amp;"=4/"&amp;"100"</f>
        <v>Объем: 0,04=4/100</v>
      </c>
    </row>
    <row r="85" spans="1:26" x14ac:dyDescent="0.2">
      <c r="A85" s="54"/>
      <c r="B85" s="54"/>
      <c r="C85" s="54" t="s">
        <v>296</v>
      </c>
      <c r="D85" s="55"/>
      <c r="E85" s="17"/>
      <c r="F85" s="56">
        <f>Source!AO68</f>
        <v>1046.8800000000001</v>
      </c>
      <c r="G85" s="57" t="str">
        <f>G70</f>
        <v>)*1,15</v>
      </c>
      <c r="H85" s="58">
        <f>ROUND(Source!AF68*Source!I68, 0)</f>
        <v>72</v>
      </c>
      <c r="I85" s="57"/>
      <c r="J85" s="57">
        <f>IF(Source!BA68&lt;&gt; 0, Source!BA68, 1)</f>
        <v>31.51</v>
      </c>
      <c r="K85" s="58">
        <f>Source!S68</f>
        <v>2276</v>
      </c>
      <c r="L85" s="17"/>
      <c r="R85" s="9">
        <f>H85</f>
        <v>72</v>
      </c>
    </row>
    <row r="86" spans="1:26" x14ac:dyDescent="0.2">
      <c r="A86" s="54"/>
      <c r="B86" s="54"/>
      <c r="C86" s="54" t="s">
        <v>71</v>
      </c>
      <c r="D86" s="55"/>
      <c r="E86" s="17"/>
      <c r="F86" s="56">
        <f>Source!AM68</f>
        <v>142.03</v>
      </c>
      <c r="G86" s="57" t="str">
        <f>Source!DE68</f>
        <v>)*1,25</v>
      </c>
      <c r="H86" s="58">
        <f>ROUND(Source!AD68*Source!I68, 0)</f>
        <v>7</v>
      </c>
      <c r="I86" s="57"/>
      <c r="J86" s="57">
        <f>IF(Source!BB68&lt;&gt; 0, Source!BB68, 1)</f>
        <v>11.55</v>
      </c>
      <c r="K86" s="58">
        <f>Source!Q68</f>
        <v>82</v>
      </c>
      <c r="L86" s="17"/>
    </row>
    <row r="87" spans="1:26" x14ac:dyDescent="0.2">
      <c r="A87" s="54"/>
      <c r="B87" s="54"/>
      <c r="C87" s="54" t="s">
        <v>297</v>
      </c>
      <c r="D87" s="55"/>
      <c r="E87" s="17"/>
      <c r="F87" s="56">
        <f>Source!AN68</f>
        <v>53.61</v>
      </c>
      <c r="G87" s="57" t="str">
        <f>Source!DF68</f>
        <v>)*1,25</v>
      </c>
      <c r="H87" s="60">
        <f>ROUND(Source!AE68*Source!I68, 0)</f>
        <v>3</v>
      </c>
      <c r="I87" s="57"/>
      <c r="J87" s="57">
        <f>IF(Source!BS68&lt;&gt; 0, Source!BS68, 1)</f>
        <v>31.51</v>
      </c>
      <c r="K87" s="60">
        <f>Source!R68</f>
        <v>84</v>
      </c>
      <c r="L87" s="17"/>
      <c r="R87" s="9">
        <f>H87</f>
        <v>3</v>
      </c>
    </row>
    <row r="88" spans="1:26" x14ac:dyDescent="0.2">
      <c r="A88" s="54"/>
      <c r="B88" s="54"/>
      <c r="C88" s="54" t="s">
        <v>298</v>
      </c>
      <c r="D88" s="55" t="s">
        <v>299</v>
      </c>
      <c r="E88" s="17">
        <f>Source!BZ68</f>
        <v>123</v>
      </c>
      <c r="F88" s="61"/>
      <c r="G88" s="57"/>
      <c r="H88" s="58">
        <f>SUM(S83:S90)</f>
        <v>92</v>
      </c>
      <c r="I88" s="57"/>
      <c r="J88" s="62">
        <f>Source!AT68</f>
        <v>123</v>
      </c>
      <c r="K88" s="58">
        <f>SUM(T83:T90)</f>
        <v>2903</v>
      </c>
      <c r="L88" s="17"/>
    </row>
    <row r="89" spans="1:26" x14ac:dyDescent="0.2">
      <c r="A89" s="54"/>
      <c r="B89" s="54"/>
      <c r="C89" s="54" t="s">
        <v>300</v>
      </c>
      <c r="D89" s="55" t="s">
        <v>299</v>
      </c>
      <c r="E89" s="17">
        <f>Source!CA68</f>
        <v>75</v>
      </c>
      <c r="F89" s="61"/>
      <c r="G89" s="57"/>
      <c r="H89" s="58">
        <f>SUM(U83:U90)</f>
        <v>56</v>
      </c>
      <c r="I89" s="57"/>
      <c r="J89" s="62">
        <f>Source!AU68</f>
        <v>75</v>
      </c>
      <c r="K89" s="58">
        <f>SUM(V83:V90)</f>
        <v>1770</v>
      </c>
      <c r="L89" s="17"/>
    </row>
    <row r="90" spans="1:26" x14ac:dyDescent="0.2">
      <c r="A90" s="63"/>
      <c r="B90" s="63"/>
      <c r="C90" s="63" t="s">
        <v>301</v>
      </c>
      <c r="D90" s="64" t="s">
        <v>302</v>
      </c>
      <c r="E90" s="65">
        <f>Source!AQ68</f>
        <v>119.78</v>
      </c>
      <c r="F90" s="18"/>
      <c r="G90" s="66" t="str">
        <f>G85</f>
        <v>)*1,15</v>
      </c>
      <c r="H90" s="67"/>
      <c r="I90" s="66"/>
      <c r="J90" s="66"/>
      <c r="K90" s="67"/>
      <c r="L90" s="18">
        <f>Source!U68</f>
        <v>8.2648200000000003</v>
      </c>
    </row>
    <row r="91" spans="1:26" ht="12" x14ac:dyDescent="0.25">
      <c r="G91" s="77">
        <f>H85+H86+H88+H89</f>
        <v>227</v>
      </c>
      <c r="H91" s="77"/>
      <c r="J91" s="77">
        <f>K85+K86+K88+K89</f>
        <v>7031</v>
      </c>
      <c r="K91" s="77"/>
      <c r="L91" s="19">
        <f>Source!U68</f>
        <v>8.2648200000000003</v>
      </c>
      <c r="O91" s="68">
        <f>G91</f>
        <v>227</v>
      </c>
      <c r="P91" s="68">
        <f>J91</f>
        <v>7031</v>
      </c>
      <c r="Q91" s="14">
        <f>L91</f>
        <v>8.2648200000000003</v>
      </c>
      <c r="W91" s="9">
        <f>IF(Source!BI68&lt;=1,H85+H86+H88+H89, 0)</f>
        <v>227</v>
      </c>
      <c r="X91" s="9">
        <f>IF(Source!BI68=2,H85+H86+H88+H89, 0)</f>
        <v>0</v>
      </c>
      <c r="Y91" s="9">
        <f>IF(Source!BI68=3,H85+H86+H88+H89, 0)</f>
        <v>0</v>
      </c>
      <c r="Z91" s="9">
        <f>IF(Source!BI68=4,H85+H86+H88+H89, 0)</f>
        <v>0</v>
      </c>
    </row>
    <row r="92" spans="1:26" ht="22.8" x14ac:dyDescent="0.2">
      <c r="A92" s="54">
        <v>7</v>
      </c>
      <c r="B92" s="54" t="str">
        <f>Source!F69</f>
        <v>15-01-019-05</v>
      </c>
      <c r="C92" s="54" t="str">
        <f>Source!G69</f>
        <v>Гладкая облицовка стен из плиток керамических на клее из сухих смесей: по кирпичу и бетону</v>
      </c>
      <c r="D92" s="55" t="str">
        <f>Source!H69</f>
        <v>100 м2</v>
      </c>
      <c r="E92" s="17">
        <f>Source!I69</f>
        <v>0.1</v>
      </c>
      <c r="F92" s="56">
        <f>Source!AL69+Source!AM69+Source!AO69</f>
        <v>1090.9599999999998</v>
      </c>
      <c r="G92" s="57"/>
      <c r="H92" s="58"/>
      <c r="I92" s="57" t="str">
        <f>Source!BO69</f>
        <v/>
      </c>
      <c r="J92" s="57"/>
      <c r="K92" s="58"/>
      <c r="L92" s="17"/>
      <c r="S92" s="9">
        <f>ROUND((Source!FX69/100)*((ROUND(Source!AF69*Source!I69, 0)+ROUND(Source!AE69*Source!I69, 0))), 0)</f>
        <v>194</v>
      </c>
      <c r="T92" s="9">
        <f>Source!X69</f>
        <v>6111</v>
      </c>
      <c r="U92" s="9">
        <f>ROUND((Source!FY69/100)*((ROUND(Source!AF69*Source!I69, 0)+ROUND(Source!AE69*Source!I69, 0))), 0)</f>
        <v>102</v>
      </c>
      <c r="V92" s="9">
        <f>Source!Y69</f>
        <v>3201</v>
      </c>
    </row>
    <row r="93" spans="1:26" x14ac:dyDescent="0.2">
      <c r="C93" s="59" t="str">
        <f>"Объем: "&amp;Source!I69&amp;"=10/"&amp;"100"</f>
        <v>Объем: 0,1=10/100</v>
      </c>
    </row>
    <row r="94" spans="1:26" x14ac:dyDescent="0.2">
      <c r="A94" s="54"/>
      <c r="B94" s="54"/>
      <c r="C94" s="54" t="s">
        <v>296</v>
      </c>
      <c r="D94" s="55"/>
      <c r="E94" s="17"/>
      <c r="F94" s="56">
        <f>Source!AO69</f>
        <v>1058.0899999999999</v>
      </c>
      <c r="G94" s="57" t="str">
        <f>G85</f>
        <v>)*1,15</v>
      </c>
      <c r="H94" s="58">
        <f>ROUND(Source!AF69*Source!I69, 0)</f>
        <v>183</v>
      </c>
      <c r="I94" s="57"/>
      <c r="J94" s="57">
        <f>IF(Source!BA69&lt;&gt; 0, Source!BA69, 1)</f>
        <v>31.51</v>
      </c>
      <c r="K94" s="58">
        <f>Source!S69</f>
        <v>5751</v>
      </c>
      <c r="L94" s="17"/>
      <c r="R94" s="9">
        <f>H94</f>
        <v>183</v>
      </c>
    </row>
    <row r="95" spans="1:26" x14ac:dyDescent="0.2">
      <c r="A95" s="54"/>
      <c r="B95" s="54"/>
      <c r="C95" s="54" t="s">
        <v>71</v>
      </c>
      <c r="D95" s="55"/>
      <c r="E95" s="17"/>
      <c r="F95" s="56">
        <f>Source!AM69</f>
        <v>31.75</v>
      </c>
      <c r="G95" s="57" t="str">
        <f>Source!DE69</f>
        <v>)*1,25</v>
      </c>
      <c r="H95" s="58">
        <f>ROUND(Source!AD69*Source!I69, 0)</f>
        <v>4</v>
      </c>
      <c r="I95" s="57"/>
      <c r="J95" s="57">
        <f>IF(Source!BB69&lt;&gt; 0, Source!BB69, 1)</f>
        <v>11.55</v>
      </c>
      <c r="K95" s="58">
        <f>Source!Q69</f>
        <v>46</v>
      </c>
      <c r="L95" s="17"/>
    </row>
    <row r="96" spans="1:26" x14ac:dyDescent="0.2">
      <c r="A96" s="54"/>
      <c r="B96" s="54"/>
      <c r="C96" s="54" t="s">
        <v>297</v>
      </c>
      <c r="D96" s="55"/>
      <c r="E96" s="17"/>
      <c r="F96" s="56">
        <f>Source!AN69</f>
        <v>17.53</v>
      </c>
      <c r="G96" s="57" t="str">
        <f>Source!DF69</f>
        <v>)*1,25</v>
      </c>
      <c r="H96" s="60">
        <f>ROUND(Source!AE69*Source!I69, 0)</f>
        <v>2</v>
      </c>
      <c r="I96" s="57"/>
      <c r="J96" s="57">
        <f>IF(Source!BS69&lt;&gt; 0, Source!BS69, 1)</f>
        <v>31.51</v>
      </c>
      <c r="K96" s="60">
        <f>Source!R69</f>
        <v>69</v>
      </c>
      <c r="L96" s="17"/>
      <c r="R96" s="9">
        <f>H96</f>
        <v>2</v>
      </c>
    </row>
    <row r="97" spans="1:32" x14ac:dyDescent="0.2">
      <c r="A97" s="54"/>
      <c r="B97" s="54"/>
      <c r="C97" s="54" t="s">
        <v>298</v>
      </c>
      <c r="D97" s="55" t="s">
        <v>299</v>
      </c>
      <c r="E97" s="17">
        <f>Source!BZ69</f>
        <v>105</v>
      </c>
      <c r="F97" s="61"/>
      <c r="G97" s="57"/>
      <c r="H97" s="58">
        <f>SUM(S92:S99)</f>
        <v>194</v>
      </c>
      <c r="I97" s="57"/>
      <c r="J97" s="62">
        <f>Source!AT69</f>
        <v>105</v>
      </c>
      <c r="K97" s="58">
        <f>SUM(T92:T99)</f>
        <v>6111</v>
      </c>
      <c r="L97" s="17"/>
    </row>
    <row r="98" spans="1:32" x14ac:dyDescent="0.2">
      <c r="A98" s="54"/>
      <c r="B98" s="54"/>
      <c r="C98" s="54" t="s">
        <v>300</v>
      </c>
      <c r="D98" s="55" t="s">
        <v>299</v>
      </c>
      <c r="E98" s="17">
        <f>Source!CA69</f>
        <v>55</v>
      </c>
      <c r="F98" s="61"/>
      <c r="G98" s="57"/>
      <c r="H98" s="58">
        <f>SUM(U92:U99)</f>
        <v>102</v>
      </c>
      <c r="I98" s="57"/>
      <c r="J98" s="62">
        <f>Source!AU69</f>
        <v>55</v>
      </c>
      <c r="K98" s="58">
        <f>SUM(V92:V99)</f>
        <v>3201</v>
      </c>
      <c r="L98" s="17"/>
    </row>
    <row r="99" spans="1:32" x14ac:dyDescent="0.2">
      <c r="A99" s="63"/>
      <c r="B99" s="63"/>
      <c r="C99" s="63" t="s">
        <v>301</v>
      </c>
      <c r="D99" s="64" t="s">
        <v>302</v>
      </c>
      <c r="E99" s="65">
        <f>Source!AQ69</f>
        <v>115.26</v>
      </c>
      <c r="F99" s="18"/>
      <c r="G99" s="66" t="str">
        <f>G90</f>
        <v>)*1,15</v>
      </c>
      <c r="H99" s="67"/>
      <c r="I99" s="66"/>
      <c r="J99" s="66"/>
      <c r="K99" s="67"/>
      <c r="L99" s="18">
        <f>Source!U69</f>
        <v>19.882350000000002</v>
      </c>
    </row>
    <row r="100" spans="1:32" ht="12" x14ac:dyDescent="0.25">
      <c r="G100" s="77">
        <f>H94+H95+H97+H98</f>
        <v>483</v>
      </c>
      <c r="H100" s="77"/>
      <c r="J100" s="77">
        <f>K94+K95+K97+K98</f>
        <v>15109</v>
      </c>
      <c r="K100" s="77"/>
      <c r="L100" s="19">
        <f>Source!U69</f>
        <v>19.882350000000002</v>
      </c>
      <c r="O100" s="68">
        <f>G100</f>
        <v>483</v>
      </c>
      <c r="P100" s="68">
        <f>J100</f>
        <v>15109</v>
      </c>
      <c r="Q100" s="14">
        <f>L100</f>
        <v>19.882350000000002</v>
      </c>
      <c r="W100" s="9">
        <f>IF(Source!BI69&lt;=1,H94+H95+H97+H98, 0)</f>
        <v>483</v>
      </c>
      <c r="X100" s="9">
        <f>IF(Source!BI69=2,H94+H95+H97+H98, 0)</f>
        <v>0</v>
      </c>
      <c r="Y100" s="9">
        <f>IF(Source!BI69=3,H94+H95+H97+H98, 0)</f>
        <v>0</v>
      </c>
      <c r="Z100" s="9">
        <f>IF(Source!BI69=4,H94+H95+H97+H98, 0)</f>
        <v>0</v>
      </c>
    </row>
    <row r="102" spans="1:32" ht="12" x14ac:dyDescent="0.25">
      <c r="A102" s="76" t="str">
        <f>CONCATENATE("Итого по разделу: ",IF(Source!G71&lt;&gt;"Новый раздел", Source!G71, ""))</f>
        <v>Итого по разделу: Ремонт санузлов в здании АБК</v>
      </c>
      <c r="B102" s="76"/>
      <c r="C102" s="76"/>
      <c r="D102" s="76"/>
      <c r="E102" s="76"/>
      <c r="F102" s="76"/>
      <c r="G102" s="75">
        <f>SUM(O82:O101)</f>
        <v>710</v>
      </c>
      <c r="H102" s="75"/>
      <c r="I102" s="69"/>
      <c r="J102" s="75">
        <f>SUM(P82:P101)</f>
        <v>22140</v>
      </c>
      <c r="K102" s="75"/>
      <c r="L102" s="19">
        <f>SUM(Q82:Q101)</f>
        <v>28.147170000000003</v>
      </c>
      <c r="AF102" s="70" t="str">
        <f>CONCATENATE("Итого по разделу: ",IF(Source!G71&lt;&gt;"Новый раздел", Source!G71, ""))</f>
        <v>Итого по разделу: Ремонт санузлов в здании АБК</v>
      </c>
    </row>
    <row r="105" spans="1:32" ht="12" x14ac:dyDescent="0.25">
      <c r="A105" s="76" t="str">
        <f>CONCATENATE("Итого по смете: ",IF(Source!G131&lt;&gt;"Новый объект", Source!G131, ""))</f>
        <v>Итого по смете: Ремонт санузлов АБК</v>
      </c>
      <c r="B105" s="76"/>
      <c r="C105" s="76"/>
      <c r="D105" s="76"/>
      <c r="E105" s="76"/>
      <c r="F105" s="76"/>
      <c r="G105" s="75">
        <f>SUM(O1:O104)</f>
        <v>3452</v>
      </c>
      <c r="H105" s="75"/>
      <c r="I105" s="69"/>
      <c r="J105" s="75">
        <f>SUM(P1:P104)</f>
        <v>107325</v>
      </c>
      <c r="K105" s="75"/>
      <c r="L105" s="19">
        <f>SUM(Q1:Q104)</f>
        <v>137.215125</v>
      </c>
    </row>
    <row r="109" spans="1:32" hidden="1" x14ac:dyDescent="0.2">
      <c r="A109" s="71" t="s">
        <v>303</v>
      </c>
      <c r="B109" s="71"/>
      <c r="C109" s="17" t="s">
        <v>304</v>
      </c>
      <c r="D109" s="72"/>
      <c r="E109" s="72"/>
      <c r="F109" s="72"/>
      <c r="G109" s="72"/>
      <c r="H109" s="72"/>
      <c r="J109" s="17"/>
    </row>
    <row r="110" spans="1:32" hidden="1" x14ac:dyDescent="0.2">
      <c r="C110" s="17"/>
      <c r="D110" s="78" t="s">
        <v>305</v>
      </c>
      <c r="E110" s="78"/>
      <c r="F110" s="78"/>
      <c r="G110" s="78"/>
      <c r="H110" s="78"/>
      <c r="J110" s="17"/>
    </row>
    <row r="111" spans="1:32" hidden="1" x14ac:dyDescent="0.2">
      <c r="C111" s="17"/>
      <c r="J111" s="17"/>
    </row>
    <row r="112" spans="1:32" x14ac:dyDescent="0.2">
      <c r="A112" s="71" t="s">
        <v>303</v>
      </c>
      <c r="B112" s="71"/>
      <c r="C112" s="17" t="s">
        <v>306</v>
      </c>
      <c r="D112" s="72" t="str">
        <f>IF(Source!AC12&lt;&gt;"", Source!AC12," ")</f>
        <v xml:space="preserve"> </v>
      </c>
      <c r="E112" s="72"/>
      <c r="F112" s="72"/>
      <c r="G112" s="72"/>
      <c r="H112" s="72"/>
      <c r="I112" s="9" t="str">
        <f>IF(Source!AB12&lt;&gt;"", Source!AB12," ")</f>
        <v xml:space="preserve"> </v>
      </c>
      <c r="J112" s="17"/>
    </row>
    <row r="113" spans="3:10" x14ac:dyDescent="0.2">
      <c r="D113" s="78" t="s">
        <v>305</v>
      </c>
      <c r="E113" s="78"/>
      <c r="F113" s="78"/>
      <c r="G113" s="78"/>
      <c r="H113" s="78"/>
    </row>
    <row r="115" spans="3:10" x14ac:dyDescent="0.2">
      <c r="C115" s="17" t="s">
        <v>307</v>
      </c>
      <c r="D115" s="72" t="str">
        <f>IF(Source!AE12&lt;&gt;"", Source!AE12," ")</f>
        <v xml:space="preserve"> </v>
      </c>
      <c r="E115" s="72"/>
      <c r="F115" s="72"/>
      <c r="G115" s="72"/>
      <c r="H115" s="72"/>
      <c r="I115" s="9" t="str">
        <f>IF(Source!AD12&lt;&gt;"", Source!AD12," ")</f>
        <v xml:space="preserve"> </v>
      </c>
      <c r="J115" s="17"/>
    </row>
    <row r="116" spans="3:10" x14ac:dyDescent="0.2">
      <c r="D116" s="78" t="s">
        <v>305</v>
      </c>
      <c r="E116" s="78"/>
      <c r="F116" s="78"/>
      <c r="G116" s="78"/>
      <c r="H116" s="78"/>
    </row>
  </sheetData>
  <mergeCells count="55">
    <mergeCell ref="C18:F18"/>
    <mergeCell ref="G18:H18"/>
    <mergeCell ref="I18:J18"/>
    <mergeCell ref="K18:L18"/>
    <mergeCell ref="B2:K2"/>
    <mergeCell ref="B3:K3"/>
    <mergeCell ref="F5:G5"/>
    <mergeCell ref="H5:K5"/>
    <mergeCell ref="B7:K7"/>
    <mergeCell ref="B9:K9"/>
    <mergeCell ref="B11:K11"/>
    <mergeCell ref="B12:K12"/>
    <mergeCell ref="A14:L14"/>
    <mergeCell ref="G17:H17"/>
    <mergeCell ref="I17:J17"/>
    <mergeCell ref="C19:F19"/>
    <mergeCell ref="G19:H19"/>
    <mergeCell ref="I19:J19"/>
    <mergeCell ref="K19:L19"/>
    <mergeCell ref="C20:F20"/>
    <mergeCell ref="G20:H20"/>
    <mergeCell ref="I20:J20"/>
    <mergeCell ref="K20:L20"/>
    <mergeCell ref="C21:F21"/>
    <mergeCell ref="G21:H21"/>
    <mergeCell ref="I21:J21"/>
    <mergeCell ref="A26:L26"/>
    <mergeCell ref="D110:H110"/>
    <mergeCell ref="J91:K91"/>
    <mergeCell ref="G91:H91"/>
    <mergeCell ref="A82:L82"/>
    <mergeCell ref="G78:H78"/>
    <mergeCell ref="D116:H116"/>
    <mergeCell ref="G102:H102"/>
    <mergeCell ref="J102:K102"/>
    <mergeCell ref="A102:F102"/>
    <mergeCell ref="J100:K100"/>
    <mergeCell ref="G100:H100"/>
    <mergeCell ref="D113:H113"/>
    <mergeCell ref="A31:L31"/>
    <mergeCell ref="G105:H105"/>
    <mergeCell ref="J105:K105"/>
    <mergeCell ref="A105:F105"/>
    <mergeCell ref="J58:K58"/>
    <mergeCell ref="G58:H58"/>
    <mergeCell ref="J49:K49"/>
    <mergeCell ref="G49:H49"/>
    <mergeCell ref="J40:K40"/>
    <mergeCell ref="G40:H40"/>
    <mergeCell ref="J78:K78"/>
    <mergeCell ref="A78:F78"/>
    <mergeCell ref="J76:K76"/>
    <mergeCell ref="G76:H76"/>
    <mergeCell ref="J67:K67"/>
    <mergeCell ref="G67:H67"/>
  </mergeCells>
  <pageMargins left="0.4" right="0.2" top="0.2" bottom="0.4" header="0.2" footer="0.2"/>
  <pageSetup paperSize="9" scale="59" fitToHeight="0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workbookViewId="0"/>
  </sheetViews>
  <sheetFormatPr defaultRowHeight="13.2" x14ac:dyDescent="0.25"/>
  <cols>
    <col min="1" max="1" width="6.6640625" customWidth="1"/>
    <col min="2" max="2" width="75.6640625" customWidth="1"/>
    <col min="3" max="5" width="15.6640625" customWidth="1"/>
    <col min="30" max="32" width="0" hidden="1" customWidth="1"/>
  </cols>
  <sheetData>
    <row r="1" spans="1:5" x14ac:dyDescent="0.25">
      <c r="A1" s="9" t="str">
        <f>Source!B1</f>
        <v>Smeta.RU  (495) 974-1589</v>
      </c>
    </row>
    <row r="2" spans="1:5" ht="13.8" x14ac:dyDescent="0.25">
      <c r="C2" s="10"/>
      <c r="D2" s="10"/>
    </row>
    <row r="3" spans="1:5" ht="13.8" x14ac:dyDescent="0.25">
      <c r="C3" s="10"/>
      <c r="D3" s="11" t="s">
        <v>308</v>
      </c>
    </row>
    <row r="4" spans="1:5" ht="13.8" x14ac:dyDescent="0.25">
      <c r="C4" s="11"/>
      <c r="D4" s="11"/>
    </row>
    <row r="5" spans="1:5" ht="13.8" x14ac:dyDescent="0.25">
      <c r="C5" s="92" t="s">
        <v>309</v>
      </c>
      <c r="D5" s="92"/>
    </row>
    <row r="6" spans="1:5" ht="13.8" x14ac:dyDescent="0.25">
      <c r="C6" s="20"/>
      <c r="D6" s="20"/>
    </row>
    <row r="7" spans="1:5" ht="13.8" x14ac:dyDescent="0.25">
      <c r="C7" s="92" t="s">
        <v>309</v>
      </c>
      <c r="D7" s="92"/>
    </row>
    <row r="8" spans="1:5" ht="13.8" x14ac:dyDescent="0.25">
      <c r="C8" s="20"/>
      <c r="D8" s="20"/>
    </row>
    <row r="9" spans="1:5" ht="13.8" x14ac:dyDescent="0.25">
      <c r="C9" s="11" t="s">
        <v>310</v>
      </c>
      <c r="D9" s="10"/>
    </row>
    <row r="10" spans="1:5" ht="13.8" x14ac:dyDescent="0.25">
      <c r="A10" s="10"/>
      <c r="B10" s="10"/>
      <c r="C10" s="10"/>
      <c r="D10" s="10"/>
      <c r="E10" s="10"/>
    </row>
    <row r="11" spans="1:5" ht="15.6" x14ac:dyDescent="0.3">
      <c r="A11" s="93" t="str">
        <f>CONCATENATE("Дефектный акт ", IF(Source!AN15&lt;&gt;"", Source!AN15," "))</f>
        <v xml:space="preserve">Дефектный акт  </v>
      </c>
      <c r="B11" s="93"/>
      <c r="C11" s="93"/>
      <c r="D11" s="93"/>
      <c r="E11" s="10"/>
    </row>
    <row r="12" spans="1:5" ht="13.8" x14ac:dyDescent="0.25">
      <c r="A12" s="94" t="str">
        <f>CONCATENATE("На капитальный ремонт ", Source!G12)</f>
        <v>На капитальный ремонт Ремонт санузлов АБК</v>
      </c>
      <c r="B12" s="94"/>
      <c r="C12" s="94"/>
      <c r="D12" s="94"/>
      <c r="E12" s="10"/>
    </row>
    <row r="13" spans="1:5" ht="13.8" x14ac:dyDescent="0.25">
      <c r="A13" s="10"/>
      <c r="B13" s="10"/>
      <c r="C13" s="10"/>
      <c r="D13" s="10"/>
      <c r="E13" s="10"/>
    </row>
    <row r="14" spans="1:5" ht="13.8" x14ac:dyDescent="0.25">
      <c r="A14" s="10"/>
      <c r="B14" s="21" t="s">
        <v>311</v>
      </c>
      <c r="C14" s="10"/>
      <c r="D14" s="10"/>
      <c r="E14" s="10"/>
    </row>
    <row r="15" spans="1:5" ht="13.8" x14ac:dyDescent="0.25">
      <c r="A15" s="10"/>
      <c r="B15" s="21" t="s">
        <v>312</v>
      </c>
      <c r="C15" s="10"/>
      <c r="D15" s="10"/>
      <c r="E15" s="10"/>
    </row>
    <row r="16" spans="1:5" ht="13.8" x14ac:dyDescent="0.25">
      <c r="A16" s="10"/>
      <c r="B16" s="21" t="s">
        <v>313</v>
      </c>
      <c r="C16" s="10"/>
      <c r="D16" s="10"/>
      <c r="E16" s="10"/>
    </row>
    <row r="17" spans="1:5" ht="27.6" x14ac:dyDescent="0.25">
      <c r="A17" s="13" t="s">
        <v>284</v>
      </c>
      <c r="B17" s="13" t="s">
        <v>286</v>
      </c>
      <c r="C17" s="13" t="s">
        <v>314</v>
      </c>
      <c r="D17" s="13" t="s">
        <v>315</v>
      </c>
      <c r="E17" s="22" t="s">
        <v>316</v>
      </c>
    </row>
    <row r="18" spans="1:5" ht="13.8" x14ac:dyDescent="0.25">
      <c r="A18" s="23">
        <v>1</v>
      </c>
      <c r="B18" s="23">
        <v>2</v>
      </c>
      <c r="C18" s="23">
        <v>3</v>
      </c>
      <c r="D18" s="23">
        <v>4</v>
      </c>
      <c r="E18" s="24">
        <v>5</v>
      </c>
    </row>
    <row r="19" spans="1:5" ht="16.8" x14ac:dyDescent="0.3">
      <c r="A19" s="91" t="str">
        <f>CONCATENATE("Локальная смета: ", Source!G20)</f>
        <v>Локальная смета: Новая локальная смета</v>
      </c>
      <c r="B19" s="91"/>
      <c r="C19" s="91"/>
      <c r="D19" s="91"/>
      <c r="E19" s="91"/>
    </row>
    <row r="20" spans="1:5" ht="16.8" x14ac:dyDescent="0.3">
      <c r="A20" s="91" t="str">
        <f>CONCATENATE("Раздел: ", Source!G24)</f>
        <v>Раздел: Ремонт помещений в котельной: лаборатория.</v>
      </c>
      <c r="B20" s="91"/>
      <c r="C20" s="91"/>
      <c r="D20" s="91"/>
      <c r="E20" s="91"/>
    </row>
    <row r="21" spans="1:5" ht="27.6" x14ac:dyDescent="0.25">
      <c r="A21" s="29">
        <v>1</v>
      </c>
      <c r="B21" s="30" t="str">
        <f>Source!G28</f>
        <v>Устройство покрытий на растворе из сухой смеси с приготовлением раствора в построечных условиях из плиток  керамических для полов</v>
      </c>
      <c r="C21" s="31" t="str">
        <f>Source!H28</f>
        <v>100 м2</v>
      </c>
      <c r="D21" s="32">
        <f>Source!I28</f>
        <v>0.11</v>
      </c>
      <c r="E21" s="30"/>
    </row>
    <row r="22" spans="1:5" ht="27.6" x14ac:dyDescent="0.25">
      <c r="A22" s="29">
        <v>2</v>
      </c>
      <c r="B22" s="30" t="str">
        <f>Source!G29</f>
        <v>Гладкая облицовка стен из плиток керамических на клее из сухих смесей: по кирпичу и бетону</v>
      </c>
      <c r="C22" s="31" t="str">
        <f>Source!H29</f>
        <v>100 м2</v>
      </c>
      <c r="D22" s="32">
        <f>Source!I29</f>
        <v>0.2</v>
      </c>
      <c r="E22" s="30"/>
    </row>
    <row r="23" spans="1:5" ht="13.8" x14ac:dyDescent="0.25">
      <c r="A23" s="29">
        <v>3</v>
      </c>
      <c r="B23" s="30" t="str">
        <f>Source!G30</f>
        <v>Устройство потолков и стен из профнастила</v>
      </c>
      <c r="C23" s="31" t="str">
        <f>Source!H30</f>
        <v>100 м2</v>
      </c>
      <c r="D23" s="32">
        <f>Source!I30</f>
        <v>0.17</v>
      </c>
      <c r="E23" s="30"/>
    </row>
    <row r="24" spans="1:5" ht="13.8" x14ac:dyDescent="0.25">
      <c r="A24" s="29">
        <v>4</v>
      </c>
      <c r="B24" s="30" t="str">
        <f>Source!G31</f>
        <v>Сплошное выравниваание стен</v>
      </c>
      <c r="C24" s="31" t="str">
        <f>Source!H31</f>
        <v>100 м2</v>
      </c>
      <c r="D24" s="32">
        <f>Source!I31</f>
        <v>0.09</v>
      </c>
      <c r="E24" s="30"/>
    </row>
    <row r="25" spans="1:5" ht="27.6" x14ac:dyDescent="0.25">
      <c r="A25" s="29">
        <v>5</v>
      </c>
      <c r="B25" s="30" t="str">
        <f>Source!G32</f>
        <v>Окраска поливинилацетатными водоэмульсионными составами улучшенная: по штукатурке стен</v>
      </c>
      <c r="C25" s="31" t="str">
        <f>Source!H32</f>
        <v>100 м2</v>
      </c>
      <c r="D25" s="32">
        <f>Source!I32</f>
        <v>0.09</v>
      </c>
      <c r="E25" s="30"/>
    </row>
    <row r="26" spans="1:5" ht="16.8" x14ac:dyDescent="0.3">
      <c r="A26" s="91" t="str">
        <f>CONCATENATE("Раздел: ", Source!G64)</f>
        <v>Раздел: Ремонт санузлов в здании АБК</v>
      </c>
      <c r="B26" s="91"/>
      <c r="C26" s="91"/>
      <c r="D26" s="91"/>
      <c r="E26" s="91"/>
    </row>
    <row r="27" spans="1:5" ht="27.6" x14ac:dyDescent="0.25">
      <c r="A27" s="29">
        <v>6</v>
      </c>
      <c r="B27" s="30" t="str">
        <f>Source!G68</f>
        <v>Устройство покрытий на растворе из сухой смеси с приготовлением раствора в построечных условиях из плиток  керамических для полов</v>
      </c>
      <c r="C27" s="31" t="str">
        <f>Source!H68</f>
        <v>100 м2</v>
      </c>
      <c r="D27" s="32">
        <f>Source!I68</f>
        <v>0.04</v>
      </c>
      <c r="E27" s="30"/>
    </row>
    <row r="28" spans="1:5" ht="27.6" x14ac:dyDescent="0.25">
      <c r="A28" s="25">
        <v>7</v>
      </c>
      <c r="B28" s="26" t="str">
        <f>Source!G69</f>
        <v>Гладкая облицовка стен из плиток керамических на клее из сухих смесей: по кирпичу и бетону</v>
      </c>
      <c r="C28" s="27" t="str">
        <f>Source!H69</f>
        <v>100 м2</v>
      </c>
      <c r="D28" s="28">
        <f>Source!I69</f>
        <v>0.1</v>
      </c>
      <c r="E28" s="26"/>
    </row>
    <row r="31" spans="1:5" ht="13.8" x14ac:dyDescent="0.25">
      <c r="A31" s="16" t="s">
        <v>317</v>
      </c>
      <c r="B31" s="16"/>
      <c r="C31" s="16" t="s">
        <v>318</v>
      </c>
      <c r="D31" s="16"/>
      <c r="E31" s="16"/>
    </row>
  </sheetData>
  <mergeCells count="7">
    <mergeCell ref="A26:E26"/>
    <mergeCell ref="C5:D5"/>
    <mergeCell ref="C7:D7"/>
    <mergeCell ref="A11:D11"/>
    <mergeCell ref="A12:D12"/>
    <mergeCell ref="A19:E19"/>
    <mergeCell ref="A20:E20"/>
  </mergeCells>
  <pageMargins left="0.4" right="0.2" top="0.2" bottom="0.4" header="0.2" footer="0.2"/>
  <pageSetup paperSize="9" scale="76" fitToHeight="0" orientation="portrait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Normal="100" workbookViewId="0">
      <selection sqref="A1:D1"/>
    </sheetView>
  </sheetViews>
  <sheetFormatPr defaultRowHeight="13.2" x14ac:dyDescent="0.25"/>
  <cols>
    <col min="1" max="1" width="5.6640625" customWidth="1"/>
    <col min="2" max="2" width="22.6640625" customWidth="1"/>
    <col min="10" max="11" width="11.109375" customWidth="1"/>
  </cols>
  <sheetData>
    <row r="1" spans="1:12" ht="13.8" x14ac:dyDescent="0.25">
      <c r="A1" s="84" t="str">
        <f>Source!B1</f>
        <v>Smeta.RU  (495) 974-1589</v>
      </c>
      <c r="B1" s="84"/>
      <c r="C1" s="84"/>
      <c r="D1" s="84"/>
      <c r="E1" s="10"/>
      <c r="F1" s="10"/>
      <c r="G1" s="10"/>
      <c r="H1" s="79" t="s">
        <v>319</v>
      </c>
      <c r="I1" s="79"/>
      <c r="J1" s="79"/>
      <c r="K1" s="79"/>
      <c r="L1" s="79"/>
    </row>
    <row r="2" spans="1:12" ht="13.8" x14ac:dyDescent="0.25">
      <c r="A2" s="10"/>
      <c r="B2" s="10"/>
      <c r="C2" s="10"/>
      <c r="D2" s="10"/>
      <c r="E2" s="10"/>
      <c r="F2" s="10"/>
      <c r="G2" s="10"/>
      <c r="H2" s="79" t="s">
        <v>320</v>
      </c>
      <c r="I2" s="79"/>
      <c r="J2" s="79"/>
      <c r="K2" s="79"/>
      <c r="L2" s="79"/>
    </row>
    <row r="3" spans="1:12" ht="13.8" x14ac:dyDescent="0.25">
      <c r="A3" s="10"/>
      <c r="B3" s="10"/>
      <c r="C3" s="10"/>
      <c r="D3" s="10"/>
      <c r="E3" s="10"/>
      <c r="F3" s="10"/>
      <c r="G3" s="10"/>
      <c r="H3" s="79" t="s">
        <v>321</v>
      </c>
      <c r="I3" s="79"/>
      <c r="J3" s="79"/>
      <c r="K3" s="79"/>
      <c r="L3" s="79"/>
    </row>
    <row r="4" spans="1:12" ht="13.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10" t="s">
        <v>322</v>
      </c>
      <c r="L4" s="112"/>
    </row>
    <row r="5" spans="1:12" ht="13.8" x14ac:dyDescent="0.25">
      <c r="A5" s="10"/>
      <c r="B5" s="10"/>
      <c r="C5" s="10"/>
      <c r="D5" s="10"/>
      <c r="E5" s="10"/>
      <c r="F5" s="10"/>
      <c r="G5" s="10"/>
      <c r="H5" s="10"/>
      <c r="I5" s="145" t="s">
        <v>323</v>
      </c>
      <c r="J5" s="145"/>
      <c r="K5" s="110">
        <v>322001</v>
      </c>
      <c r="L5" s="112"/>
    </row>
    <row r="6" spans="1:12" ht="13.8" x14ac:dyDescent="0.25">
      <c r="A6" s="145" t="s">
        <v>324</v>
      </c>
      <c r="B6" s="145"/>
      <c r="C6" s="148"/>
      <c r="D6" s="148"/>
      <c r="E6" s="148"/>
      <c r="F6" s="148"/>
      <c r="G6" s="148"/>
      <c r="H6" s="148"/>
      <c r="I6" s="148"/>
      <c r="J6" s="12" t="s">
        <v>325</v>
      </c>
      <c r="K6" s="110"/>
      <c r="L6" s="112"/>
    </row>
    <row r="7" spans="1:12" ht="13.8" x14ac:dyDescent="0.25">
      <c r="A7" s="10"/>
      <c r="B7" s="10"/>
      <c r="C7" s="144" t="s">
        <v>326</v>
      </c>
      <c r="D7" s="144"/>
      <c r="E7" s="144"/>
      <c r="F7" s="144"/>
      <c r="G7" s="144"/>
      <c r="H7" s="144"/>
      <c r="I7" s="144"/>
      <c r="J7" s="10"/>
      <c r="K7" s="33"/>
      <c r="L7" s="34"/>
    </row>
    <row r="8" spans="1:12" ht="13.8" x14ac:dyDescent="0.25">
      <c r="A8" s="145" t="s">
        <v>327</v>
      </c>
      <c r="B8" s="145"/>
      <c r="C8" s="148"/>
      <c r="D8" s="148"/>
      <c r="E8" s="148"/>
      <c r="F8" s="148"/>
      <c r="G8" s="148"/>
      <c r="H8" s="148"/>
      <c r="I8" s="15"/>
      <c r="J8" s="12" t="s">
        <v>325</v>
      </c>
      <c r="K8" s="149"/>
      <c r="L8" s="150"/>
    </row>
    <row r="9" spans="1:12" ht="13.8" x14ac:dyDescent="0.25">
      <c r="A9" s="10"/>
      <c r="B9" s="10"/>
      <c r="C9" s="144" t="s">
        <v>326</v>
      </c>
      <c r="D9" s="144"/>
      <c r="E9" s="144"/>
      <c r="F9" s="144"/>
      <c r="G9" s="144"/>
      <c r="H9" s="144"/>
      <c r="I9" s="144"/>
      <c r="J9" s="10"/>
      <c r="K9" s="33"/>
      <c r="L9" s="34"/>
    </row>
    <row r="10" spans="1:12" ht="13.8" x14ac:dyDescent="0.25">
      <c r="A10" s="145" t="s">
        <v>328</v>
      </c>
      <c r="B10" s="145"/>
      <c r="C10" s="148"/>
      <c r="D10" s="148"/>
      <c r="E10" s="148"/>
      <c r="F10" s="148"/>
      <c r="G10" s="148"/>
      <c r="H10" s="148"/>
      <c r="I10" s="148"/>
      <c r="J10" s="12" t="s">
        <v>325</v>
      </c>
      <c r="K10" s="149"/>
      <c r="L10" s="150"/>
    </row>
    <row r="11" spans="1:12" ht="13.8" x14ac:dyDescent="0.25">
      <c r="A11" s="10"/>
      <c r="B11" s="10"/>
      <c r="C11" s="144" t="s">
        <v>326</v>
      </c>
      <c r="D11" s="144"/>
      <c r="E11" s="144"/>
      <c r="F11" s="144"/>
      <c r="G11" s="144"/>
      <c r="H11" s="144"/>
      <c r="I11" s="144"/>
      <c r="J11" s="10"/>
      <c r="K11" s="33"/>
      <c r="L11" s="34"/>
    </row>
    <row r="12" spans="1:12" ht="13.8" x14ac:dyDescent="0.25">
      <c r="A12" s="145" t="s">
        <v>329</v>
      </c>
      <c r="B12" s="145"/>
      <c r="C12" s="148"/>
      <c r="D12" s="148"/>
      <c r="E12" s="148"/>
      <c r="F12" s="148"/>
      <c r="G12" s="148"/>
      <c r="H12" s="148"/>
      <c r="I12" s="148"/>
      <c r="J12" s="12" t="s">
        <v>325</v>
      </c>
      <c r="K12" s="149"/>
      <c r="L12" s="150"/>
    </row>
    <row r="13" spans="1:12" ht="13.8" x14ac:dyDescent="0.25">
      <c r="A13" s="10"/>
      <c r="B13" s="10"/>
      <c r="C13" s="144" t="s">
        <v>330</v>
      </c>
      <c r="D13" s="144"/>
      <c r="E13" s="144"/>
      <c r="F13" s="144"/>
      <c r="G13" s="144"/>
      <c r="H13" s="145" t="s">
        <v>331</v>
      </c>
      <c r="I13" s="145"/>
      <c r="J13" s="146"/>
      <c r="K13" s="110"/>
      <c r="L13" s="112"/>
    </row>
    <row r="14" spans="1:12" ht="13.8" x14ac:dyDescent="0.25">
      <c r="A14" s="10"/>
      <c r="B14" s="10"/>
      <c r="C14" s="10"/>
      <c r="D14" s="10"/>
      <c r="E14" s="145" t="s">
        <v>332</v>
      </c>
      <c r="F14" s="145"/>
      <c r="G14" s="145"/>
      <c r="H14" s="145"/>
      <c r="I14" s="147" t="s">
        <v>333</v>
      </c>
      <c r="J14" s="102"/>
      <c r="K14" s="110"/>
      <c r="L14" s="112"/>
    </row>
    <row r="15" spans="1:12" ht="13.8" x14ac:dyDescent="0.25">
      <c r="A15" s="10"/>
      <c r="B15" s="10"/>
      <c r="C15" s="10"/>
      <c r="D15" s="10"/>
      <c r="E15" s="10"/>
      <c r="F15" s="10"/>
      <c r="G15" s="10"/>
      <c r="H15" s="10"/>
      <c r="I15" s="129" t="s">
        <v>334</v>
      </c>
      <c r="J15" s="130"/>
      <c r="K15" s="131"/>
      <c r="L15" s="132"/>
    </row>
    <row r="16" spans="1:12" ht="13.8" x14ac:dyDescent="0.25">
      <c r="A16" s="10"/>
      <c r="B16" s="10"/>
      <c r="C16" s="10"/>
      <c r="D16" s="10"/>
      <c r="E16" s="10"/>
      <c r="F16" s="10"/>
      <c r="G16" s="10"/>
      <c r="H16" s="10"/>
      <c r="I16" s="102" t="s">
        <v>335</v>
      </c>
      <c r="J16" s="102"/>
      <c r="K16" s="133"/>
      <c r="L16" s="134"/>
    </row>
    <row r="17" spans="1:12" ht="13.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3.8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3.8" x14ac:dyDescent="0.25">
      <c r="A19" s="10"/>
      <c r="B19" s="10"/>
      <c r="C19" s="135" t="s">
        <v>336</v>
      </c>
      <c r="D19" s="136"/>
      <c r="E19" s="135" t="s">
        <v>337</v>
      </c>
      <c r="F19" s="139"/>
      <c r="G19" s="10"/>
      <c r="H19" s="10"/>
      <c r="I19" s="135" t="s">
        <v>338</v>
      </c>
      <c r="J19" s="136"/>
      <c r="K19" s="136"/>
      <c r="L19" s="139"/>
    </row>
    <row r="20" spans="1:12" ht="13.8" x14ac:dyDescent="0.25">
      <c r="A20" s="10"/>
      <c r="B20" s="10"/>
      <c r="C20" s="137"/>
      <c r="D20" s="138"/>
      <c r="E20" s="137"/>
      <c r="F20" s="140"/>
      <c r="G20" s="10"/>
      <c r="H20" s="10"/>
      <c r="I20" s="141" t="s">
        <v>339</v>
      </c>
      <c r="J20" s="142"/>
      <c r="K20" s="141" t="s">
        <v>340</v>
      </c>
      <c r="L20" s="143"/>
    </row>
    <row r="21" spans="1:12" ht="13.8" x14ac:dyDescent="0.25">
      <c r="A21" s="10"/>
      <c r="B21" s="10"/>
      <c r="C21" s="123"/>
      <c r="D21" s="124"/>
      <c r="E21" s="125"/>
      <c r="F21" s="126"/>
      <c r="G21" s="35"/>
      <c r="H21" s="35"/>
      <c r="I21" s="125"/>
      <c r="J21" s="127"/>
      <c r="K21" s="125"/>
      <c r="L21" s="126"/>
    </row>
    <row r="22" spans="1:12" ht="13.8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3.8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7.399999999999999" x14ac:dyDescent="0.3">
      <c r="A24" s="128" t="s">
        <v>341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2" ht="17.399999999999999" x14ac:dyDescent="0.3">
      <c r="A25" s="128" t="s">
        <v>342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1:12" ht="13.8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3.8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3.8" x14ac:dyDescent="0.25">
      <c r="A28" s="117" t="s">
        <v>284</v>
      </c>
      <c r="B28" s="117" t="s">
        <v>343</v>
      </c>
      <c r="C28" s="119"/>
      <c r="D28" s="119"/>
      <c r="E28" s="119"/>
      <c r="F28" s="117" t="s">
        <v>344</v>
      </c>
      <c r="G28" s="117" t="s">
        <v>345</v>
      </c>
      <c r="H28" s="119"/>
      <c r="I28" s="119"/>
      <c r="J28" s="119"/>
      <c r="K28" s="119"/>
      <c r="L28" s="121"/>
    </row>
    <row r="29" spans="1:12" x14ac:dyDescent="0.25">
      <c r="A29" s="118"/>
      <c r="B29" s="118"/>
      <c r="C29" s="120"/>
      <c r="D29" s="120"/>
      <c r="E29" s="120"/>
      <c r="F29" s="118"/>
      <c r="G29" s="117" t="s">
        <v>346</v>
      </c>
      <c r="H29" s="119"/>
      <c r="I29" s="117" t="s">
        <v>347</v>
      </c>
      <c r="J29" s="119"/>
      <c r="K29" s="117" t="s">
        <v>348</v>
      </c>
      <c r="L29" s="121"/>
    </row>
    <row r="30" spans="1:12" x14ac:dyDescent="0.25">
      <c r="A30" s="118"/>
      <c r="B30" s="118"/>
      <c r="C30" s="120"/>
      <c r="D30" s="120"/>
      <c r="E30" s="120"/>
      <c r="F30" s="118"/>
      <c r="G30" s="118"/>
      <c r="H30" s="120"/>
      <c r="I30" s="118"/>
      <c r="J30" s="120"/>
      <c r="K30" s="118"/>
      <c r="L30" s="122"/>
    </row>
    <row r="31" spans="1:12" x14ac:dyDescent="0.25">
      <c r="A31" s="118"/>
      <c r="B31" s="118"/>
      <c r="C31" s="120"/>
      <c r="D31" s="120"/>
      <c r="E31" s="120"/>
      <c r="F31" s="118"/>
      <c r="G31" s="118"/>
      <c r="H31" s="120"/>
      <c r="I31" s="118"/>
      <c r="J31" s="120"/>
      <c r="K31" s="118"/>
      <c r="L31" s="122"/>
    </row>
    <row r="32" spans="1:12" x14ac:dyDescent="0.25">
      <c r="A32" s="118"/>
      <c r="B32" s="118"/>
      <c r="C32" s="120"/>
      <c r="D32" s="120"/>
      <c r="E32" s="120"/>
      <c r="F32" s="118"/>
      <c r="G32" s="118"/>
      <c r="H32" s="120"/>
      <c r="I32" s="118"/>
      <c r="J32" s="120"/>
      <c r="K32" s="118"/>
      <c r="L32" s="122"/>
    </row>
    <row r="33" spans="1:12" ht="13.8" x14ac:dyDescent="0.25">
      <c r="A33" s="33">
        <v>1</v>
      </c>
      <c r="B33" s="110">
        <v>2</v>
      </c>
      <c r="C33" s="111"/>
      <c r="D33" s="111"/>
      <c r="E33" s="111"/>
      <c r="F33" s="33">
        <v>3</v>
      </c>
      <c r="G33" s="110">
        <v>4</v>
      </c>
      <c r="H33" s="111"/>
      <c r="I33" s="110">
        <v>5</v>
      </c>
      <c r="J33" s="111"/>
      <c r="K33" s="110">
        <v>6</v>
      </c>
      <c r="L33" s="112"/>
    </row>
    <row r="34" spans="1:12" ht="13.8" x14ac:dyDescent="0.25">
      <c r="A34" s="36"/>
      <c r="B34" s="113" t="s">
        <v>349</v>
      </c>
      <c r="C34" s="100"/>
      <c r="D34" s="100"/>
      <c r="E34" s="100"/>
      <c r="F34" s="37"/>
      <c r="G34" s="114"/>
      <c r="H34" s="115"/>
      <c r="I34" s="114"/>
      <c r="J34" s="115"/>
      <c r="K34" s="114"/>
      <c r="L34" s="116"/>
    </row>
    <row r="35" spans="1:12" ht="13.8" x14ac:dyDescent="0.25">
      <c r="A35" s="38"/>
      <c r="B35" s="98" t="s">
        <v>350</v>
      </c>
      <c r="C35" s="99"/>
      <c r="D35" s="99"/>
      <c r="E35" s="99"/>
      <c r="F35" s="99"/>
      <c r="G35" s="99"/>
      <c r="H35" s="99"/>
      <c r="I35" s="99"/>
      <c r="J35" s="99"/>
      <c r="K35" s="100"/>
      <c r="L35" s="101"/>
    </row>
    <row r="36" spans="1:12" ht="13.8" x14ac:dyDescent="0.25">
      <c r="A36" s="102" t="s">
        <v>351</v>
      </c>
      <c r="B36" s="102"/>
      <c r="C36" s="102"/>
      <c r="D36" s="102"/>
      <c r="E36" s="102"/>
      <c r="F36" s="102"/>
      <c r="G36" s="102"/>
      <c r="H36" s="102"/>
      <c r="I36" s="102"/>
      <c r="J36" s="103"/>
      <c r="K36" s="104"/>
      <c r="L36" s="103"/>
    </row>
    <row r="37" spans="1:12" ht="13.8" x14ac:dyDescent="0.25">
      <c r="A37" s="105" t="s">
        <v>352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6"/>
      <c r="L37" s="107"/>
    </row>
    <row r="38" spans="1:12" ht="13.8" x14ac:dyDescent="0.25">
      <c r="A38" s="105" t="s">
        <v>353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8"/>
      <c r="L38" s="109"/>
    </row>
    <row r="39" spans="1:12" ht="13.8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2" spans="1:12" ht="13.8" x14ac:dyDescent="0.25">
      <c r="A42" s="95" t="s">
        <v>327</v>
      </c>
      <c r="B42" s="95"/>
      <c r="C42" s="96"/>
      <c r="D42" s="96"/>
      <c r="E42" s="96"/>
      <c r="F42" s="10"/>
      <c r="G42" s="96"/>
      <c r="H42" s="96"/>
      <c r="I42" s="10"/>
      <c r="J42" s="96"/>
      <c r="K42" s="96"/>
      <c r="L42" s="96"/>
    </row>
    <row r="43" spans="1:12" ht="13.8" x14ac:dyDescent="0.25">
      <c r="A43" s="10"/>
      <c r="B43" s="10"/>
      <c r="C43" s="97" t="s">
        <v>354</v>
      </c>
      <c r="D43" s="97"/>
      <c r="E43" s="97"/>
      <c r="F43" s="10"/>
      <c r="G43" s="97" t="s">
        <v>355</v>
      </c>
      <c r="H43" s="97"/>
      <c r="I43" s="10"/>
      <c r="J43" s="97" t="s">
        <v>356</v>
      </c>
      <c r="K43" s="97"/>
      <c r="L43" s="97"/>
    </row>
    <row r="44" spans="1:12" ht="13.8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13.8" x14ac:dyDescent="0.25">
      <c r="A45" s="12" t="s">
        <v>357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13.8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3.8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3.8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ht="13.8" x14ac:dyDescent="0.25">
      <c r="A49" s="95" t="s">
        <v>328</v>
      </c>
      <c r="B49" s="95"/>
      <c r="C49" s="96"/>
      <c r="D49" s="96"/>
      <c r="E49" s="96"/>
      <c r="F49" s="10"/>
      <c r="G49" s="96"/>
      <c r="H49" s="96"/>
      <c r="I49" s="10"/>
      <c r="J49" s="96"/>
      <c r="K49" s="96"/>
      <c r="L49" s="96"/>
    </row>
    <row r="50" spans="1:12" ht="13.8" x14ac:dyDescent="0.25">
      <c r="A50" s="10"/>
      <c r="B50" s="10"/>
      <c r="C50" s="97" t="s">
        <v>354</v>
      </c>
      <c r="D50" s="97"/>
      <c r="E50" s="97"/>
      <c r="F50" s="10"/>
      <c r="G50" s="97" t="s">
        <v>355</v>
      </c>
      <c r="H50" s="97"/>
      <c r="I50" s="10"/>
      <c r="J50" s="97" t="s">
        <v>356</v>
      </c>
      <c r="K50" s="97"/>
      <c r="L50" s="97"/>
    </row>
    <row r="51" spans="1:12" ht="13.8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13.8" x14ac:dyDescent="0.25">
      <c r="A52" s="12" t="s">
        <v>357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</sheetData>
  <mergeCells count="79">
    <mergeCell ref="I5:J5"/>
    <mergeCell ref="K5:L5"/>
    <mergeCell ref="A1:D1"/>
    <mergeCell ref="H1:L1"/>
    <mergeCell ref="H2:L2"/>
    <mergeCell ref="H3:L3"/>
    <mergeCell ref="K4:L4"/>
    <mergeCell ref="A12:B12"/>
    <mergeCell ref="C12:I12"/>
    <mergeCell ref="K12:L12"/>
    <mergeCell ref="A6:B6"/>
    <mergeCell ref="C6:I6"/>
    <mergeCell ref="K6:L6"/>
    <mergeCell ref="C7:I7"/>
    <mergeCell ref="A8:B8"/>
    <mergeCell ref="C8:H8"/>
    <mergeCell ref="K8:L8"/>
    <mergeCell ref="C9:I9"/>
    <mergeCell ref="A10:B10"/>
    <mergeCell ref="C10:I10"/>
    <mergeCell ref="K10:L10"/>
    <mergeCell ref="C11:I11"/>
    <mergeCell ref="C13:G13"/>
    <mergeCell ref="H13:J13"/>
    <mergeCell ref="K13:L13"/>
    <mergeCell ref="E14:H14"/>
    <mergeCell ref="I14:J14"/>
    <mergeCell ref="K14:L14"/>
    <mergeCell ref="A25:L25"/>
    <mergeCell ref="I15:J15"/>
    <mergeCell ref="K15:L15"/>
    <mergeCell ref="I16:J16"/>
    <mergeCell ref="K16:L16"/>
    <mergeCell ref="C19:D20"/>
    <mergeCell ref="E19:F20"/>
    <mergeCell ref="I19:L19"/>
    <mergeCell ref="I20:J20"/>
    <mergeCell ref="K20:L20"/>
    <mergeCell ref="C21:D21"/>
    <mergeCell ref="E21:F21"/>
    <mergeCell ref="I21:J21"/>
    <mergeCell ref="K21:L21"/>
    <mergeCell ref="A24:L24"/>
    <mergeCell ref="A28:A32"/>
    <mergeCell ref="B28:E32"/>
    <mergeCell ref="F28:F32"/>
    <mergeCell ref="G28:L28"/>
    <mergeCell ref="G29:H32"/>
    <mergeCell ref="I29:J32"/>
    <mergeCell ref="K29:L32"/>
    <mergeCell ref="A38:J38"/>
    <mergeCell ref="K38:L38"/>
    <mergeCell ref="B33:E33"/>
    <mergeCell ref="G33:H33"/>
    <mergeCell ref="I33:J33"/>
    <mergeCell ref="K33:L33"/>
    <mergeCell ref="B34:E34"/>
    <mergeCell ref="G34:H34"/>
    <mergeCell ref="I34:J34"/>
    <mergeCell ref="K34:L34"/>
    <mergeCell ref="B35:L35"/>
    <mergeCell ref="A36:J36"/>
    <mergeCell ref="K36:L36"/>
    <mergeCell ref="A37:J37"/>
    <mergeCell ref="K37:L37"/>
    <mergeCell ref="A42:B42"/>
    <mergeCell ref="C42:E42"/>
    <mergeCell ref="G42:H42"/>
    <mergeCell ref="J42:L42"/>
    <mergeCell ref="C43:E43"/>
    <mergeCell ref="G43:H43"/>
    <mergeCell ref="J43:L43"/>
    <mergeCell ref="A49:B49"/>
    <mergeCell ref="C49:E49"/>
    <mergeCell ref="G49:H49"/>
    <mergeCell ref="J49:L49"/>
    <mergeCell ref="C50:E50"/>
    <mergeCell ref="G50:H50"/>
    <mergeCell ref="J50:L50"/>
  </mergeCells>
  <pageMargins left="0.4" right="0.2" top="0.2" bottom="0.4" header="0.2" footer="0.2"/>
  <pageSetup paperSize="9" scale="80" fitToHeight="0" orientation="portrait" r:id="rId1"/>
  <headerFooter>
    <oddHeader>&amp;L&amp;8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99"/>
  <sheetViews>
    <sheetView workbookViewId="0">
      <selection activeCell="A195" sqref="A195:AN195"/>
    </sheetView>
  </sheetViews>
  <sheetFormatPr defaultColWidth="9.109375" defaultRowHeight="13.2" x14ac:dyDescent="0.25"/>
  <cols>
    <col min="1" max="256" width="9.109375" customWidth="1"/>
  </cols>
  <sheetData>
    <row r="1" spans="1:133" x14ac:dyDescent="0.25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57140</v>
      </c>
      <c r="M1">
        <v>11</v>
      </c>
      <c r="N1">
        <v>11</v>
      </c>
      <c r="O1">
        <v>4</v>
      </c>
      <c r="P1">
        <v>1</v>
      </c>
      <c r="Q1">
        <v>4</v>
      </c>
    </row>
    <row r="12" spans="1:133" x14ac:dyDescent="0.25">
      <c r="A12" s="1">
        <v>1</v>
      </c>
      <c r="B12" s="1">
        <v>194</v>
      </c>
      <c r="C12" s="1">
        <v>0</v>
      </c>
      <c r="D12" s="1">
        <f>ROW(A131)</f>
        <v>131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0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524296</v>
      </c>
      <c r="CI12" s="1" t="s">
        <v>3</v>
      </c>
      <c r="CJ12" s="1" t="s">
        <v>3</v>
      </c>
      <c r="CK12" s="1">
        <v>8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5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5">
      <c r="A18" s="2">
        <v>52</v>
      </c>
      <c r="B18" s="2">
        <f t="shared" ref="B18:G18" si="0">B131</f>
        <v>194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Ремонт санузлов АБК</v>
      </c>
      <c r="H18" s="2"/>
      <c r="I18" s="2"/>
      <c r="J18" s="2"/>
      <c r="K18" s="2"/>
      <c r="L18" s="2"/>
      <c r="M18" s="2"/>
      <c r="N18" s="2"/>
      <c r="O18" s="2">
        <f t="shared" ref="O18:AT18" si="1">O131</f>
        <v>40140</v>
      </c>
      <c r="P18" s="2">
        <f t="shared" si="1"/>
        <v>0</v>
      </c>
      <c r="Q18" s="2">
        <f t="shared" si="1"/>
        <v>850</v>
      </c>
      <c r="R18" s="2">
        <f t="shared" si="1"/>
        <v>599</v>
      </c>
      <c r="S18" s="2">
        <f t="shared" si="1"/>
        <v>39290</v>
      </c>
      <c r="T18" s="2">
        <f t="shared" si="1"/>
        <v>0</v>
      </c>
      <c r="U18" s="2">
        <f t="shared" si="1"/>
        <v>137.215125</v>
      </c>
      <c r="V18" s="2">
        <f t="shared" si="1"/>
        <v>1.6691250000000002</v>
      </c>
      <c r="W18" s="2">
        <f t="shared" si="1"/>
        <v>0</v>
      </c>
      <c r="X18" s="2">
        <f t="shared" si="1"/>
        <v>43476</v>
      </c>
      <c r="Y18" s="2">
        <f t="shared" si="1"/>
        <v>23709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107325</v>
      </c>
      <c r="AS18" s="2">
        <f t="shared" si="1"/>
        <v>107325</v>
      </c>
      <c r="AT18" s="2">
        <f t="shared" si="1"/>
        <v>0</v>
      </c>
      <c r="AU18" s="2">
        <f t="shared" ref="AU18:BZ18" si="2">AU131</f>
        <v>0</v>
      </c>
      <c r="AV18" s="2">
        <f t="shared" si="2"/>
        <v>0</v>
      </c>
      <c r="AW18" s="2">
        <f t="shared" si="2"/>
        <v>0</v>
      </c>
      <c r="AX18" s="2">
        <f t="shared" si="2"/>
        <v>0</v>
      </c>
      <c r="AY18" s="2">
        <f t="shared" si="2"/>
        <v>0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CA131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DG131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EM131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FS131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5">
      <c r="A20" s="1">
        <v>3</v>
      </c>
      <c r="B20" s="1">
        <v>1</v>
      </c>
      <c r="C20" s="1"/>
      <c r="D20" s="1">
        <f>ROW(A101)</f>
        <v>101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5">
      <c r="A22" s="2">
        <v>52</v>
      </c>
      <c r="B22" s="2">
        <f t="shared" ref="B22:G22" si="7">B101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O101</f>
        <v>40140</v>
      </c>
      <c r="P22" s="2">
        <f t="shared" si="8"/>
        <v>0</v>
      </c>
      <c r="Q22" s="2">
        <f t="shared" si="8"/>
        <v>850</v>
      </c>
      <c r="R22" s="2">
        <f t="shared" si="8"/>
        <v>599</v>
      </c>
      <c r="S22" s="2">
        <f t="shared" si="8"/>
        <v>39290</v>
      </c>
      <c r="T22" s="2">
        <f t="shared" si="8"/>
        <v>0</v>
      </c>
      <c r="U22" s="2">
        <f t="shared" si="8"/>
        <v>137.215125</v>
      </c>
      <c r="V22" s="2">
        <f t="shared" si="8"/>
        <v>1.6691250000000002</v>
      </c>
      <c r="W22" s="2">
        <f t="shared" si="8"/>
        <v>0</v>
      </c>
      <c r="X22" s="2">
        <f t="shared" si="8"/>
        <v>43476</v>
      </c>
      <c r="Y22" s="2">
        <f t="shared" si="8"/>
        <v>23709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107325</v>
      </c>
      <c r="AS22" s="2">
        <f t="shared" si="8"/>
        <v>107325</v>
      </c>
      <c r="AT22" s="2">
        <f t="shared" si="8"/>
        <v>0</v>
      </c>
      <c r="AU22" s="2">
        <f t="shared" ref="AU22:BZ22" si="9">AU101</f>
        <v>0</v>
      </c>
      <c r="AV22" s="2">
        <f t="shared" si="9"/>
        <v>0</v>
      </c>
      <c r="AW22" s="2">
        <f t="shared" si="9"/>
        <v>0</v>
      </c>
      <c r="AX22" s="2">
        <f t="shared" si="9"/>
        <v>0</v>
      </c>
      <c r="AY22" s="2">
        <f t="shared" si="9"/>
        <v>0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CA101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DG101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EM101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FS101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5">
      <c r="A24" s="1">
        <v>4</v>
      </c>
      <c r="B24" s="1">
        <v>1</v>
      </c>
      <c r="C24" s="1"/>
      <c r="D24" s="1">
        <f>ROW(A34)</f>
        <v>34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 x14ac:dyDescent="0.25">
      <c r="A26" s="2">
        <v>52</v>
      </c>
      <c r="B26" s="2">
        <f t="shared" ref="B26:G26" si="14">B34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Ремонт помещений в котельной: лаборатория.</v>
      </c>
      <c r="H26" s="2"/>
      <c r="I26" s="2"/>
      <c r="J26" s="2"/>
      <c r="K26" s="2"/>
      <c r="L26" s="2"/>
      <c r="M26" s="2"/>
      <c r="N26" s="2"/>
      <c r="O26" s="2">
        <f t="shared" ref="O26:AT26" si="15">O34</f>
        <v>31985</v>
      </c>
      <c r="P26" s="2">
        <f t="shared" si="15"/>
        <v>0</v>
      </c>
      <c r="Q26" s="2">
        <f t="shared" si="15"/>
        <v>722</v>
      </c>
      <c r="R26" s="2">
        <f t="shared" si="15"/>
        <v>446</v>
      </c>
      <c r="S26" s="2">
        <f t="shared" si="15"/>
        <v>31263</v>
      </c>
      <c r="T26" s="2">
        <f t="shared" si="15"/>
        <v>0</v>
      </c>
      <c r="U26" s="2">
        <f t="shared" si="15"/>
        <v>109.06795500000001</v>
      </c>
      <c r="V26" s="2">
        <f t="shared" si="15"/>
        <v>1.2378750000000001</v>
      </c>
      <c r="W26" s="2">
        <f t="shared" si="15"/>
        <v>0</v>
      </c>
      <c r="X26" s="2">
        <f t="shared" si="15"/>
        <v>34462</v>
      </c>
      <c r="Y26" s="2">
        <f t="shared" si="15"/>
        <v>18738</v>
      </c>
      <c r="Z26" s="2">
        <f t="shared" si="15"/>
        <v>0</v>
      </c>
      <c r="AA26" s="2">
        <f t="shared" si="15"/>
        <v>0</v>
      </c>
      <c r="AB26" s="2">
        <f t="shared" si="15"/>
        <v>31985</v>
      </c>
      <c r="AC26" s="2">
        <f t="shared" si="15"/>
        <v>0</v>
      </c>
      <c r="AD26" s="2">
        <f t="shared" si="15"/>
        <v>722</v>
      </c>
      <c r="AE26" s="2">
        <f t="shared" si="15"/>
        <v>446</v>
      </c>
      <c r="AF26" s="2">
        <f t="shared" si="15"/>
        <v>31263</v>
      </c>
      <c r="AG26" s="2">
        <f t="shared" si="15"/>
        <v>0</v>
      </c>
      <c r="AH26" s="2">
        <f t="shared" si="15"/>
        <v>109.06795500000001</v>
      </c>
      <c r="AI26" s="2">
        <f t="shared" si="15"/>
        <v>1.2378750000000001</v>
      </c>
      <c r="AJ26" s="2">
        <f t="shared" si="15"/>
        <v>0</v>
      </c>
      <c r="AK26" s="2">
        <f t="shared" si="15"/>
        <v>34462</v>
      </c>
      <c r="AL26" s="2">
        <f t="shared" si="15"/>
        <v>18738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85185</v>
      </c>
      <c r="AS26" s="2">
        <f t="shared" si="15"/>
        <v>85185</v>
      </c>
      <c r="AT26" s="2">
        <f t="shared" si="15"/>
        <v>0</v>
      </c>
      <c r="AU26" s="2">
        <f t="shared" ref="AU26:BZ26" si="16">AU34</f>
        <v>0</v>
      </c>
      <c r="AV26" s="2">
        <f t="shared" si="16"/>
        <v>0</v>
      </c>
      <c r="AW26" s="2">
        <f t="shared" si="16"/>
        <v>0</v>
      </c>
      <c r="AX26" s="2">
        <f t="shared" si="16"/>
        <v>0</v>
      </c>
      <c r="AY26" s="2">
        <f t="shared" si="16"/>
        <v>0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CA34</f>
        <v>85185</v>
      </c>
      <c r="CB26" s="2">
        <f t="shared" si="17"/>
        <v>85185</v>
      </c>
      <c r="CC26" s="2">
        <f t="shared" si="17"/>
        <v>0</v>
      </c>
      <c r="CD26" s="2">
        <f t="shared" si="17"/>
        <v>0</v>
      </c>
      <c r="CE26" s="2">
        <f t="shared" si="17"/>
        <v>0</v>
      </c>
      <c r="CF26" s="2">
        <f t="shared" si="17"/>
        <v>0</v>
      </c>
      <c r="CG26" s="2">
        <f t="shared" si="17"/>
        <v>0</v>
      </c>
      <c r="CH26" s="2">
        <f t="shared" si="17"/>
        <v>0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DG34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EM34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FS34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 x14ac:dyDescent="0.25">
      <c r="A28">
        <v>17</v>
      </c>
      <c r="B28">
        <v>1</v>
      </c>
      <c r="C28">
        <f>ROW(SmtRes!A11)</f>
        <v>11</v>
      </c>
      <c r="D28">
        <f>ROW(EtalonRes!A11)</f>
        <v>11</v>
      </c>
      <c r="E28" t="s">
        <v>15</v>
      </c>
      <c r="F28" t="s">
        <v>16</v>
      </c>
      <c r="G28" t="s">
        <v>17</v>
      </c>
      <c r="H28" t="s">
        <v>18</v>
      </c>
      <c r="I28">
        <f>ROUND(11/100,9)</f>
        <v>0.11</v>
      </c>
      <c r="J28">
        <v>0</v>
      </c>
      <c r="K28">
        <f>ROUND(11/100,9)</f>
        <v>0.11</v>
      </c>
      <c r="O28">
        <f>ROUND(CP28,0)</f>
        <v>6485</v>
      </c>
      <c r="P28">
        <f>ROUND(CQ28*I28,0)</f>
        <v>0</v>
      </c>
      <c r="Q28">
        <f>ROUND(CR28*I28,0)</f>
        <v>226</v>
      </c>
      <c r="R28">
        <f>ROUND(CS28*I28,0)</f>
        <v>232</v>
      </c>
      <c r="S28">
        <f>ROUND(CT28*I28,0)</f>
        <v>6259</v>
      </c>
      <c r="T28">
        <f>ROUND(CU28*I28,0)</f>
        <v>0</v>
      </c>
      <c r="U28">
        <f>CV28*I28</f>
        <v>22.728255000000001</v>
      </c>
      <c r="V28">
        <f>CW28*I28</f>
        <v>0.61875000000000002</v>
      </c>
      <c r="W28">
        <f>ROUND(CX28*I28,0)</f>
        <v>0</v>
      </c>
      <c r="X28">
        <f t="shared" ref="X28:Y32" si="21">ROUND(CY28,0)</f>
        <v>7984</v>
      </c>
      <c r="Y28">
        <f t="shared" si="21"/>
        <v>4868</v>
      </c>
      <c r="AA28">
        <v>46567972</v>
      </c>
      <c r="AB28">
        <f>ROUND((AC28+AD28+AF28),2)</f>
        <v>1983.41</v>
      </c>
      <c r="AC28">
        <f>ROUND(((ES28*0)),2)</f>
        <v>0</v>
      </c>
      <c r="AD28">
        <f>ROUND(((((ET28*1.25))-((EU28*1.25)))+AE28),2)</f>
        <v>177.54</v>
      </c>
      <c r="AE28">
        <f>ROUND(((EU28*1.25)),2)</f>
        <v>67.010000000000005</v>
      </c>
      <c r="AF28">
        <f>ROUND(((EV28*1.15*1.5)),2)</f>
        <v>1805.87</v>
      </c>
      <c r="AG28">
        <f>ROUND((AP28),2)</f>
        <v>0</v>
      </c>
      <c r="AH28">
        <f>((EW28*1.15*1.5))</f>
        <v>206.62049999999999</v>
      </c>
      <c r="AI28">
        <f>((EX28*1.25))</f>
        <v>5.625</v>
      </c>
      <c r="AJ28">
        <f>(AS28)</f>
        <v>0</v>
      </c>
      <c r="AK28">
        <v>10547.21</v>
      </c>
      <c r="AL28">
        <v>9358.2999999999993</v>
      </c>
      <c r="AM28">
        <v>142.03</v>
      </c>
      <c r="AN28">
        <v>53.61</v>
      </c>
      <c r="AO28">
        <v>1046.8800000000001</v>
      </c>
      <c r="AP28">
        <v>0</v>
      </c>
      <c r="AQ28">
        <v>119.78</v>
      </c>
      <c r="AR28">
        <v>4.5</v>
      </c>
      <c r="AS28">
        <v>0</v>
      </c>
      <c r="AT28">
        <v>123</v>
      </c>
      <c r="AU28">
        <v>75</v>
      </c>
      <c r="AV28">
        <v>1</v>
      </c>
      <c r="AW28">
        <v>1</v>
      </c>
      <c r="AZ28">
        <v>1</v>
      </c>
      <c r="BA28">
        <v>31.51</v>
      </c>
      <c r="BB28">
        <v>11.55</v>
      </c>
      <c r="BC28">
        <v>8.82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11001</v>
      </c>
      <c r="BN28">
        <v>0</v>
      </c>
      <c r="BO28" t="s">
        <v>3</v>
      </c>
      <c r="BP28">
        <v>0</v>
      </c>
      <c r="BQ28">
        <v>2</v>
      </c>
      <c r="BR28">
        <v>0</v>
      </c>
      <c r="BS28">
        <v>31.51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123</v>
      </c>
      <c r="CA28">
        <v>75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272</v>
      </c>
      <c r="CO28">
        <v>0</v>
      </c>
      <c r="CP28">
        <f>(P28+Q28+S28)</f>
        <v>6485</v>
      </c>
      <c r="CQ28">
        <f>AC28*BC28</f>
        <v>0</v>
      </c>
      <c r="CR28">
        <f>AD28*BB28</f>
        <v>2050.587</v>
      </c>
      <c r="CS28">
        <f>AE28*BS28</f>
        <v>2111.4851000000003</v>
      </c>
      <c r="CT28">
        <f>AF28*BA28</f>
        <v>56902.9637</v>
      </c>
      <c r="CU28">
        <f t="shared" ref="CU28:CX32" si="22">AG28</f>
        <v>0</v>
      </c>
      <c r="CV28">
        <f t="shared" si="22"/>
        <v>206.62049999999999</v>
      </c>
      <c r="CW28">
        <f t="shared" si="22"/>
        <v>5.625</v>
      </c>
      <c r="CX28">
        <f t="shared" si="22"/>
        <v>0</v>
      </c>
      <c r="CY28">
        <f>(((S28+R28)*AT28)/100)</f>
        <v>7983.93</v>
      </c>
      <c r="CZ28">
        <f>(((S28+R28)*AU28)/100)</f>
        <v>4868.25</v>
      </c>
      <c r="DC28" t="s">
        <v>3</v>
      </c>
      <c r="DD28" t="s">
        <v>20</v>
      </c>
      <c r="DE28" t="s">
        <v>21</v>
      </c>
      <c r="DF28" t="s">
        <v>21</v>
      </c>
      <c r="DG28" t="s">
        <v>22</v>
      </c>
      <c r="DH28" t="s">
        <v>3</v>
      </c>
      <c r="DI28" t="s">
        <v>22</v>
      </c>
      <c r="DJ28" t="s">
        <v>21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1005</v>
      </c>
      <c r="DV28" t="s">
        <v>18</v>
      </c>
      <c r="DW28" t="s">
        <v>18</v>
      </c>
      <c r="DX28">
        <v>100</v>
      </c>
      <c r="DZ28" t="s">
        <v>3</v>
      </c>
      <c r="EA28" t="s">
        <v>3</v>
      </c>
      <c r="EB28" t="s">
        <v>3</v>
      </c>
      <c r="EC28" t="s">
        <v>3</v>
      </c>
      <c r="EE28">
        <v>44174010</v>
      </c>
      <c r="EF28">
        <v>2</v>
      </c>
      <c r="EG28" t="s">
        <v>23</v>
      </c>
      <c r="EH28">
        <v>0</v>
      </c>
      <c r="EI28" t="s">
        <v>3</v>
      </c>
      <c r="EJ28">
        <v>1</v>
      </c>
      <c r="EK28">
        <v>11001</v>
      </c>
      <c r="EL28" t="s">
        <v>24</v>
      </c>
      <c r="EM28" t="s">
        <v>25</v>
      </c>
      <c r="EO28" t="s">
        <v>26</v>
      </c>
      <c r="EQ28">
        <v>0</v>
      </c>
      <c r="ER28">
        <v>10547.21</v>
      </c>
      <c r="ES28">
        <v>9358.2999999999993</v>
      </c>
      <c r="ET28">
        <v>142.03</v>
      </c>
      <c r="EU28">
        <v>53.61</v>
      </c>
      <c r="EV28">
        <v>1046.8800000000001</v>
      </c>
      <c r="EW28">
        <v>119.78</v>
      </c>
      <c r="EX28">
        <v>4.5</v>
      </c>
      <c r="EY28">
        <v>0</v>
      </c>
      <c r="FQ28">
        <v>0</v>
      </c>
      <c r="FR28">
        <f>ROUND(IF(AND(BH28=3,BI28=3),P28,0),0)</f>
        <v>0</v>
      </c>
      <c r="FS28">
        <v>0</v>
      </c>
      <c r="FX28">
        <v>123</v>
      </c>
      <c r="FY28">
        <v>75</v>
      </c>
      <c r="GA28" t="s">
        <v>3</v>
      </c>
      <c r="GD28">
        <v>1</v>
      </c>
      <c r="GF28">
        <v>311668719</v>
      </c>
      <c r="GG28">
        <v>2</v>
      </c>
      <c r="GH28">
        <v>1</v>
      </c>
      <c r="GI28">
        <v>4</v>
      </c>
      <c r="GJ28">
        <v>0</v>
      </c>
      <c r="GK28">
        <v>0</v>
      </c>
      <c r="GL28">
        <f>ROUND(IF(AND(BH28=3,BI28=3,FS28&lt;&gt;0),P28,0),0)</f>
        <v>0</v>
      </c>
      <c r="GM28">
        <f>ROUND(O28+X28+Y28,0)+GX28</f>
        <v>19337</v>
      </c>
      <c r="GN28">
        <f>IF(OR(BI28=0,BI28=1),ROUND(O28+X28+Y28,0),0)</f>
        <v>19337</v>
      </c>
      <c r="GO28">
        <f>IF(BI28=2,ROUND(O28+X28+Y28,0),0)</f>
        <v>0</v>
      </c>
      <c r="GP28">
        <f>IF(BI28=4,ROUND(O28+X28+Y28,0)+GX28,0)</f>
        <v>0</v>
      </c>
      <c r="GR28">
        <v>0</v>
      </c>
      <c r="GS28">
        <v>3</v>
      </c>
      <c r="GT28">
        <v>0</v>
      </c>
      <c r="GU28" t="s">
        <v>3</v>
      </c>
      <c r="GV28">
        <f>ROUND((GT28),2)</f>
        <v>0</v>
      </c>
      <c r="GW28">
        <v>1</v>
      </c>
      <c r="GX28">
        <f>ROUND(HC28*I28,0)</f>
        <v>0</v>
      </c>
      <c r="HA28">
        <v>0</v>
      </c>
      <c r="HB28">
        <v>0</v>
      </c>
      <c r="HC28">
        <f>GV28*GW28</f>
        <v>0</v>
      </c>
      <c r="HE28" t="s">
        <v>3</v>
      </c>
      <c r="HF28" t="s">
        <v>3</v>
      </c>
      <c r="HM28" t="s">
        <v>3</v>
      </c>
      <c r="HN28" t="s">
        <v>27</v>
      </c>
      <c r="HO28" t="s">
        <v>28</v>
      </c>
      <c r="HP28" t="s">
        <v>24</v>
      </c>
      <c r="HQ28" t="s">
        <v>24</v>
      </c>
      <c r="IK28">
        <v>0</v>
      </c>
    </row>
    <row r="29" spans="1:245" x14ac:dyDescent="0.25">
      <c r="A29">
        <v>17</v>
      </c>
      <c r="B29">
        <v>1</v>
      </c>
      <c r="C29">
        <f>ROW(SmtRes!A18)</f>
        <v>18</v>
      </c>
      <c r="D29">
        <f>ROW(EtalonRes!A21)</f>
        <v>21</v>
      </c>
      <c r="E29" t="s">
        <v>29</v>
      </c>
      <c r="F29" t="s">
        <v>30</v>
      </c>
      <c r="G29" t="s">
        <v>31</v>
      </c>
      <c r="H29" t="s">
        <v>18</v>
      </c>
      <c r="I29">
        <f>ROUND(20/100,9)</f>
        <v>0.2</v>
      </c>
      <c r="J29">
        <v>0</v>
      </c>
      <c r="K29">
        <f>ROUND(20/100,9)</f>
        <v>0.2</v>
      </c>
      <c r="O29">
        <f>ROUND(CP29,0)</f>
        <v>11594</v>
      </c>
      <c r="P29">
        <f>ROUND(CQ29*I29,0)</f>
        <v>0</v>
      </c>
      <c r="Q29">
        <f>ROUND(CR29*I29,0)</f>
        <v>92</v>
      </c>
      <c r="R29">
        <f>ROUND(CS29*I29,0)</f>
        <v>138</v>
      </c>
      <c r="S29">
        <f>ROUND(CT29*I29,0)</f>
        <v>11502</v>
      </c>
      <c r="T29">
        <f>ROUND(CU29*I29,0)</f>
        <v>0</v>
      </c>
      <c r="U29">
        <f>CV29*I29</f>
        <v>39.764700000000005</v>
      </c>
      <c r="V29">
        <f>CW29*I29</f>
        <v>0.41250000000000003</v>
      </c>
      <c r="W29">
        <f>ROUND(CX29*I29,0)</f>
        <v>0</v>
      </c>
      <c r="X29">
        <f t="shared" si="21"/>
        <v>12222</v>
      </c>
      <c r="Y29">
        <f t="shared" si="21"/>
        <v>6402</v>
      </c>
      <c r="AA29">
        <v>46567972</v>
      </c>
      <c r="AB29">
        <f>ROUND((AC29+AD29+AF29),2)</f>
        <v>1864.9</v>
      </c>
      <c r="AC29">
        <f>ROUND(((ES29*0)),2)</f>
        <v>0</v>
      </c>
      <c r="AD29">
        <f>ROUND(((((ET29*1.25))-((EU29*1.25)))+AE29),2)</f>
        <v>39.69</v>
      </c>
      <c r="AE29">
        <f>ROUND(((EU29*1.25)),2)</f>
        <v>21.91</v>
      </c>
      <c r="AF29">
        <f>ROUND(((EV29*1.15*1.5)),2)</f>
        <v>1825.21</v>
      </c>
      <c r="AG29">
        <f>ROUND((AP29),2)</f>
        <v>0</v>
      </c>
      <c r="AH29">
        <f>((EW29*1.15*1.5))</f>
        <v>198.82350000000002</v>
      </c>
      <c r="AI29">
        <f>((EX29*1.25))</f>
        <v>2.0625</v>
      </c>
      <c r="AJ29">
        <f>(AS29)</f>
        <v>0</v>
      </c>
      <c r="AK29">
        <v>1090.96</v>
      </c>
      <c r="AL29">
        <v>1.1200000000000001</v>
      </c>
      <c r="AM29">
        <v>31.75</v>
      </c>
      <c r="AN29">
        <v>17.53</v>
      </c>
      <c r="AO29">
        <v>1058.0899999999999</v>
      </c>
      <c r="AP29">
        <v>0</v>
      </c>
      <c r="AQ29">
        <v>115.26</v>
      </c>
      <c r="AR29">
        <v>1.65</v>
      </c>
      <c r="AS29">
        <v>0</v>
      </c>
      <c r="AT29">
        <v>105</v>
      </c>
      <c r="AU29">
        <v>55</v>
      </c>
      <c r="AV29">
        <v>1</v>
      </c>
      <c r="AW29">
        <v>1</v>
      </c>
      <c r="AZ29">
        <v>1</v>
      </c>
      <c r="BA29">
        <v>31.51</v>
      </c>
      <c r="BB29">
        <v>11.55</v>
      </c>
      <c r="BC29">
        <v>8.82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32</v>
      </c>
      <c r="BM29">
        <v>15001</v>
      </c>
      <c r="BN29">
        <v>0</v>
      </c>
      <c r="BO29" t="s">
        <v>3</v>
      </c>
      <c r="BP29">
        <v>0</v>
      </c>
      <c r="BQ29">
        <v>2</v>
      </c>
      <c r="BR29">
        <v>0</v>
      </c>
      <c r="BS29">
        <v>31.51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105</v>
      </c>
      <c r="CA29">
        <v>55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272</v>
      </c>
      <c r="CO29">
        <v>0</v>
      </c>
      <c r="CP29">
        <f>(P29+Q29+S29)</f>
        <v>11594</v>
      </c>
      <c r="CQ29">
        <f>AC29*BC29</f>
        <v>0</v>
      </c>
      <c r="CR29">
        <f>AD29*BB29</f>
        <v>458.41950000000003</v>
      </c>
      <c r="CS29">
        <f>AE29*BS29</f>
        <v>690.38409999999999</v>
      </c>
      <c r="CT29">
        <f>AF29*BA29</f>
        <v>57512.367100000003</v>
      </c>
      <c r="CU29">
        <f t="shared" si="22"/>
        <v>0</v>
      </c>
      <c r="CV29">
        <f t="shared" si="22"/>
        <v>198.82350000000002</v>
      </c>
      <c r="CW29">
        <f t="shared" si="22"/>
        <v>2.0625</v>
      </c>
      <c r="CX29">
        <f t="shared" si="22"/>
        <v>0</v>
      </c>
      <c r="CY29">
        <f>(((S29+R29)*AT29)/100)</f>
        <v>12222</v>
      </c>
      <c r="CZ29">
        <f>(((S29+R29)*AU29)/100)</f>
        <v>6402</v>
      </c>
      <c r="DC29" t="s">
        <v>3</v>
      </c>
      <c r="DD29" t="s">
        <v>20</v>
      </c>
      <c r="DE29" t="s">
        <v>21</v>
      </c>
      <c r="DF29" t="s">
        <v>21</v>
      </c>
      <c r="DG29" t="s">
        <v>22</v>
      </c>
      <c r="DH29" t="s">
        <v>3</v>
      </c>
      <c r="DI29" t="s">
        <v>22</v>
      </c>
      <c r="DJ29" t="s">
        <v>21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1005</v>
      </c>
      <c r="DV29" t="s">
        <v>18</v>
      </c>
      <c r="DW29" t="s">
        <v>18</v>
      </c>
      <c r="DX29">
        <v>100</v>
      </c>
      <c r="DZ29" t="s">
        <v>3</v>
      </c>
      <c r="EA29" t="s">
        <v>3</v>
      </c>
      <c r="EB29" t="s">
        <v>3</v>
      </c>
      <c r="EC29" t="s">
        <v>3</v>
      </c>
      <c r="EE29">
        <v>44174042</v>
      </c>
      <c r="EF29">
        <v>2</v>
      </c>
      <c r="EG29" t="s">
        <v>23</v>
      </c>
      <c r="EH29">
        <v>0</v>
      </c>
      <c r="EI29" t="s">
        <v>3</v>
      </c>
      <c r="EJ29">
        <v>1</v>
      </c>
      <c r="EK29">
        <v>15001</v>
      </c>
      <c r="EL29" t="s">
        <v>33</v>
      </c>
      <c r="EM29" t="s">
        <v>34</v>
      </c>
      <c r="EO29" t="s">
        <v>26</v>
      </c>
      <c r="EQ29">
        <v>0</v>
      </c>
      <c r="ER29">
        <v>1090.96</v>
      </c>
      <c r="ES29">
        <v>1.1200000000000001</v>
      </c>
      <c r="ET29">
        <v>31.75</v>
      </c>
      <c r="EU29">
        <v>17.53</v>
      </c>
      <c r="EV29">
        <v>1058.0899999999999</v>
      </c>
      <c r="EW29">
        <v>115.26</v>
      </c>
      <c r="EX29">
        <v>1.65</v>
      </c>
      <c r="EY29">
        <v>0</v>
      </c>
      <c r="FQ29">
        <v>0</v>
      </c>
      <c r="FR29">
        <f>ROUND(IF(AND(BH29=3,BI29=3),P29,0),0)</f>
        <v>0</v>
      </c>
      <c r="FS29">
        <v>0</v>
      </c>
      <c r="FX29">
        <v>105</v>
      </c>
      <c r="FY29">
        <v>55</v>
      </c>
      <c r="GA29" t="s">
        <v>3</v>
      </c>
      <c r="GD29">
        <v>1</v>
      </c>
      <c r="GF29">
        <v>-1584784633</v>
      </c>
      <c r="GG29">
        <v>2</v>
      </c>
      <c r="GH29">
        <v>1</v>
      </c>
      <c r="GI29">
        <v>4</v>
      </c>
      <c r="GJ29">
        <v>0</v>
      </c>
      <c r="GK29">
        <v>0</v>
      </c>
      <c r="GL29">
        <f>ROUND(IF(AND(BH29=3,BI29=3,FS29&lt;&gt;0),P29,0),0)</f>
        <v>0</v>
      </c>
      <c r="GM29">
        <f>ROUND(O29+X29+Y29,0)+GX29</f>
        <v>30218</v>
      </c>
      <c r="GN29">
        <f>IF(OR(BI29=0,BI29=1),ROUND(O29+X29+Y29,0),0)</f>
        <v>30218</v>
      </c>
      <c r="GO29">
        <f>IF(BI29=2,ROUND(O29+X29+Y29,0),0)</f>
        <v>0</v>
      </c>
      <c r="GP29">
        <f>IF(BI29=4,ROUND(O29+X29+Y29,0)+GX29,0)</f>
        <v>0</v>
      </c>
      <c r="GR29">
        <v>0</v>
      </c>
      <c r="GS29">
        <v>3</v>
      </c>
      <c r="GT29">
        <v>0</v>
      </c>
      <c r="GU29" t="s">
        <v>3</v>
      </c>
      <c r="GV29">
        <f>ROUND((GT29),2)</f>
        <v>0</v>
      </c>
      <c r="GW29">
        <v>1</v>
      </c>
      <c r="GX29">
        <f>ROUND(HC29*I29,0)</f>
        <v>0</v>
      </c>
      <c r="HA29">
        <v>0</v>
      </c>
      <c r="HB29">
        <v>0</v>
      </c>
      <c r="HC29">
        <f>GV29*GW29</f>
        <v>0</v>
      </c>
      <c r="HE29" t="s">
        <v>3</v>
      </c>
      <c r="HF29" t="s">
        <v>3</v>
      </c>
      <c r="HM29" t="s">
        <v>3</v>
      </c>
      <c r="HN29" t="s">
        <v>35</v>
      </c>
      <c r="HO29" t="s">
        <v>36</v>
      </c>
      <c r="HP29" t="s">
        <v>33</v>
      </c>
      <c r="HQ29" t="s">
        <v>33</v>
      </c>
      <c r="IK29">
        <v>0</v>
      </c>
    </row>
    <row r="30" spans="1:245" x14ac:dyDescent="0.25">
      <c r="A30">
        <v>17</v>
      </c>
      <c r="B30">
        <v>1</v>
      </c>
      <c r="C30">
        <f>ROW(SmtRes!A26)</f>
        <v>26</v>
      </c>
      <c r="D30">
        <f>ROW(EtalonRes!A30)</f>
        <v>30</v>
      </c>
      <c r="E30" t="s">
        <v>37</v>
      </c>
      <c r="F30" t="s">
        <v>38</v>
      </c>
      <c r="G30" t="s">
        <v>39</v>
      </c>
      <c r="H30" t="s">
        <v>18</v>
      </c>
      <c r="I30">
        <f>ROUND(17/100,9)</f>
        <v>0.17</v>
      </c>
      <c r="J30">
        <v>0</v>
      </c>
      <c r="K30">
        <f>ROUND(17/100,9)</f>
        <v>0.17</v>
      </c>
      <c r="O30">
        <f>ROUND(CP30,0)</f>
        <v>9780</v>
      </c>
      <c r="P30">
        <f>ROUND(CQ30*I30,0)</f>
        <v>0</v>
      </c>
      <c r="Q30">
        <f>ROUND(CR30*I30,0)</f>
        <v>368</v>
      </c>
      <c r="R30">
        <f>ROUND(CS30*I30,0)</f>
        <v>33</v>
      </c>
      <c r="S30">
        <f>ROUND(CT30*I30,0)</f>
        <v>9412</v>
      </c>
      <c r="T30">
        <f>ROUND(CU30*I30,0)</f>
        <v>0</v>
      </c>
      <c r="U30">
        <f>CV30*I30</f>
        <v>31.77657</v>
      </c>
      <c r="V30">
        <f>CW30*I30</f>
        <v>8.2875000000000018E-2</v>
      </c>
      <c r="W30">
        <f>ROUND(CX30*I30,0)</f>
        <v>0</v>
      </c>
      <c r="X30">
        <f t="shared" si="21"/>
        <v>9917</v>
      </c>
      <c r="Y30">
        <f t="shared" si="21"/>
        <v>5195</v>
      </c>
      <c r="AA30">
        <v>46567972</v>
      </c>
      <c r="AB30">
        <f>ROUND((AC30+AD30+AF30),2)</f>
        <v>1944.34</v>
      </c>
      <c r="AC30">
        <f>ROUND(((ES30*0)),2)</f>
        <v>0</v>
      </c>
      <c r="AD30">
        <f>ROUND(((((ET30*1.25))-((EU30*1.25)))+AE30),2)</f>
        <v>187.29</v>
      </c>
      <c r="AE30">
        <f>ROUND(((EU30*1.25)),2)</f>
        <v>6.25</v>
      </c>
      <c r="AF30">
        <f>ROUND(((EV30*1.15*1.5)),2)</f>
        <v>1757.05</v>
      </c>
      <c r="AG30">
        <f>ROUND((AP30),2)</f>
        <v>0</v>
      </c>
      <c r="AH30">
        <f>((EW30*1.15*1.5))</f>
        <v>186.92099999999999</v>
      </c>
      <c r="AI30">
        <f>((EX30*1.25))</f>
        <v>0.48750000000000004</v>
      </c>
      <c r="AJ30">
        <f>(AS30)</f>
        <v>0</v>
      </c>
      <c r="AK30">
        <v>29417.11</v>
      </c>
      <c r="AL30">
        <v>28248.7</v>
      </c>
      <c r="AM30">
        <v>149.83000000000001</v>
      </c>
      <c r="AN30">
        <v>5</v>
      </c>
      <c r="AO30">
        <v>1018.58</v>
      </c>
      <c r="AP30">
        <v>0</v>
      </c>
      <c r="AQ30">
        <v>108.36</v>
      </c>
      <c r="AR30">
        <v>0.39</v>
      </c>
      <c r="AS30">
        <v>0</v>
      </c>
      <c r="AT30">
        <v>105</v>
      </c>
      <c r="AU30">
        <v>55</v>
      </c>
      <c r="AV30">
        <v>1</v>
      </c>
      <c r="AW30">
        <v>1</v>
      </c>
      <c r="AZ30">
        <v>1</v>
      </c>
      <c r="BA30">
        <v>31.51</v>
      </c>
      <c r="BB30">
        <v>11.55</v>
      </c>
      <c r="BC30">
        <v>8.82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40</v>
      </c>
      <c r="BM30">
        <v>15001</v>
      </c>
      <c r="BN30">
        <v>0</v>
      </c>
      <c r="BO30" t="s">
        <v>3</v>
      </c>
      <c r="BP30">
        <v>0</v>
      </c>
      <c r="BQ30">
        <v>2</v>
      </c>
      <c r="BR30">
        <v>0</v>
      </c>
      <c r="BS30">
        <v>31.51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105</v>
      </c>
      <c r="CA30">
        <v>55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272</v>
      </c>
      <c r="CO30">
        <v>0</v>
      </c>
      <c r="CP30">
        <f>(P30+Q30+S30)</f>
        <v>9780</v>
      </c>
      <c r="CQ30">
        <f>AC30*BC30</f>
        <v>0</v>
      </c>
      <c r="CR30">
        <f>AD30*BB30</f>
        <v>2163.1995000000002</v>
      </c>
      <c r="CS30">
        <f>AE30*BS30</f>
        <v>196.9375</v>
      </c>
      <c r="CT30">
        <f>AF30*BA30</f>
        <v>55364.645499999999</v>
      </c>
      <c r="CU30">
        <f t="shared" si="22"/>
        <v>0</v>
      </c>
      <c r="CV30">
        <f t="shared" si="22"/>
        <v>186.92099999999999</v>
      </c>
      <c r="CW30">
        <f t="shared" si="22"/>
        <v>0.48750000000000004</v>
      </c>
      <c r="CX30">
        <f t="shared" si="22"/>
        <v>0</v>
      </c>
      <c r="CY30">
        <f>(((S30+R30)*AT30)/100)</f>
        <v>9917.25</v>
      </c>
      <c r="CZ30">
        <f>(((S30+R30)*AU30)/100)</f>
        <v>5194.75</v>
      </c>
      <c r="DC30" t="s">
        <v>3</v>
      </c>
      <c r="DD30" t="s">
        <v>20</v>
      </c>
      <c r="DE30" t="s">
        <v>21</v>
      </c>
      <c r="DF30" t="s">
        <v>21</v>
      </c>
      <c r="DG30" t="s">
        <v>22</v>
      </c>
      <c r="DH30" t="s">
        <v>3</v>
      </c>
      <c r="DI30" t="s">
        <v>22</v>
      </c>
      <c r="DJ30" t="s">
        <v>21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1005</v>
      </c>
      <c r="DV30" t="s">
        <v>18</v>
      </c>
      <c r="DW30" t="s">
        <v>18</v>
      </c>
      <c r="DX30">
        <v>100</v>
      </c>
      <c r="DZ30" t="s">
        <v>3</v>
      </c>
      <c r="EA30" t="s">
        <v>3</v>
      </c>
      <c r="EB30" t="s">
        <v>3</v>
      </c>
      <c r="EC30" t="s">
        <v>3</v>
      </c>
      <c r="EE30">
        <v>44174042</v>
      </c>
      <c r="EF30">
        <v>2</v>
      </c>
      <c r="EG30" t="s">
        <v>23</v>
      </c>
      <c r="EH30">
        <v>0</v>
      </c>
      <c r="EI30" t="s">
        <v>3</v>
      </c>
      <c r="EJ30">
        <v>1</v>
      </c>
      <c r="EK30">
        <v>15001</v>
      </c>
      <c r="EL30" t="s">
        <v>33</v>
      </c>
      <c r="EM30" t="s">
        <v>34</v>
      </c>
      <c r="EO30" t="s">
        <v>26</v>
      </c>
      <c r="EQ30">
        <v>0</v>
      </c>
      <c r="ER30">
        <v>29417.11</v>
      </c>
      <c r="ES30">
        <v>28248.7</v>
      </c>
      <c r="ET30">
        <v>149.83000000000001</v>
      </c>
      <c r="EU30">
        <v>5</v>
      </c>
      <c r="EV30">
        <v>1018.58</v>
      </c>
      <c r="EW30">
        <v>108.36</v>
      </c>
      <c r="EX30">
        <v>0.39</v>
      </c>
      <c r="EY30">
        <v>0</v>
      </c>
      <c r="FQ30">
        <v>0</v>
      </c>
      <c r="FR30">
        <f>ROUND(IF(AND(BH30=3,BI30=3),P30,0),0)</f>
        <v>0</v>
      </c>
      <c r="FS30">
        <v>0</v>
      </c>
      <c r="FX30">
        <v>105</v>
      </c>
      <c r="FY30">
        <v>55</v>
      </c>
      <c r="GA30" t="s">
        <v>3</v>
      </c>
      <c r="GD30">
        <v>1</v>
      </c>
      <c r="GF30">
        <v>-283715197</v>
      </c>
      <c r="GG30">
        <v>2</v>
      </c>
      <c r="GH30">
        <v>1</v>
      </c>
      <c r="GI30">
        <v>4</v>
      </c>
      <c r="GJ30">
        <v>0</v>
      </c>
      <c r="GK30">
        <v>0</v>
      </c>
      <c r="GL30">
        <f>ROUND(IF(AND(BH30=3,BI30=3,FS30&lt;&gt;0),P30,0),0)</f>
        <v>0</v>
      </c>
      <c r="GM30">
        <f>ROUND(O30+X30+Y30,0)+GX30</f>
        <v>24892</v>
      </c>
      <c r="GN30">
        <f>IF(OR(BI30=0,BI30=1),ROUND(O30+X30+Y30,0),0)</f>
        <v>24892</v>
      </c>
      <c r="GO30">
        <f>IF(BI30=2,ROUND(O30+X30+Y30,0),0)</f>
        <v>0</v>
      </c>
      <c r="GP30">
        <f>IF(BI30=4,ROUND(O30+X30+Y30,0)+GX30,0)</f>
        <v>0</v>
      </c>
      <c r="GR30">
        <v>0</v>
      </c>
      <c r="GS30">
        <v>3</v>
      </c>
      <c r="GT30">
        <v>0</v>
      </c>
      <c r="GU30" t="s">
        <v>3</v>
      </c>
      <c r="GV30">
        <f>ROUND((GT30),2)</f>
        <v>0</v>
      </c>
      <c r="GW30">
        <v>1</v>
      </c>
      <c r="GX30">
        <f>ROUND(HC30*I30,0)</f>
        <v>0</v>
      </c>
      <c r="HA30">
        <v>0</v>
      </c>
      <c r="HB30">
        <v>0</v>
      </c>
      <c r="HC30">
        <f>GV30*GW30</f>
        <v>0</v>
      </c>
      <c r="HE30" t="s">
        <v>3</v>
      </c>
      <c r="HF30" t="s">
        <v>3</v>
      </c>
      <c r="HM30" t="s">
        <v>3</v>
      </c>
      <c r="HN30" t="s">
        <v>35</v>
      </c>
      <c r="HO30" t="s">
        <v>36</v>
      </c>
      <c r="HP30" t="s">
        <v>33</v>
      </c>
      <c r="HQ30" t="s">
        <v>33</v>
      </c>
      <c r="IK30">
        <v>0</v>
      </c>
    </row>
    <row r="31" spans="1:245" x14ac:dyDescent="0.25">
      <c r="A31">
        <v>17</v>
      </c>
      <c r="B31">
        <v>1</v>
      </c>
      <c r="C31">
        <f>ROW(SmtRes!A32)</f>
        <v>32</v>
      </c>
      <c r="D31">
        <f>ROW(EtalonRes!A38)</f>
        <v>38</v>
      </c>
      <c r="E31" t="s">
        <v>41</v>
      </c>
      <c r="F31" t="s">
        <v>42</v>
      </c>
      <c r="G31" t="s">
        <v>43</v>
      </c>
      <c r="H31" t="s">
        <v>18</v>
      </c>
      <c r="I31">
        <f>ROUND(9/100,9)</f>
        <v>0.09</v>
      </c>
      <c r="J31">
        <v>0</v>
      </c>
      <c r="K31">
        <f>ROUND(9/100,9)</f>
        <v>0.09</v>
      </c>
      <c r="O31">
        <f>ROUND(CP31,0)</f>
        <v>1830</v>
      </c>
      <c r="P31">
        <f>ROUND(CQ31*I31,0)</f>
        <v>0</v>
      </c>
      <c r="Q31">
        <f>ROUND(CR31*I31,0)</f>
        <v>22</v>
      </c>
      <c r="R31">
        <f>ROUND(CS31*I31,0)</f>
        <v>36</v>
      </c>
      <c r="S31">
        <f>ROUND(CT31*I31,0)</f>
        <v>1808</v>
      </c>
      <c r="T31">
        <f>ROUND(CU31*I31,0)</f>
        <v>0</v>
      </c>
      <c r="U31">
        <f>CV31*I31</f>
        <v>6.7254300000000002</v>
      </c>
      <c r="V31">
        <f>CW31*I31</f>
        <v>0.10462500000000001</v>
      </c>
      <c r="W31">
        <f>ROUND(CX31*I31,0)</f>
        <v>0</v>
      </c>
      <c r="X31">
        <f t="shared" si="21"/>
        <v>1936</v>
      </c>
      <c r="Y31">
        <f t="shared" si="21"/>
        <v>1014</v>
      </c>
      <c r="AA31">
        <v>46567972</v>
      </c>
      <c r="AB31">
        <f>ROUND((AC31+AD31+AF31),2)</f>
        <v>658.71</v>
      </c>
      <c r="AC31">
        <f>ROUND(((ES31*0)),2)</f>
        <v>0</v>
      </c>
      <c r="AD31">
        <f>ROUND(((((ET31*1.25))-((EU31*1.25)))+AE31),2)</f>
        <v>21.29</v>
      </c>
      <c r="AE31">
        <f>ROUND(((EU31*1.25)),2)</f>
        <v>12.6</v>
      </c>
      <c r="AF31">
        <f>ROUND(((EV31*1.15*2)),2)</f>
        <v>637.41999999999996</v>
      </c>
      <c r="AG31">
        <f>ROUND((AP31),2)</f>
        <v>0</v>
      </c>
      <c r="AH31">
        <f>((EW31*1.15*2))</f>
        <v>74.727000000000004</v>
      </c>
      <c r="AI31">
        <f>((EX31*1.25))</f>
        <v>1.1625000000000001</v>
      </c>
      <c r="AJ31">
        <f>(AS31)</f>
        <v>0</v>
      </c>
      <c r="AK31">
        <v>295.41000000000003</v>
      </c>
      <c r="AL31">
        <v>1.24</v>
      </c>
      <c r="AM31">
        <v>17.03</v>
      </c>
      <c r="AN31">
        <v>10.08</v>
      </c>
      <c r="AO31">
        <v>277.14</v>
      </c>
      <c r="AP31">
        <v>0</v>
      </c>
      <c r="AQ31">
        <v>32.49</v>
      </c>
      <c r="AR31">
        <v>0.93</v>
      </c>
      <c r="AS31">
        <v>0</v>
      </c>
      <c r="AT31">
        <v>105</v>
      </c>
      <c r="AU31">
        <v>55</v>
      </c>
      <c r="AV31">
        <v>1</v>
      </c>
      <c r="AW31">
        <v>1</v>
      </c>
      <c r="AZ31">
        <v>1</v>
      </c>
      <c r="BA31">
        <v>31.51</v>
      </c>
      <c r="BB31">
        <v>11.55</v>
      </c>
      <c r="BC31">
        <v>8.82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1</v>
      </c>
      <c r="BJ31" t="s">
        <v>44</v>
      </c>
      <c r="BM31">
        <v>15001</v>
      </c>
      <c r="BN31">
        <v>0</v>
      </c>
      <c r="BO31" t="s">
        <v>3</v>
      </c>
      <c r="BP31">
        <v>0</v>
      </c>
      <c r="BQ31">
        <v>2</v>
      </c>
      <c r="BR31">
        <v>0</v>
      </c>
      <c r="BS31">
        <v>31.51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105</v>
      </c>
      <c r="CA31">
        <v>55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272</v>
      </c>
      <c r="CO31">
        <v>0</v>
      </c>
      <c r="CP31">
        <f>(P31+Q31+S31)</f>
        <v>1830</v>
      </c>
      <c r="CQ31">
        <f>AC31*BC31</f>
        <v>0</v>
      </c>
      <c r="CR31">
        <f>AD31*BB31</f>
        <v>245.89950000000002</v>
      </c>
      <c r="CS31">
        <f>AE31*BS31</f>
        <v>397.02600000000001</v>
      </c>
      <c r="CT31">
        <f>AF31*BA31</f>
        <v>20085.104199999998</v>
      </c>
      <c r="CU31">
        <f t="shared" si="22"/>
        <v>0</v>
      </c>
      <c r="CV31">
        <f t="shared" si="22"/>
        <v>74.727000000000004</v>
      </c>
      <c r="CW31">
        <f t="shared" si="22"/>
        <v>1.1625000000000001</v>
      </c>
      <c r="CX31">
        <f t="shared" si="22"/>
        <v>0</v>
      </c>
      <c r="CY31">
        <f>(((S31+R31)*AT31)/100)</f>
        <v>1936.2</v>
      </c>
      <c r="CZ31">
        <f>(((S31+R31)*AU31)/100)</f>
        <v>1014.2</v>
      </c>
      <c r="DC31" t="s">
        <v>3</v>
      </c>
      <c r="DD31" t="s">
        <v>20</v>
      </c>
      <c r="DE31" t="s">
        <v>21</v>
      </c>
      <c r="DF31" t="s">
        <v>21</v>
      </c>
      <c r="DG31" t="s">
        <v>45</v>
      </c>
      <c r="DH31" t="s">
        <v>3</v>
      </c>
      <c r="DI31" t="s">
        <v>45</v>
      </c>
      <c r="DJ31" t="s">
        <v>21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1005</v>
      </c>
      <c r="DV31" t="s">
        <v>18</v>
      </c>
      <c r="DW31" t="s">
        <v>18</v>
      </c>
      <c r="DX31">
        <v>100</v>
      </c>
      <c r="DZ31" t="s">
        <v>3</v>
      </c>
      <c r="EA31" t="s">
        <v>3</v>
      </c>
      <c r="EB31" t="s">
        <v>3</v>
      </c>
      <c r="EC31" t="s">
        <v>3</v>
      </c>
      <c r="EE31">
        <v>44174042</v>
      </c>
      <c r="EF31">
        <v>2</v>
      </c>
      <c r="EG31" t="s">
        <v>23</v>
      </c>
      <c r="EH31">
        <v>0</v>
      </c>
      <c r="EI31" t="s">
        <v>3</v>
      </c>
      <c r="EJ31">
        <v>1</v>
      </c>
      <c r="EK31">
        <v>15001</v>
      </c>
      <c r="EL31" t="s">
        <v>33</v>
      </c>
      <c r="EM31" t="s">
        <v>34</v>
      </c>
      <c r="EO31" t="s">
        <v>26</v>
      </c>
      <c r="EQ31">
        <v>0</v>
      </c>
      <c r="ER31">
        <v>295.41000000000003</v>
      </c>
      <c r="ES31">
        <v>1.24</v>
      </c>
      <c r="ET31">
        <v>17.03</v>
      </c>
      <c r="EU31">
        <v>10.08</v>
      </c>
      <c r="EV31">
        <v>277.14</v>
      </c>
      <c r="EW31">
        <v>32.49</v>
      </c>
      <c r="EX31">
        <v>0.93</v>
      </c>
      <c r="EY31">
        <v>0</v>
      </c>
      <c r="FQ31">
        <v>0</v>
      </c>
      <c r="FR31">
        <f>ROUND(IF(AND(BH31=3,BI31=3),P31,0),0)</f>
        <v>0</v>
      </c>
      <c r="FS31">
        <v>0</v>
      </c>
      <c r="FX31">
        <v>105</v>
      </c>
      <c r="FY31">
        <v>55</v>
      </c>
      <c r="GA31" t="s">
        <v>3</v>
      </c>
      <c r="GD31">
        <v>1</v>
      </c>
      <c r="GF31">
        <v>961685245</v>
      </c>
      <c r="GG31">
        <v>2</v>
      </c>
      <c r="GH31">
        <v>1</v>
      </c>
      <c r="GI31">
        <v>4</v>
      </c>
      <c r="GJ31">
        <v>0</v>
      </c>
      <c r="GK31">
        <v>0</v>
      </c>
      <c r="GL31">
        <f>ROUND(IF(AND(BH31=3,BI31=3,FS31&lt;&gt;0),P31,0),0)</f>
        <v>0</v>
      </c>
      <c r="GM31">
        <f>ROUND(O31+X31+Y31,0)+GX31</f>
        <v>4780</v>
      </c>
      <c r="GN31">
        <f>IF(OR(BI31=0,BI31=1),ROUND(O31+X31+Y31,0),0)</f>
        <v>4780</v>
      </c>
      <c r="GO31">
        <f>IF(BI31=2,ROUND(O31+X31+Y31,0),0)</f>
        <v>0</v>
      </c>
      <c r="GP31">
        <f>IF(BI31=4,ROUND(O31+X31+Y31,0)+GX31,0)</f>
        <v>0</v>
      </c>
      <c r="GR31">
        <v>0</v>
      </c>
      <c r="GS31">
        <v>3</v>
      </c>
      <c r="GT31">
        <v>0</v>
      </c>
      <c r="GU31" t="s">
        <v>3</v>
      </c>
      <c r="GV31">
        <f>ROUND((GT31),2)</f>
        <v>0</v>
      </c>
      <c r="GW31">
        <v>1</v>
      </c>
      <c r="GX31">
        <f>ROUND(HC31*I31,0)</f>
        <v>0</v>
      </c>
      <c r="HA31">
        <v>0</v>
      </c>
      <c r="HB31">
        <v>0</v>
      </c>
      <c r="HC31">
        <f>GV31*GW31</f>
        <v>0</v>
      </c>
      <c r="HE31" t="s">
        <v>3</v>
      </c>
      <c r="HF31" t="s">
        <v>3</v>
      </c>
      <c r="HM31" t="s">
        <v>3</v>
      </c>
      <c r="HN31" t="s">
        <v>35</v>
      </c>
      <c r="HO31" t="s">
        <v>36</v>
      </c>
      <c r="HP31" t="s">
        <v>33</v>
      </c>
      <c r="HQ31" t="s">
        <v>33</v>
      </c>
      <c r="IK31">
        <v>0</v>
      </c>
    </row>
    <row r="32" spans="1:245" x14ac:dyDescent="0.25">
      <c r="A32">
        <v>17</v>
      </c>
      <c r="B32">
        <v>1</v>
      </c>
      <c r="C32">
        <f>ROW(SmtRes!A39)</f>
        <v>39</v>
      </c>
      <c r="D32">
        <f>ROW(EtalonRes!A46)</f>
        <v>46</v>
      </c>
      <c r="E32" t="s">
        <v>46</v>
      </c>
      <c r="F32" t="s">
        <v>47</v>
      </c>
      <c r="G32" t="s">
        <v>48</v>
      </c>
      <c r="H32" t="s">
        <v>18</v>
      </c>
      <c r="I32">
        <f>ROUND(9/100,9)</f>
        <v>0.09</v>
      </c>
      <c r="J32">
        <v>0</v>
      </c>
      <c r="K32">
        <f>ROUND(9/100,9)</f>
        <v>0.09</v>
      </c>
      <c r="O32">
        <f>ROUND(CP32,0)</f>
        <v>2296</v>
      </c>
      <c r="P32">
        <f>ROUND(CQ32*I32,0)</f>
        <v>0</v>
      </c>
      <c r="Q32">
        <f>ROUND(CR32*I32,0)</f>
        <v>14</v>
      </c>
      <c r="R32">
        <f>ROUND(CS32*I32,0)</f>
        <v>7</v>
      </c>
      <c r="S32">
        <f>ROUND(CT32*I32,0)</f>
        <v>2282</v>
      </c>
      <c r="T32">
        <f>ROUND(CU32*I32,0)</f>
        <v>0</v>
      </c>
      <c r="U32">
        <f>CV32*I32</f>
        <v>8.0729999999999986</v>
      </c>
      <c r="V32">
        <f>CW32*I32</f>
        <v>1.9125E-2</v>
      </c>
      <c r="W32">
        <f>ROUND(CX32*I32,0)</f>
        <v>0</v>
      </c>
      <c r="X32">
        <f t="shared" si="21"/>
        <v>2403</v>
      </c>
      <c r="Y32">
        <f t="shared" si="21"/>
        <v>1259</v>
      </c>
      <c r="AA32">
        <v>46567972</v>
      </c>
      <c r="AB32">
        <f>ROUND((AC32+AD32+AF32),2)</f>
        <v>817.72</v>
      </c>
      <c r="AC32">
        <f>ROUND(((ES32*0)),2)</f>
        <v>0</v>
      </c>
      <c r="AD32">
        <f>ROUND(((((ET32*1.25))-((EU32*1.25)))+AE32),2)</f>
        <v>13.11</v>
      </c>
      <c r="AE32">
        <f>ROUND(((EU32*1.25)),2)</f>
        <v>2.5099999999999998</v>
      </c>
      <c r="AF32">
        <f>ROUND(((EV32*1.15*2)),2)</f>
        <v>804.61</v>
      </c>
      <c r="AG32">
        <f>ROUND((AP32),2)</f>
        <v>0</v>
      </c>
      <c r="AH32">
        <f>((EW32*1.15*2))</f>
        <v>89.699999999999989</v>
      </c>
      <c r="AI32">
        <f>((EX32*1.25))</f>
        <v>0.21250000000000002</v>
      </c>
      <c r="AJ32">
        <f>(AS32)</f>
        <v>0</v>
      </c>
      <c r="AK32">
        <v>640.62</v>
      </c>
      <c r="AL32">
        <v>280.3</v>
      </c>
      <c r="AM32">
        <v>10.49</v>
      </c>
      <c r="AN32">
        <v>2.0099999999999998</v>
      </c>
      <c r="AO32">
        <v>349.83</v>
      </c>
      <c r="AP32">
        <v>0</v>
      </c>
      <c r="AQ32">
        <v>39</v>
      </c>
      <c r="AR32">
        <v>0.17</v>
      </c>
      <c r="AS32">
        <v>0</v>
      </c>
      <c r="AT32">
        <v>105</v>
      </c>
      <c r="AU32">
        <v>55</v>
      </c>
      <c r="AV32">
        <v>1</v>
      </c>
      <c r="AW32">
        <v>1</v>
      </c>
      <c r="AZ32">
        <v>1</v>
      </c>
      <c r="BA32">
        <v>31.51</v>
      </c>
      <c r="BB32">
        <v>11.55</v>
      </c>
      <c r="BC32">
        <v>8.82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49</v>
      </c>
      <c r="BM32">
        <v>15001</v>
      </c>
      <c r="BN32">
        <v>0</v>
      </c>
      <c r="BO32" t="s">
        <v>3</v>
      </c>
      <c r="BP32">
        <v>0</v>
      </c>
      <c r="BQ32">
        <v>2</v>
      </c>
      <c r="BR32">
        <v>0</v>
      </c>
      <c r="BS32">
        <v>31.51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105</v>
      </c>
      <c r="CA32">
        <v>55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272</v>
      </c>
      <c r="CO32">
        <v>0</v>
      </c>
      <c r="CP32">
        <f>(P32+Q32+S32)</f>
        <v>2296</v>
      </c>
      <c r="CQ32">
        <f>AC32*BC32</f>
        <v>0</v>
      </c>
      <c r="CR32">
        <f>AD32*BB32</f>
        <v>151.4205</v>
      </c>
      <c r="CS32">
        <f>AE32*BS32</f>
        <v>79.090099999999993</v>
      </c>
      <c r="CT32">
        <f>AF32*BA32</f>
        <v>25353.261100000003</v>
      </c>
      <c r="CU32">
        <f t="shared" si="22"/>
        <v>0</v>
      </c>
      <c r="CV32">
        <f t="shared" si="22"/>
        <v>89.699999999999989</v>
      </c>
      <c r="CW32">
        <f t="shared" si="22"/>
        <v>0.21250000000000002</v>
      </c>
      <c r="CX32">
        <f t="shared" si="22"/>
        <v>0</v>
      </c>
      <c r="CY32">
        <f>(((S32+R32)*AT32)/100)</f>
        <v>2403.4499999999998</v>
      </c>
      <c r="CZ32">
        <f>(((S32+R32)*AU32)/100)</f>
        <v>1258.95</v>
      </c>
      <c r="DC32" t="s">
        <v>3</v>
      </c>
      <c r="DD32" t="s">
        <v>20</v>
      </c>
      <c r="DE32" t="s">
        <v>21</v>
      </c>
      <c r="DF32" t="s">
        <v>21</v>
      </c>
      <c r="DG32" t="s">
        <v>45</v>
      </c>
      <c r="DH32" t="s">
        <v>3</v>
      </c>
      <c r="DI32" t="s">
        <v>45</v>
      </c>
      <c r="DJ32" t="s">
        <v>21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1005</v>
      </c>
      <c r="DV32" t="s">
        <v>18</v>
      </c>
      <c r="DW32" t="s">
        <v>18</v>
      </c>
      <c r="DX32">
        <v>100</v>
      </c>
      <c r="DZ32" t="s">
        <v>3</v>
      </c>
      <c r="EA32" t="s">
        <v>3</v>
      </c>
      <c r="EB32" t="s">
        <v>3</v>
      </c>
      <c r="EC32" t="s">
        <v>3</v>
      </c>
      <c r="EE32">
        <v>44174042</v>
      </c>
      <c r="EF32">
        <v>2</v>
      </c>
      <c r="EG32" t="s">
        <v>23</v>
      </c>
      <c r="EH32">
        <v>0</v>
      </c>
      <c r="EI32" t="s">
        <v>3</v>
      </c>
      <c r="EJ32">
        <v>1</v>
      </c>
      <c r="EK32">
        <v>15001</v>
      </c>
      <c r="EL32" t="s">
        <v>33</v>
      </c>
      <c r="EM32" t="s">
        <v>34</v>
      </c>
      <c r="EO32" t="s">
        <v>26</v>
      </c>
      <c r="EQ32">
        <v>0</v>
      </c>
      <c r="ER32">
        <v>640.62</v>
      </c>
      <c r="ES32">
        <v>280.3</v>
      </c>
      <c r="ET32">
        <v>10.49</v>
      </c>
      <c r="EU32">
        <v>2.0099999999999998</v>
      </c>
      <c r="EV32">
        <v>349.83</v>
      </c>
      <c r="EW32">
        <v>39</v>
      </c>
      <c r="EX32">
        <v>0.17</v>
      </c>
      <c r="EY32">
        <v>0</v>
      </c>
      <c r="FQ32">
        <v>0</v>
      </c>
      <c r="FR32">
        <f>ROUND(IF(AND(BH32=3,BI32=3),P32,0),0)</f>
        <v>0</v>
      </c>
      <c r="FS32">
        <v>0</v>
      </c>
      <c r="FX32">
        <v>105</v>
      </c>
      <c r="FY32">
        <v>55</v>
      </c>
      <c r="GA32" t="s">
        <v>3</v>
      </c>
      <c r="GD32">
        <v>1</v>
      </c>
      <c r="GF32">
        <v>229750948</v>
      </c>
      <c r="GG32">
        <v>2</v>
      </c>
      <c r="GH32">
        <v>1</v>
      </c>
      <c r="GI32">
        <v>4</v>
      </c>
      <c r="GJ32">
        <v>0</v>
      </c>
      <c r="GK32">
        <v>0</v>
      </c>
      <c r="GL32">
        <f>ROUND(IF(AND(BH32=3,BI32=3,FS32&lt;&gt;0),P32,0),0)</f>
        <v>0</v>
      </c>
      <c r="GM32">
        <f>ROUND(O32+X32+Y32,0)+GX32</f>
        <v>5958</v>
      </c>
      <c r="GN32">
        <f>IF(OR(BI32=0,BI32=1),ROUND(O32+X32+Y32,0),0)</f>
        <v>5958</v>
      </c>
      <c r="GO32">
        <f>IF(BI32=2,ROUND(O32+X32+Y32,0),0)</f>
        <v>0</v>
      </c>
      <c r="GP32">
        <f>IF(BI32=4,ROUND(O32+X32+Y32,0)+GX32,0)</f>
        <v>0</v>
      </c>
      <c r="GR32">
        <v>0</v>
      </c>
      <c r="GS32">
        <v>3</v>
      </c>
      <c r="GT32">
        <v>0</v>
      </c>
      <c r="GU32" t="s">
        <v>3</v>
      </c>
      <c r="GV32">
        <f>ROUND((GT32),2)</f>
        <v>0</v>
      </c>
      <c r="GW32">
        <v>1</v>
      </c>
      <c r="GX32">
        <f>ROUND(HC32*I32,0)</f>
        <v>0</v>
      </c>
      <c r="HA32">
        <v>0</v>
      </c>
      <c r="HB32">
        <v>0</v>
      </c>
      <c r="HC32">
        <f>GV32*GW32</f>
        <v>0</v>
      </c>
      <c r="HE32" t="s">
        <v>3</v>
      </c>
      <c r="HF32" t="s">
        <v>3</v>
      </c>
      <c r="HM32" t="s">
        <v>3</v>
      </c>
      <c r="HN32" t="s">
        <v>35</v>
      </c>
      <c r="HO32" t="s">
        <v>36</v>
      </c>
      <c r="HP32" t="s">
        <v>33</v>
      </c>
      <c r="HQ32" t="s">
        <v>33</v>
      </c>
      <c r="IK32">
        <v>0</v>
      </c>
    </row>
    <row r="34" spans="1:206" x14ac:dyDescent="0.25">
      <c r="A34" s="2">
        <v>51</v>
      </c>
      <c r="B34" s="2">
        <f>B24</f>
        <v>1</v>
      </c>
      <c r="C34" s="2">
        <f>A24</f>
        <v>4</v>
      </c>
      <c r="D34" s="2">
        <f>ROW(A24)</f>
        <v>24</v>
      </c>
      <c r="E34" s="2"/>
      <c r="F34" s="2" t="str">
        <f>IF(F24&lt;&gt;"",F24,"")</f>
        <v>Новый раздел</v>
      </c>
      <c r="G34" s="2" t="str">
        <f>IF(G24&lt;&gt;"",G24,"")</f>
        <v>Ремонт помещений в котельной: лаборатория.</v>
      </c>
      <c r="H34" s="2">
        <v>0</v>
      </c>
      <c r="I34" s="2"/>
      <c r="J34" s="2"/>
      <c r="K34" s="2"/>
      <c r="L34" s="2"/>
      <c r="M34" s="2"/>
      <c r="N34" s="2"/>
      <c r="O34" s="2">
        <f t="shared" ref="O34:T34" si="23">ROUND(AB34,0)</f>
        <v>31985</v>
      </c>
      <c r="P34" s="2">
        <f t="shared" si="23"/>
        <v>0</v>
      </c>
      <c r="Q34" s="2">
        <f t="shared" si="23"/>
        <v>722</v>
      </c>
      <c r="R34" s="2">
        <f t="shared" si="23"/>
        <v>446</v>
      </c>
      <c r="S34" s="2">
        <f t="shared" si="23"/>
        <v>31263</v>
      </c>
      <c r="T34" s="2">
        <f t="shared" si="23"/>
        <v>0</v>
      </c>
      <c r="U34" s="2">
        <f>AH34</f>
        <v>109.06795500000001</v>
      </c>
      <c r="V34" s="2">
        <f>AI34</f>
        <v>1.2378750000000001</v>
      </c>
      <c r="W34" s="2">
        <f>ROUND(AJ34,0)</f>
        <v>0</v>
      </c>
      <c r="X34" s="2">
        <f>ROUND(AK34,0)</f>
        <v>34462</v>
      </c>
      <c r="Y34" s="2">
        <f>ROUND(AL34,0)</f>
        <v>18738</v>
      </c>
      <c r="Z34" s="2"/>
      <c r="AA34" s="2"/>
      <c r="AB34" s="2">
        <f>ROUND(SUMIF(AA28:AA32,"=46567972",O28:O32),0)</f>
        <v>31985</v>
      </c>
      <c r="AC34" s="2">
        <f>ROUND(SUMIF(AA28:AA32,"=46567972",P28:P32),0)</f>
        <v>0</v>
      </c>
      <c r="AD34" s="2">
        <f>ROUND(SUMIF(AA28:AA32,"=46567972",Q28:Q32),0)</f>
        <v>722</v>
      </c>
      <c r="AE34" s="2">
        <f>ROUND(SUMIF(AA28:AA32,"=46567972",R28:R32),0)</f>
        <v>446</v>
      </c>
      <c r="AF34" s="2">
        <f>ROUND(SUMIF(AA28:AA32,"=46567972",S28:S32),0)</f>
        <v>31263</v>
      </c>
      <c r="AG34" s="2">
        <f>ROUND(SUMIF(AA28:AA32,"=46567972",T28:T32),0)</f>
        <v>0</v>
      </c>
      <c r="AH34" s="2">
        <f>SUMIF(AA28:AA32,"=46567972",U28:U32)</f>
        <v>109.06795500000001</v>
      </c>
      <c r="AI34" s="2">
        <f>SUMIF(AA28:AA32,"=46567972",V28:V32)</f>
        <v>1.2378750000000001</v>
      </c>
      <c r="AJ34" s="2">
        <f>ROUND(SUMIF(AA28:AA32,"=46567972",W28:W32),0)</f>
        <v>0</v>
      </c>
      <c r="AK34" s="2">
        <f>ROUND(SUMIF(AA28:AA32,"=46567972",X28:X32),0)</f>
        <v>34462</v>
      </c>
      <c r="AL34" s="2">
        <f>ROUND(SUMIF(AA28:AA32,"=46567972",Y28:Y32),0)</f>
        <v>18738</v>
      </c>
      <c r="AM34" s="2"/>
      <c r="AN34" s="2"/>
      <c r="AO34" s="2">
        <f t="shared" ref="AO34:BD34" si="24">ROUND(BX34,0)</f>
        <v>0</v>
      </c>
      <c r="AP34" s="2">
        <f t="shared" si="24"/>
        <v>0</v>
      </c>
      <c r="AQ34" s="2">
        <f t="shared" si="24"/>
        <v>0</v>
      </c>
      <c r="AR34" s="2">
        <f t="shared" si="24"/>
        <v>85185</v>
      </c>
      <c r="AS34" s="2">
        <f t="shared" si="24"/>
        <v>85185</v>
      </c>
      <c r="AT34" s="2">
        <f t="shared" si="24"/>
        <v>0</v>
      </c>
      <c r="AU34" s="2">
        <f t="shared" si="24"/>
        <v>0</v>
      </c>
      <c r="AV34" s="2">
        <f t="shared" si="24"/>
        <v>0</v>
      </c>
      <c r="AW34" s="2">
        <f t="shared" si="24"/>
        <v>0</v>
      </c>
      <c r="AX34" s="2">
        <f t="shared" si="24"/>
        <v>0</v>
      </c>
      <c r="AY34" s="2">
        <f t="shared" si="24"/>
        <v>0</v>
      </c>
      <c r="AZ34" s="2">
        <f t="shared" si="24"/>
        <v>0</v>
      </c>
      <c r="BA34" s="2">
        <f t="shared" si="24"/>
        <v>0</v>
      </c>
      <c r="BB34" s="2">
        <f t="shared" si="24"/>
        <v>0</v>
      </c>
      <c r="BC34" s="2">
        <f t="shared" si="24"/>
        <v>0</v>
      </c>
      <c r="BD34" s="2">
        <f t="shared" si="24"/>
        <v>0</v>
      </c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>
        <f>ROUND(SUMIF(AA28:AA32,"=46567972",FQ28:FQ32),0)</f>
        <v>0</v>
      </c>
      <c r="BY34" s="2">
        <f>ROUND(SUMIF(AA28:AA32,"=46567972",FR28:FR32),0)</f>
        <v>0</v>
      </c>
      <c r="BZ34" s="2">
        <f>ROUND(SUMIF(AA28:AA32,"=46567972",GL28:GL32),0)</f>
        <v>0</v>
      </c>
      <c r="CA34" s="2">
        <f>ROUND(SUMIF(AA28:AA32,"=46567972",GM28:GM32),0)</f>
        <v>85185</v>
      </c>
      <c r="CB34" s="2">
        <f>ROUND(SUMIF(AA28:AA32,"=46567972",GN28:GN32),0)</f>
        <v>85185</v>
      </c>
      <c r="CC34" s="2">
        <f>ROUND(SUMIF(AA28:AA32,"=46567972",GO28:GO32),0)</f>
        <v>0</v>
      </c>
      <c r="CD34" s="2">
        <f>ROUND(SUMIF(AA28:AA32,"=46567972",GP28:GP32),0)</f>
        <v>0</v>
      </c>
      <c r="CE34" s="2">
        <f>AC34-BX34</f>
        <v>0</v>
      </c>
      <c r="CF34" s="2">
        <f>AC34-BY34</f>
        <v>0</v>
      </c>
      <c r="CG34" s="2">
        <f>BX34-BZ34</f>
        <v>0</v>
      </c>
      <c r="CH34" s="2">
        <f>AC34-BX34-BY34+BZ34</f>
        <v>0</v>
      </c>
      <c r="CI34" s="2">
        <f>BY34-BZ34</f>
        <v>0</v>
      </c>
      <c r="CJ34" s="2">
        <f>ROUND(SUMIF(AA28:AA32,"=46567972",GX28:GX32),0)</f>
        <v>0</v>
      </c>
      <c r="CK34" s="2">
        <f>ROUND(SUMIF(AA28:AA32,"=46567972",GY28:GY32),0)</f>
        <v>0</v>
      </c>
      <c r="CL34" s="2">
        <f>ROUND(SUMIF(AA28:AA32,"=46567972",GZ28:GZ32),0)</f>
        <v>0</v>
      </c>
      <c r="CM34" s="2">
        <f>ROUND(SUMIF(AA28:AA32,"=46567972",HD28:HD32),0)</f>
        <v>0</v>
      </c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>
        <v>0</v>
      </c>
    </row>
    <row r="36" spans="1:206" x14ac:dyDescent="0.25">
      <c r="A36" s="4">
        <v>50</v>
      </c>
      <c r="B36" s="4">
        <v>0</v>
      </c>
      <c r="C36" s="4">
        <v>0</v>
      </c>
      <c r="D36" s="4">
        <v>1</v>
      </c>
      <c r="E36" s="4">
        <v>201</v>
      </c>
      <c r="F36" s="4">
        <f>ROUND(Source!O34,O36)</f>
        <v>31985</v>
      </c>
      <c r="G36" s="4" t="s">
        <v>50</v>
      </c>
      <c r="H36" s="4" t="s">
        <v>51</v>
      </c>
      <c r="I36" s="4"/>
      <c r="J36" s="4"/>
      <c r="K36" s="4">
        <v>201</v>
      </c>
      <c r="L36" s="4">
        <v>1</v>
      </c>
      <c r="M36" s="4">
        <v>3</v>
      </c>
      <c r="N36" s="4" t="s">
        <v>3</v>
      </c>
      <c r="O36" s="4">
        <v>0</v>
      </c>
      <c r="P36" s="4"/>
      <c r="Q36" s="4"/>
      <c r="R36" s="4"/>
      <c r="S36" s="4"/>
      <c r="T36" s="4"/>
      <c r="U36" s="4"/>
      <c r="V36" s="4"/>
      <c r="W36" s="4">
        <v>31985</v>
      </c>
      <c r="X36" s="4">
        <v>1</v>
      </c>
      <c r="Y36" s="4">
        <v>31985</v>
      </c>
      <c r="Z36" s="4"/>
      <c r="AA36" s="4"/>
      <c r="AB36" s="4"/>
    </row>
    <row r="37" spans="1:206" x14ac:dyDescent="0.25">
      <c r="A37" s="4">
        <v>50</v>
      </c>
      <c r="B37" s="4">
        <v>0</v>
      </c>
      <c r="C37" s="4">
        <v>0</v>
      </c>
      <c r="D37" s="4">
        <v>1</v>
      </c>
      <c r="E37" s="4">
        <v>202</v>
      </c>
      <c r="F37" s="4">
        <f>ROUND(Source!P34,O37)</f>
        <v>0</v>
      </c>
      <c r="G37" s="4" t="s">
        <v>52</v>
      </c>
      <c r="H37" s="4" t="s">
        <v>53</v>
      </c>
      <c r="I37" s="4"/>
      <c r="J37" s="4"/>
      <c r="K37" s="4">
        <v>202</v>
      </c>
      <c r="L37" s="4">
        <v>2</v>
      </c>
      <c r="M37" s="4">
        <v>3</v>
      </c>
      <c r="N37" s="4" t="s">
        <v>3</v>
      </c>
      <c r="O37" s="4">
        <v>0</v>
      </c>
      <c r="P37" s="4"/>
      <c r="Q37" s="4"/>
      <c r="R37" s="4"/>
      <c r="S37" s="4"/>
      <c r="T37" s="4"/>
      <c r="U37" s="4"/>
      <c r="V37" s="4"/>
      <c r="W37" s="4">
        <v>0</v>
      </c>
      <c r="X37" s="4">
        <v>1</v>
      </c>
      <c r="Y37" s="4">
        <v>0</v>
      </c>
      <c r="Z37" s="4"/>
      <c r="AA37" s="4"/>
      <c r="AB37" s="4"/>
    </row>
    <row r="38" spans="1:206" x14ac:dyDescent="0.25">
      <c r="A38" s="4">
        <v>50</v>
      </c>
      <c r="B38" s="4">
        <v>0</v>
      </c>
      <c r="C38" s="4">
        <v>0</v>
      </c>
      <c r="D38" s="4">
        <v>1</v>
      </c>
      <c r="E38" s="4">
        <v>222</v>
      </c>
      <c r="F38" s="4">
        <f>ROUND(Source!AO34,O38)</f>
        <v>0</v>
      </c>
      <c r="G38" s="4" t="s">
        <v>54</v>
      </c>
      <c r="H38" s="4" t="s">
        <v>55</v>
      </c>
      <c r="I38" s="4"/>
      <c r="J38" s="4"/>
      <c r="K38" s="4">
        <v>222</v>
      </c>
      <c r="L38" s="4">
        <v>3</v>
      </c>
      <c r="M38" s="4">
        <v>3</v>
      </c>
      <c r="N38" s="4" t="s">
        <v>3</v>
      </c>
      <c r="O38" s="4">
        <v>0</v>
      </c>
      <c r="P38" s="4"/>
      <c r="Q38" s="4"/>
      <c r="R38" s="4"/>
      <c r="S38" s="4"/>
      <c r="T38" s="4"/>
      <c r="U38" s="4"/>
      <c r="V38" s="4"/>
      <c r="W38" s="4">
        <v>0</v>
      </c>
      <c r="X38" s="4">
        <v>1</v>
      </c>
      <c r="Y38" s="4">
        <v>0</v>
      </c>
      <c r="Z38" s="4"/>
      <c r="AA38" s="4"/>
      <c r="AB38" s="4"/>
    </row>
    <row r="39" spans="1:206" x14ac:dyDescent="0.25">
      <c r="A39" s="4">
        <v>50</v>
      </c>
      <c r="B39" s="4">
        <v>0</v>
      </c>
      <c r="C39" s="4">
        <v>0</v>
      </c>
      <c r="D39" s="4">
        <v>1</v>
      </c>
      <c r="E39" s="4">
        <v>225</v>
      </c>
      <c r="F39" s="4">
        <f>ROUND(Source!AV34,O39)</f>
        <v>0</v>
      </c>
      <c r="G39" s="4" t="s">
        <v>56</v>
      </c>
      <c r="H39" s="4" t="s">
        <v>57</v>
      </c>
      <c r="I39" s="4"/>
      <c r="J39" s="4"/>
      <c r="K39" s="4">
        <v>225</v>
      </c>
      <c r="L39" s="4">
        <v>4</v>
      </c>
      <c r="M39" s="4">
        <v>3</v>
      </c>
      <c r="N39" s="4" t="s">
        <v>3</v>
      </c>
      <c r="O39" s="4">
        <v>0</v>
      </c>
      <c r="P39" s="4"/>
      <c r="Q39" s="4"/>
      <c r="R39" s="4"/>
      <c r="S39" s="4"/>
      <c r="T39" s="4"/>
      <c r="U39" s="4"/>
      <c r="V39" s="4"/>
      <c r="W39" s="4">
        <v>0</v>
      </c>
      <c r="X39" s="4">
        <v>1</v>
      </c>
      <c r="Y39" s="4">
        <v>0</v>
      </c>
      <c r="Z39" s="4"/>
      <c r="AA39" s="4"/>
      <c r="AB39" s="4"/>
    </row>
    <row r="40" spans="1:206" x14ac:dyDescent="0.25">
      <c r="A40" s="4">
        <v>50</v>
      </c>
      <c r="B40" s="4">
        <v>0</v>
      </c>
      <c r="C40" s="4">
        <v>0</v>
      </c>
      <c r="D40" s="4">
        <v>1</v>
      </c>
      <c r="E40" s="4">
        <v>226</v>
      </c>
      <c r="F40" s="4">
        <f>ROUND(Source!AW34,O40)</f>
        <v>0</v>
      </c>
      <c r="G40" s="4" t="s">
        <v>58</v>
      </c>
      <c r="H40" s="4" t="s">
        <v>59</v>
      </c>
      <c r="I40" s="4"/>
      <c r="J40" s="4"/>
      <c r="K40" s="4">
        <v>226</v>
      </c>
      <c r="L40" s="4">
        <v>5</v>
      </c>
      <c r="M40" s="4">
        <v>3</v>
      </c>
      <c r="N40" s="4" t="s">
        <v>3</v>
      </c>
      <c r="O40" s="4">
        <v>0</v>
      </c>
      <c r="P40" s="4"/>
      <c r="Q40" s="4"/>
      <c r="R40" s="4"/>
      <c r="S40" s="4"/>
      <c r="T40" s="4"/>
      <c r="U40" s="4"/>
      <c r="V40" s="4"/>
      <c r="W40" s="4">
        <v>0</v>
      </c>
      <c r="X40" s="4">
        <v>1</v>
      </c>
      <c r="Y40" s="4">
        <v>0</v>
      </c>
      <c r="Z40" s="4"/>
      <c r="AA40" s="4"/>
      <c r="AB40" s="4"/>
    </row>
    <row r="41" spans="1:206" x14ac:dyDescent="0.25">
      <c r="A41" s="4">
        <v>50</v>
      </c>
      <c r="B41" s="4">
        <v>0</v>
      </c>
      <c r="C41" s="4">
        <v>0</v>
      </c>
      <c r="D41" s="4">
        <v>1</v>
      </c>
      <c r="E41" s="4">
        <v>227</v>
      </c>
      <c r="F41" s="4">
        <f>ROUND(Source!AX34,O41)</f>
        <v>0</v>
      </c>
      <c r="G41" s="4" t="s">
        <v>60</v>
      </c>
      <c r="H41" s="4" t="s">
        <v>61</v>
      </c>
      <c r="I41" s="4"/>
      <c r="J41" s="4"/>
      <c r="K41" s="4">
        <v>227</v>
      </c>
      <c r="L41" s="4">
        <v>6</v>
      </c>
      <c r="M41" s="4">
        <v>3</v>
      </c>
      <c r="N41" s="4" t="s">
        <v>3</v>
      </c>
      <c r="O41" s="4">
        <v>0</v>
      </c>
      <c r="P41" s="4"/>
      <c r="Q41" s="4"/>
      <c r="R41" s="4"/>
      <c r="S41" s="4"/>
      <c r="T41" s="4"/>
      <c r="U41" s="4"/>
      <c r="V41" s="4"/>
      <c r="W41" s="4">
        <v>0</v>
      </c>
      <c r="X41" s="4">
        <v>1</v>
      </c>
      <c r="Y41" s="4">
        <v>0</v>
      </c>
      <c r="Z41" s="4"/>
      <c r="AA41" s="4"/>
      <c r="AB41" s="4"/>
    </row>
    <row r="42" spans="1:206" x14ac:dyDescent="0.25">
      <c r="A42" s="4">
        <v>50</v>
      </c>
      <c r="B42" s="4">
        <v>0</v>
      </c>
      <c r="C42" s="4">
        <v>0</v>
      </c>
      <c r="D42" s="4">
        <v>1</v>
      </c>
      <c r="E42" s="4">
        <v>228</v>
      </c>
      <c r="F42" s="4">
        <f>ROUND(Source!AY34,O42)</f>
        <v>0</v>
      </c>
      <c r="G42" s="4" t="s">
        <v>62</v>
      </c>
      <c r="H42" s="4" t="s">
        <v>63</v>
      </c>
      <c r="I42" s="4"/>
      <c r="J42" s="4"/>
      <c r="K42" s="4">
        <v>228</v>
      </c>
      <c r="L42" s="4">
        <v>7</v>
      </c>
      <c r="M42" s="4">
        <v>3</v>
      </c>
      <c r="N42" s="4" t="s">
        <v>3</v>
      </c>
      <c r="O42" s="4">
        <v>0</v>
      </c>
      <c r="P42" s="4"/>
      <c r="Q42" s="4"/>
      <c r="R42" s="4"/>
      <c r="S42" s="4"/>
      <c r="T42" s="4"/>
      <c r="U42" s="4"/>
      <c r="V42" s="4"/>
      <c r="W42" s="4">
        <v>0</v>
      </c>
      <c r="X42" s="4">
        <v>1</v>
      </c>
      <c r="Y42" s="4">
        <v>0</v>
      </c>
      <c r="Z42" s="4"/>
      <c r="AA42" s="4"/>
      <c r="AB42" s="4"/>
    </row>
    <row r="43" spans="1:206" x14ac:dyDescent="0.25">
      <c r="A43" s="4">
        <v>50</v>
      </c>
      <c r="B43" s="4">
        <v>0</v>
      </c>
      <c r="C43" s="4">
        <v>0</v>
      </c>
      <c r="D43" s="4">
        <v>1</v>
      </c>
      <c r="E43" s="4">
        <v>216</v>
      </c>
      <c r="F43" s="4">
        <f>ROUND(Source!AP34,O43)</f>
        <v>0</v>
      </c>
      <c r="G43" s="4" t="s">
        <v>64</v>
      </c>
      <c r="H43" s="4" t="s">
        <v>65</v>
      </c>
      <c r="I43" s="4"/>
      <c r="J43" s="4"/>
      <c r="K43" s="4">
        <v>216</v>
      </c>
      <c r="L43" s="4">
        <v>8</v>
      </c>
      <c r="M43" s="4">
        <v>3</v>
      </c>
      <c r="N43" s="4" t="s">
        <v>3</v>
      </c>
      <c r="O43" s="4">
        <v>0</v>
      </c>
      <c r="P43" s="4"/>
      <c r="Q43" s="4"/>
      <c r="R43" s="4"/>
      <c r="S43" s="4"/>
      <c r="T43" s="4"/>
      <c r="U43" s="4"/>
      <c r="V43" s="4"/>
      <c r="W43" s="4">
        <v>0</v>
      </c>
      <c r="X43" s="4">
        <v>1</v>
      </c>
      <c r="Y43" s="4">
        <v>0</v>
      </c>
      <c r="Z43" s="4"/>
      <c r="AA43" s="4"/>
      <c r="AB43" s="4"/>
    </row>
    <row r="44" spans="1:206" x14ac:dyDescent="0.25">
      <c r="A44" s="4">
        <v>50</v>
      </c>
      <c r="B44" s="4">
        <v>0</v>
      </c>
      <c r="C44" s="4">
        <v>0</v>
      </c>
      <c r="D44" s="4">
        <v>1</v>
      </c>
      <c r="E44" s="4">
        <v>223</v>
      </c>
      <c r="F44" s="4">
        <f>ROUND(Source!AQ34,O44)</f>
        <v>0</v>
      </c>
      <c r="G44" s="4" t="s">
        <v>66</v>
      </c>
      <c r="H44" s="4" t="s">
        <v>67</v>
      </c>
      <c r="I44" s="4"/>
      <c r="J44" s="4"/>
      <c r="K44" s="4">
        <v>223</v>
      </c>
      <c r="L44" s="4">
        <v>9</v>
      </c>
      <c r="M44" s="4">
        <v>3</v>
      </c>
      <c r="N44" s="4" t="s">
        <v>3</v>
      </c>
      <c r="O44" s="4">
        <v>0</v>
      </c>
      <c r="P44" s="4"/>
      <c r="Q44" s="4"/>
      <c r="R44" s="4"/>
      <c r="S44" s="4"/>
      <c r="T44" s="4"/>
      <c r="U44" s="4"/>
      <c r="V44" s="4"/>
      <c r="W44" s="4">
        <v>0</v>
      </c>
      <c r="X44" s="4">
        <v>1</v>
      </c>
      <c r="Y44" s="4">
        <v>0</v>
      </c>
      <c r="Z44" s="4"/>
      <c r="AA44" s="4"/>
      <c r="AB44" s="4"/>
    </row>
    <row r="45" spans="1:206" x14ac:dyDescent="0.25">
      <c r="A45" s="4">
        <v>50</v>
      </c>
      <c r="B45" s="4">
        <v>0</v>
      </c>
      <c r="C45" s="4">
        <v>0</v>
      </c>
      <c r="D45" s="4">
        <v>1</v>
      </c>
      <c r="E45" s="4">
        <v>229</v>
      </c>
      <c r="F45" s="4">
        <f>ROUND(Source!AZ34,O45)</f>
        <v>0</v>
      </c>
      <c r="G45" s="4" t="s">
        <v>68</v>
      </c>
      <c r="H45" s="4" t="s">
        <v>69</v>
      </c>
      <c r="I45" s="4"/>
      <c r="J45" s="4"/>
      <c r="K45" s="4">
        <v>229</v>
      </c>
      <c r="L45" s="4">
        <v>10</v>
      </c>
      <c r="M45" s="4">
        <v>3</v>
      </c>
      <c r="N45" s="4" t="s">
        <v>3</v>
      </c>
      <c r="O45" s="4">
        <v>0</v>
      </c>
      <c r="P45" s="4"/>
      <c r="Q45" s="4"/>
      <c r="R45" s="4"/>
      <c r="S45" s="4"/>
      <c r="T45" s="4"/>
      <c r="U45" s="4"/>
      <c r="V45" s="4"/>
      <c r="W45" s="4">
        <v>0</v>
      </c>
      <c r="X45" s="4">
        <v>1</v>
      </c>
      <c r="Y45" s="4">
        <v>0</v>
      </c>
      <c r="Z45" s="4"/>
      <c r="AA45" s="4"/>
      <c r="AB45" s="4"/>
    </row>
    <row r="46" spans="1:206" x14ac:dyDescent="0.25">
      <c r="A46" s="4">
        <v>50</v>
      </c>
      <c r="B46" s="4">
        <v>0</v>
      </c>
      <c r="C46" s="4">
        <v>0</v>
      </c>
      <c r="D46" s="4">
        <v>1</v>
      </c>
      <c r="E46" s="4">
        <v>203</v>
      </c>
      <c r="F46" s="4">
        <f>ROUND(Source!Q34,O46)</f>
        <v>722</v>
      </c>
      <c r="G46" s="4" t="s">
        <v>70</v>
      </c>
      <c r="H46" s="4" t="s">
        <v>71</v>
      </c>
      <c r="I46" s="4"/>
      <c r="J46" s="4"/>
      <c r="K46" s="4">
        <v>203</v>
      </c>
      <c r="L46" s="4">
        <v>11</v>
      </c>
      <c r="M46" s="4">
        <v>3</v>
      </c>
      <c r="N46" s="4" t="s">
        <v>3</v>
      </c>
      <c r="O46" s="4">
        <v>0</v>
      </c>
      <c r="P46" s="4"/>
      <c r="Q46" s="4"/>
      <c r="R46" s="4"/>
      <c r="S46" s="4"/>
      <c r="T46" s="4"/>
      <c r="U46" s="4"/>
      <c r="V46" s="4"/>
      <c r="W46" s="4">
        <v>722</v>
      </c>
      <c r="X46" s="4">
        <v>1</v>
      </c>
      <c r="Y46" s="4">
        <v>722</v>
      </c>
      <c r="Z46" s="4"/>
      <c r="AA46" s="4"/>
      <c r="AB46" s="4"/>
    </row>
    <row r="47" spans="1:206" x14ac:dyDescent="0.25">
      <c r="A47" s="4">
        <v>50</v>
      </c>
      <c r="B47" s="4">
        <v>0</v>
      </c>
      <c r="C47" s="4">
        <v>0</v>
      </c>
      <c r="D47" s="4">
        <v>1</v>
      </c>
      <c r="E47" s="4">
        <v>231</v>
      </c>
      <c r="F47" s="4">
        <f>ROUND(Source!BB34,O47)</f>
        <v>0</v>
      </c>
      <c r="G47" s="4" t="s">
        <v>72</v>
      </c>
      <c r="H47" s="4" t="s">
        <v>73</v>
      </c>
      <c r="I47" s="4"/>
      <c r="J47" s="4"/>
      <c r="K47" s="4">
        <v>231</v>
      </c>
      <c r="L47" s="4">
        <v>12</v>
      </c>
      <c r="M47" s="4">
        <v>3</v>
      </c>
      <c r="N47" s="4" t="s">
        <v>3</v>
      </c>
      <c r="O47" s="4">
        <v>0</v>
      </c>
      <c r="P47" s="4"/>
      <c r="Q47" s="4"/>
      <c r="R47" s="4"/>
      <c r="S47" s="4"/>
      <c r="T47" s="4"/>
      <c r="U47" s="4"/>
      <c r="V47" s="4"/>
      <c r="W47" s="4">
        <v>0</v>
      </c>
      <c r="X47" s="4">
        <v>1</v>
      </c>
      <c r="Y47" s="4">
        <v>0</v>
      </c>
      <c r="Z47" s="4"/>
      <c r="AA47" s="4"/>
      <c r="AB47" s="4"/>
    </row>
    <row r="48" spans="1:206" x14ac:dyDescent="0.25">
      <c r="A48" s="4">
        <v>50</v>
      </c>
      <c r="B48" s="4">
        <v>0</v>
      </c>
      <c r="C48" s="4">
        <v>0</v>
      </c>
      <c r="D48" s="4">
        <v>1</v>
      </c>
      <c r="E48" s="4">
        <v>204</v>
      </c>
      <c r="F48" s="4">
        <f>ROUND(Source!R34,O48)</f>
        <v>446</v>
      </c>
      <c r="G48" s="4" t="s">
        <v>74</v>
      </c>
      <c r="H48" s="4" t="s">
        <v>75</v>
      </c>
      <c r="I48" s="4"/>
      <c r="J48" s="4"/>
      <c r="K48" s="4">
        <v>204</v>
      </c>
      <c r="L48" s="4">
        <v>13</v>
      </c>
      <c r="M48" s="4">
        <v>3</v>
      </c>
      <c r="N48" s="4" t="s">
        <v>3</v>
      </c>
      <c r="O48" s="4">
        <v>0</v>
      </c>
      <c r="P48" s="4"/>
      <c r="Q48" s="4"/>
      <c r="R48" s="4"/>
      <c r="S48" s="4"/>
      <c r="T48" s="4"/>
      <c r="U48" s="4"/>
      <c r="V48" s="4"/>
      <c r="W48" s="4">
        <v>446</v>
      </c>
      <c r="X48" s="4">
        <v>1</v>
      </c>
      <c r="Y48" s="4">
        <v>446</v>
      </c>
      <c r="Z48" s="4"/>
      <c r="AA48" s="4"/>
      <c r="AB48" s="4"/>
    </row>
    <row r="49" spans="1:88" x14ac:dyDescent="0.25">
      <c r="A49" s="4">
        <v>50</v>
      </c>
      <c r="B49" s="4">
        <v>0</v>
      </c>
      <c r="C49" s="4">
        <v>0</v>
      </c>
      <c r="D49" s="4">
        <v>1</v>
      </c>
      <c r="E49" s="4">
        <v>205</v>
      </c>
      <c r="F49" s="4">
        <f>ROUND(Source!S34,O49)</f>
        <v>31263</v>
      </c>
      <c r="G49" s="4" t="s">
        <v>76</v>
      </c>
      <c r="H49" s="4" t="s">
        <v>77</v>
      </c>
      <c r="I49" s="4"/>
      <c r="J49" s="4"/>
      <c r="K49" s="4">
        <v>205</v>
      </c>
      <c r="L49" s="4">
        <v>14</v>
      </c>
      <c r="M49" s="4">
        <v>3</v>
      </c>
      <c r="N49" s="4" t="s">
        <v>3</v>
      </c>
      <c r="O49" s="4">
        <v>0</v>
      </c>
      <c r="P49" s="4"/>
      <c r="Q49" s="4"/>
      <c r="R49" s="4"/>
      <c r="S49" s="4"/>
      <c r="T49" s="4"/>
      <c r="U49" s="4"/>
      <c r="V49" s="4"/>
      <c r="W49" s="4">
        <v>31263</v>
      </c>
      <c r="X49" s="4">
        <v>1</v>
      </c>
      <c r="Y49" s="4">
        <v>31263</v>
      </c>
      <c r="Z49" s="4"/>
      <c r="AA49" s="4"/>
      <c r="AB49" s="4"/>
    </row>
    <row r="50" spans="1:88" x14ac:dyDescent="0.25">
      <c r="A50" s="4">
        <v>50</v>
      </c>
      <c r="B50" s="4">
        <v>0</v>
      </c>
      <c r="C50" s="4">
        <v>0</v>
      </c>
      <c r="D50" s="4">
        <v>1</v>
      </c>
      <c r="E50" s="4">
        <v>232</v>
      </c>
      <c r="F50" s="4">
        <f>ROUND(Source!BC34,O50)</f>
        <v>0</v>
      </c>
      <c r="G50" s="4" t="s">
        <v>78</v>
      </c>
      <c r="H50" s="4" t="s">
        <v>79</v>
      </c>
      <c r="I50" s="4"/>
      <c r="J50" s="4"/>
      <c r="K50" s="4">
        <v>232</v>
      </c>
      <c r="L50" s="4">
        <v>15</v>
      </c>
      <c r="M50" s="4">
        <v>3</v>
      </c>
      <c r="N50" s="4" t="s">
        <v>3</v>
      </c>
      <c r="O50" s="4">
        <v>0</v>
      </c>
      <c r="P50" s="4"/>
      <c r="Q50" s="4"/>
      <c r="R50" s="4"/>
      <c r="S50" s="4"/>
      <c r="T50" s="4"/>
      <c r="U50" s="4"/>
      <c r="V50" s="4"/>
      <c r="W50" s="4">
        <v>0</v>
      </c>
      <c r="X50" s="4">
        <v>1</v>
      </c>
      <c r="Y50" s="4">
        <v>0</v>
      </c>
      <c r="Z50" s="4"/>
      <c r="AA50" s="4"/>
      <c r="AB50" s="4"/>
    </row>
    <row r="51" spans="1:88" x14ac:dyDescent="0.25">
      <c r="A51" s="4">
        <v>50</v>
      </c>
      <c r="B51" s="4">
        <v>0</v>
      </c>
      <c r="C51" s="4">
        <v>0</v>
      </c>
      <c r="D51" s="4">
        <v>1</v>
      </c>
      <c r="E51" s="4">
        <v>214</v>
      </c>
      <c r="F51" s="4">
        <f>ROUND(Source!AS34,O51)</f>
        <v>85185</v>
      </c>
      <c r="G51" s="4" t="s">
        <v>80</v>
      </c>
      <c r="H51" s="4" t="s">
        <v>81</v>
      </c>
      <c r="I51" s="4"/>
      <c r="J51" s="4"/>
      <c r="K51" s="4">
        <v>214</v>
      </c>
      <c r="L51" s="4">
        <v>16</v>
      </c>
      <c r="M51" s="4">
        <v>3</v>
      </c>
      <c r="N51" s="4" t="s">
        <v>3</v>
      </c>
      <c r="O51" s="4">
        <v>0</v>
      </c>
      <c r="P51" s="4"/>
      <c r="Q51" s="4"/>
      <c r="R51" s="4"/>
      <c r="S51" s="4"/>
      <c r="T51" s="4"/>
      <c r="U51" s="4"/>
      <c r="V51" s="4"/>
      <c r="W51" s="4">
        <v>85185</v>
      </c>
      <c r="X51" s="4">
        <v>1</v>
      </c>
      <c r="Y51" s="4">
        <v>85185</v>
      </c>
      <c r="Z51" s="4"/>
      <c r="AA51" s="4"/>
      <c r="AB51" s="4"/>
    </row>
    <row r="52" spans="1:88" x14ac:dyDescent="0.25">
      <c r="A52" s="4">
        <v>50</v>
      </c>
      <c r="B52" s="4">
        <v>0</v>
      </c>
      <c r="C52" s="4">
        <v>0</v>
      </c>
      <c r="D52" s="4">
        <v>1</v>
      </c>
      <c r="E52" s="4">
        <v>215</v>
      </c>
      <c r="F52" s="4">
        <f>ROUND(Source!AT34,O52)</f>
        <v>0</v>
      </c>
      <c r="G52" s="4" t="s">
        <v>82</v>
      </c>
      <c r="H52" s="4" t="s">
        <v>83</v>
      </c>
      <c r="I52" s="4"/>
      <c r="J52" s="4"/>
      <c r="K52" s="4">
        <v>215</v>
      </c>
      <c r="L52" s="4">
        <v>17</v>
      </c>
      <c r="M52" s="4">
        <v>3</v>
      </c>
      <c r="N52" s="4" t="s">
        <v>3</v>
      </c>
      <c r="O52" s="4">
        <v>0</v>
      </c>
      <c r="P52" s="4"/>
      <c r="Q52" s="4"/>
      <c r="R52" s="4"/>
      <c r="S52" s="4"/>
      <c r="T52" s="4"/>
      <c r="U52" s="4"/>
      <c r="V52" s="4"/>
      <c r="W52" s="4">
        <v>0</v>
      </c>
      <c r="X52" s="4">
        <v>1</v>
      </c>
      <c r="Y52" s="4">
        <v>0</v>
      </c>
      <c r="Z52" s="4"/>
      <c r="AA52" s="4"/>
      <c r="AB52" s="4"/>
    </row>
    <row r="53" spans="1:88" x14ac:dyDescent="0.25">
      <c r="A53" s="4">
        <v>50</v>
      </c>
      <c r="B53" s="4">
        <v>0</v>
      </c>
      <c r="C53" s="4">
        <v>0</v>
      </c>
      <c r="D53" s="4">
        <v>1</v>
      </c>
      <c r="E53" s="4">
        <v>217</v>
      </c>
      <c r="F53" s="4">
        <f>ROUND(Source!AU34,O53)</f>
        <v>0</v>
      </c>
      <c r="G53" s="4" t="s">
        <v>84</v>
      </c>
      <c r="H53" s="4" t="s">
        <v>85</v>
      </c>
      <c r="I53" s="4"/>
      <c r="J53" s="4"/>
      <c r="K53" s="4">
        <v>217</v>
      </c>
      <c r="L53" s="4">
        <v>18</v>
      </c>
      <c r="M53" s="4">
        <v>3</v>
      </c>
      <c r="N53" s="4" t="s">
        <v>3</v>
      </c>
      <c r="O53" s="4">
        <v>0</v>
      </c>
      <c r="P53" s="4"/>
      <c r="Q53" s="4"/>
      <c r="R53" s="4"/>
      <c r="S53" s="4"/>
      <c r="T53" s="4"/>
      <c r="U53" s="4"/>
      <c r="V53" s="4"/>
      <c r="W53" s="4">
        <v>0</v>
      </c>
      <c r="X53" s="4">
        <v>1</v>
      </c>
      <c r="Y53" s="4">
        <v>0</v>
      </c>
      <c r="Z53" s="4"/>
      <c r="AA53" s="4"/>
      <c r="AB53" s="4"/>
    </row>
    <row r="54" spans="1:88" x14ac:dyDescent="0.25">
      <c r="A54" s="4">
        <v>50</v>
      </c>
      <c r="B54" s="4">
        <v>0</v>
      </c>
      <c r="C54" s="4">
        <v>0</v>
      </c>
      <c r="D54" s="4">
        <v>1</v>
      </c>
      <c r="E54" s="4">
        <v>230</v>
      </c>
      <c r="F54" s="4">
        <f>ROUND(Source!BA34,O54)</f>
        <v>0</v>
      </c>
      <c r="G54" s="4" t="s">
        <v>86</v>
      </c>
      <c r="H54" s="4" t="s">
        <v>87</v>
      </c>
      <c r="I54" s="4"/>
      <c r="J54" s="4"/>
      <c r="K54" s="4">
        <v>230</v>
      </c>
      <c r="L54" s="4">
        <v>19</v>
      </c>
      <c r="M54" s="4">
        <v>3</v>
      </c>
      <c r="N54" s="4" t="s">
        <v>3</v>
      </c>
      <c r="O54" s="4">
        <v>0</v>
      </c>
      <c r="P54" s="4"/>
      <c r="Q54" s="4"/>
      <c r="R54" s="4"/>
      <c r="S54" s="4"/>
      <c r="T54" s="4"/>
      <c r="U54" s="4"/>
      <c r="V54" s="4"/>
      <c r="W54" s="4">
        <v>0</v>
      </c>
      <c r="X54" s="4">
        <v>1</v>
      </c>
      <c r="Y54" s="4">
        <v>0</v>
      </c>
      <c r="Z54" s="4"/>
      <c r="AA54" s="4"/>
      <c r="AB54" s="4"/>
    </row>
    <row r="55" spans="1:88" x14ac:dyDescent="0.25">
      <c r="A55" s="4">
        <v>50</v>
      </c>
      <c r="B55" s="4">
        <v>0</v>
      </c>
      <c r="C55" s="4">
        <v>0</v>
      </c>
      <c r="D55" s="4">
        <v>1</v>
      </c>
      <c r="E55" s="4">
        <v>206</v>
      </c>
      <c r="F55" s="4">
        <f>ROUND(Source!T34,O55)</f>
        <v>0</v>
      </c>
      <c r="G55" s="4" t="s">
        <v>88</v>
      </c>
      <c r="H55" s="4" t="s">
        <v>89</v>
      </c>
      <c r="I55" s="4"/>
      <c r="J55" s="4"/>
      <c r="K55" s="4">
        <v>206</v>
      </c>
      <c r="L55" s="4">
        <v>20</v>
      </c>
      <c r="M55" s="4">
        <v>3</v>
      </c>
      <c r="N55" s="4" t="s">
        <v>3</v>
      </c>
      <c r="O55" s="4">
        <v>0</v>
      </c>
      <c r="P55" s="4"/>
      <c r="Q55" s="4"/>
      <c r="R55" s="4"/>
      <c r="S55" s="4"/>
      <c r="T55" s="4"/>
      <c r="U55" s="4"/>
      <c r="V55" s="4"/>
      <c r="W55" s="4">
        <v>0</v>
      </c>
      <c r="X55" s="4">
        <v>1</v>
      </c>
      <c r="Y55" s="4">
        <v>0</v>
      </c>
      <c r="Z55" s="4"/>
      <c r="AA55" s="4"/>
      <c r="AB55" s="4"/>
    </row>
    <row r="56" spans="1:88" x14ac:dyDescent="0.25">
      <c r="A56" s="4">
        <v>50</v>
      </c>
      <c r="B56" s="4">
        <v>0</v>
      </c>
      <c r="C56" s="4">
        <v>0</v>
      </c>
      <c r="D56" s="4">
        <v>1</v>
      </c>
      <c r="E56" s="4">
        <v>207</v>
      </c>
      <c r="F56" s="4">
        <f>Source!U34</f>
        <v>109.06795500000001</v>
      </c>
      <c r="G56" s="4" t="s">
        <v>90</v>
      </c>
      <c r="H56" s="4" t="s">
        <v>91</v>
      </c>
      <c r="I56" s="4"/>
      <c r="J56" s="4"/>
      <c r="K56" s="4">
        <v>207</v>
      </c>
      <c r="L56" s="4">
        <v>21</v>
      </c>
      <c r="M56" s="4">
        <v>3</v>
      </c>
      <c r="N56" s="4" t="s">
        <v>3</v>
      </c>
      <c r="O56" s="4">
        <v>-1</v>
      </c>
      <c r="P56" s="4"/>
      <c r="Q56" s="4"/>
      <c r="R56" s="4"/>
      <c r="S56" s="4"/>
      <c r="T56" s="4"/>
      <c r="U56" s="4"/>
      <c r="V56" s="4"/>
      <c r="W56" s="4">
        <v>109.06795499999998</v>
      </c>
      <c r="X56" s="4">
        <v>1</v>
      </c>
      <c r="Y56" s="4">
        <v>109.06795499999998</v>
      </c>
      <c r="Z56" s="4"/>
      <c r="AA56" s="4"/>
      <c r="AB56" s="4"/>
    </row>
    <row r="57" spans="1:88" x14ac:dyDescent="0.25">
      <c r="A57" s="4">
        <v>50</v>
      </c>
      <c r="B57" s="4">
        <v>0</v>
      </c>
      <c r="C57" s="4">
        <v>0</v>
      </c>
      <c r="D57" s="4">
        <v>1</v>
      </c>
      <c r="E57" s="4">
        <v>208</v>
      </c>
      <c r="F57" s="4">
        <f>Source!V34</f>
        <v>1.2378750000000001</v>
      </c>
      <c r="G57" s="4" t="s">
        <v>92</v>
      </c>
      <c r="H57" s="4" t="s">
        <v>93</v>
      </c>
      <c r="I57" s="4"/>
      <c r="J57" s="4"/>
      <c r="K57" s="4">
        <v>208</v>
      </c>
      <c r="L57" s="4">
        <v>22</v>
      </c>
      <c r="M57" s="4">
        <v>3</v>
      </c>
      <c r="N57" s="4" t="s">
        <v>3</v>
      </c>
      <c r="O57" s="4">
        <v>-1</v>
      </c>
      <c r="P57" s="4"/>
      <c r="Q57" s="4"/>
      <c r="R57" s="4"/>
      <c r="S57" s="4"/>
      <c r="T57" s="4"/>
      <c r="U57" s="4"/>
      <c r="V57" s="4"/>
      <c r="W57" s="4">
        <v>1.2378750000000001</v>
      </c>
      <c r="X57" s="4">
        <v>1</v>
      </c>
      <c r="Y57" s="4">
        <v>1.2378750000000001</v>
      </c>
      <c r="Z57" s="4"/>
      <c r="AA57" s="4"/>
      <c r="AB57" s="4"/>
    </row>
    <row r="58" spans="1:88" x14ac:dyDescent="0.25">
      <c r="A58" s="4">
        <v>50</v>
      </c>
      <c r="B58" s="4">
        <v>0</v>
      </c>
      <c r="C58" s="4">
        <v>0</v>
      </c>
      <c r="D58" s="4">
        <v>1</v>
      </c>
      <c r="E58" s="4">
        <v>209</v>
      </c>
      <c r="F58" s="4">
        <f>ROUND(Source!W34,O58)</f>
        <v>0</v>
      </c>
      <c r="G58" s="4" t="s">
        <v>94</v>
      </c>
      <c r="H58" s="4" t="s">
        <v>95</v>
      </c>
      <c r="I58" s="4"/>
      <c r="J58" s="4"/>
      <c r="K58" s="4">
        <v>209</v>
      </c>
      <c r="L58" s="4">
        <v>23</v>
      </c>
      <c r="M58" s="4">
        <v>3</v>
      </c>
      <c r="N58" s="4" t="s">
        <v>3</v>
      </c>
      <c r="O58" s="4">
        <v>0</v>
      </c>
      <c r="P58" s="4"/>
      <c r="Q58" s="4"/>
      <c r="R58" s="4"/>
      <c r="S58" s="4"/>
      <c r="T58" s="4"/>
      <c r="U58" s="4"/>
      <c r="V58" s="4"/>
      <c r="W58" s="4">
        <v>0</v>
      </c>
      <c r="X58" s="4">
        <v>1</v>
      </c>
      <c r="Y58" s="4">
        <v>0</v>
      </c>
      <c r="Z58" s="4"/>
      <c r="AA58" s="4"/>
      <c r="AB58" s="4"/>
    </row>
    <row r="59" spans="1:88" x14ac:dyDescent="0.25">
      <c r="A59" s="4">
        <v>50</v>
      </c>
      <c r="B59" s="4">
        <v>0</v>
      </c>
      <c r="C59" s="4">
        <v>0</v>
      </c>
      <c r="D59" s="4">
        <v>1</v>
      </c>
      <c r="E59" s="4">
        <v>233</v>
      </c>
      <c r="F59" s="4">
        <f>ROUND(Source!BD34,O59)</f>
        <v>0</v>
      </c>
      <c r="G59" s="4" t="s">
        <v>96</v>
      </c>
      <c r="H59" s="4" t="s">
        <v>97</v>
      </c>
      <c r="I59" s="4"/>
      <c r="J59" s="4"/>
      <c r="K59" s="4">
        <v>233</v>
      </c>
      <c r="L59" s="4">
        <v>24</v>
      </c>
      <c r="M59" s="4">
        <v>3</v>
      </c>
      <c r="N59" s="4" t="s">
        <v>3</v>
      </c>
      <c r="O59" s="4">
        <v>0</v>
      </c>
      <c r="P59" s="4"/>
      <c r="Q59" s="4"/>
      <c r="R59" s="4"/>
      <c r="S59" s="4"/>
      <c r="T59" s="4"/>
      <c r="U59" s="4"/>
      <c r="V59" s="4"/>
      <c r="W59" s="4">
        <v>0</v>
      </c>
      <c r="X59" s="4">
        <v>1</v>
      </c>
      <c r="Y59" s="4">
        <v>0</v>
      </c>
      <c r="Z59" s="4"/>
      <c r="AA59" s="4"/>
      <c r="AB59" s="4"/>
    </row>
    <row r="60" spans="1:88" x14ac:dyDescent="0.25">
      <c r="A60" s="4">
        <v>50</v>
      </c>
      <c r="B60" s="4">
        <v>0</v>
      </c>
      <c r="C60" s="4">
        <v>0</v>
      </c>
      <c r="D60" s="4">
        <v>1</v>
      </c>
      <c r="E60" s="4">
        <v>210</v>
      </c>
      <c r="F60" s="4">
        <f>ROUND(Source!X34,O60)</f>
        <v>34462</v>
      </c>
      <c r="G60" s="4" t="s">
        <v>98</v>
      </c>
      <c r="H60" s="4" t="s">
        <v>99</v>
      </c>
      <c r="I60" s="4"/>
      <c r="J60" s="4"/>
      <c r="K60" s="4">
        <v>210</v>
      </c>
      <c r="L60" s="4">
        <v>25</v>
      </c>
      <c r="M60" s="4">
        <v>3</v>
      </c>
      <c r="N60" s="4" t="s">
        <v>3</v>
      </c>
      <c r="O60" s="4">
        <v>0</v>
      </c>
      <c r="P60" s="4"/>
      <c r="Q60" s="4"/>
      <c r="R60" s="4"/>
      <c r="S60" s="4"/>
      <c r="T60" s="4"/>
      <c r="U60" s="4"/>
      <c r="V60" s="4"/>
      <c r="W60" s="4">
        <v>34462</v>
      </c>
      <c r="X60" s="4">
        <v>1</v>
      </c>
      <c r="Y60" s="4">
        <v>34462</v>
      </c>
      <c r="Z60" s="4"/>
      <c r="AA60" s="4"/>
      <c r="AB60" s="4"/>
    </row>
    <row r="61" spans="1:88" x14ac:dyDescent="0.25">
      <c r="A61" s="4">
        <v>50</v>
      </c>
      <c r="B61" s="4">
        <v>0</v>
      </c>
      <c r="C61" s="4">
        <v>0</v>
      </c>
      <c r="D61" s="4">
        <v>1</v>
      </c>
      <c r="E61" s="4">
        <v>211</v>
      </c>
      <c r="F61" s="4">
        <f>ROUND(Source!Y34,O61)</f>
        <v>18738</v>
      </c>
      <c r="G61" s="4" t="s">
        <v>100</v>
      </c>
      <c r="H61" s="4" t="s">
        <v>101</v>
      </c>
      <c r="I61" s="4"/>
      <c r="J61" s="4"/>
      <c r="K61" s="4">
        <v>211</v>
      </c>
      <c r="L61" s="4">
        <v>26</v>
      </c>
      <c r="M61" s="4">
        <v>3</v>
      </c>
      <c r="N61" s="4" t="s">
        <v>3</v>
      </c>
      <c r="O61" s="4">
        <v>0</v>
      </c>
      <c r="P61" s="4"/>
      <c r="Q61" s="4"/>
      <c r="R61" s="4"/>
      <c r="S61" s="4"/>
      <c r="T61" s="4"/>
      <c r="U61" s="4"/>
      <c r="V61" s="4"/>
      <c r="W61" s="4">
        <v>18738</v>
      </c>
      <c r="X61" s="4">
        <v>1</v>
      </c>
      <c r="Y61" s="4">
        <v>18738</v>
      </c>
      <c r="Z61" s="4"/>
      <c r="AA61" s="4"/>
      <c r="AB61" s="4"/>
    </row>
    <row r="62" spans="1:88" x14ac:dyDescent="0.25">
      <c r="A62" s="4">
        <v>50</v>
      </c>
      <c r="B62" s="4">
        <v>0</v>
      </c>
      <c r="C62" s="4">
        <v>0</v>
      </c>
      <c r="D62" s="4">
        <v>1</v>
      </c>
      <c r="E62" s="4">
        <v>224</v>
      </c>
      <c r="F62" s="4">
        <f>ROUND(Source!AR34,O62)</f>
        <v>85185</v>
      </c>
      <c r="G62" s="4" t="s">
        <v>102</v>
      </c>
      <c r="H62" s="4" t="s">
        <v>103</v>
      </c>
      <c r="I62" s="4"/>
      <c r="J62" s="4"/>
      <c r="K62" s="4">
        <v>224</v>
      </c>
      <c r="L62" s="4">
        <v>27</v>
      </c>
      <c r="M62" s="4">
        <v>3</v>
      </c>
      <c r="N62" s="4" t="s">
        <v>3</v>
      </c>
      <c r="O62" s="4">
        <v>0</v>
      </c>
      <c r="P62" s="4"/>
      <c r="Q62" s="4"/>
      <c r="R62" s="4"/>
      <c r="S62" s="4"/>
      <c r="T62" s="4"/>
      <c r="U62" s="4"/>
      <c r="V62" s="4"/>
      <c r="W62" s="4">
        <v>85185</v>
      </c>
      <c r="X62" s="4">
        <v>1</v>
      </c>
      <c r="Y62" s="4">
        <v>85185</v>
      </c>
      <c r="Z62" s="4"/>
      <c r="AA62" s="4"/>
      <c r="AB62" s="4"/>
    </row>
    <row r="64" spans="1:88" x14ac:dyDescent="0.25">
      <c r="A64" s="1">
        <v>4</v>
      </c>
      <c r="B64" s="1">
        <v>1</v>
      </c>
      <c r="C64" s="1"/>
      <c r="D64" s="1">
        <f>ROW(A71)</f>
        <v>71</v>
      </c>
      <c r="E64" s="1"/>
      <c r="F64" s="1" t="s">
        <v>13</v>
      </c>
      <c r="G64" s="1" t="s">
        <v>104</v>
      </c>
      <c r="H64" s="1" t="s">
        <v>3</v>
      </c>
      <c r="I64" s="1">
        <v>0</v>
      </c>
      <c r="J64" s="1"/>
      <c r="K64" s="1">
        <v>0</v>
      </c>
      <c r="L64" s="1"/>
      <c r="M64" s="1" t="s">
        <v>3</v>
      </c>
      <c r="N64" s="1"/>
      <c r="O64" s="1"/>
      <c r="P64" s="1"/>
      <c r="Q64" s="1"/>
      <c r="R64" s="1"/>
      <c r="S64" s="1">
        <v>0</v>
      </c>
      <c r="T64" s="1"/>
      <c r="U64" s="1" t="s">
        <v>3</v>
      </c>
      <c r="V64" s="1">
        <v>0</v>
      </c>
      <c r="W64" s="1"/>
      <c r="X64" s="1"/>
      <c r="Y64" s="1"/>
      <c r="Z64" s="1"/>
      <c r="AA64" s="1"/>
      <c r="AB64" s="1" t="s">
        <v>3</v>
      </c>
      <c r="AC64" s="1" t="s">
        <v>3</v>
      </c>
      <c r="AD64" s="1" t="s">
        <v>3</v>
      </c>
      <c r="AE64" s="1" t="s">
        <v>3</v>
      </c>
      <c r="AF64" s="1" t="s">
        <v>3</v>
      </c>
      <c r="AG64" s="1" t="s">
        <v>3</v>
      </c>
      <c r="AH64" s="1"/>
      <c r="AI64" s="1"/>
      <c r="AJ64" s="1"/>
      <c r="AK64" s="1"/>
      <c r="AL64" s="1"/>
      <c r="AM64" s="1"/>
      <c r="AN64" s="1"/>
      <c r="AO64" s="1"/>
      <c r="AP64" s="1" t="s">
        <v>3</v>
      </c>
      <c r="AQ64" s="1" t="s">
        <v>3</v>
      </c>
      <c r="AR64" s="1" t="s">
        <v>3</v>
      </c>
      <c r="AS64" s="1"/>
      <c r="AT64" s="1"/>
      <c r="AU64" s="1"/>
      <c r="AV64" s="1"/>
      <c r="AW64" s="1"/>
      <c r="AX64" s="1"/>
      <c r="AY64" s="1"/>
      <c r="AZ64" s="1" t="s">
        <v>3</v>
      </c>
      <c r="BA64" s="1"/>
      <c r="BB64" s="1" t="s">
        <v>3</v>
      </c>
      <c r="BC64" s="1" t="s">
        <v>3</v>
      </c>
      <c r="BD64" s="1" t="s">
        <v>3</v>
      </c>
      <c r="BE64" s="1" t="s">
        <v>3</v>
      </c>
      <c r="BF64" s="1" t="s">
        <v>3</v>
      </c>
      <c r="BG64" s="1" t="s">
        <v>3</v>
      </c>
      <c r="BH64" s="1" t="s">
        <v>3</v>
      </c>
      <c r="BI64" s="1" t="s">
        <v>3</v>
      </c>
      <c r="BJ64" s="1" t="s">
        <v>3</v>
      </c>
      <c r="BK64" s="1" t="s">
        <v>3</v>
      </c>
      <c r="BL64" s="1" t="s">
        <v>3</v>
      </c>
      <c r="BM64" s="1" t="s">
        <v>3</v>
      </c>
      <c r="BN64" s="1" t="s">
        <v>3</v>
      </c>
      <c r="BO64" s="1" t="s">
        <v>3</v>
      </c>
      <c r="BP64" s="1" t="s">
        <v>3</v>
      </c>
      <c r="BQ64" s="1"/>
      <c r="BR64" s="1"/>
      <c r="BS64" s="1"/>
      <c r="BT64" s="1"/>
      <c r="BU64" s="1"/>
      <c r="BV64" s="1"/>
      <c r="BW64" s="1"/>
      <c r="BX64" s="1">
        <v>0</v>
      </c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>
        <v>0</v>
      </c>
    </row>
    <row r="66" spans="1:245" x14ac:dyDescent="0.25">
      <c r="A66" s="2">
        <v>52</v>
      </c>
      <c r="B66" s="2">
        <f t="shared" ref="B66:G66" si="25">B71</f>
        <v>1</v>
      </c>
      <c r="C66" s="2">
        <f t="shared" si="25"/>
        <v>4</v>
      </c>
      <c r="D66" s="2">
        <f t="shared" si="25"/>
        <v>64</v>
      </c>
      <c r="E66" s="2">
        <f t="shared" si="25"/>
        <v>0</v>
      </c>
      <c r="F66" s="2" t="str">
        <f t="shared" si="25"/>
        <v>Новый раздел</v>
      </c>
      <c r="G66" s="2" t="str">
        <f t="shared" si="25"/>
        <v>Ремонт санузлов в здании АБК</v>
      </c>
      <c r="H66" s="2"/>
      <c r="I66" s="2"/>
      <c r="J66" s="2"/>
      <c r="K66" s="2"/>
      <c r="L66" s="2"/>
      <c r="M66" s="2"/>
      <c r="N66" s="2"/>
      <c r="O66" s="2">
        <f t="shared" ref="O66:AT66" si="26">O71</f>
        <v>8155</v>
      </c>
      <c r="P66" s="2">
        <f t="shared" si="26"/>
        <v>0</v>
      </c>
      <c r="Q66" s="2">
        <f t="shared" si="26"/>
        <v>128</v>
      </c>
      <c r="R66" s="2">
        <f t="shared" si="26"/>
        <v>153</v>
      </c>
      <c r="S66" s="2">
        <f t="shared" si="26"/>
        <v>8027</v>
      </c>
      <c r="T66" s="2">
        <f t="shared" si="26"/>
        <v>0</v>
      </c>
      <c r="U66" s="2">
        <f t="shared" si="26"/>
        <v>28.147170000000003</v>
      </c>
      <c r="V66" s="2">
        <f t="shared" si="26"/>
        <v>0.43125000000000002</v>
      </c>
      <c r="W66" s="2">
        <f t="shared" si="26"/>
        <v>0</v>
      </c>
      <c r="X66" s="2">
        <f t="shared" si="26"/>
        <v>9014</v>
      </c>
      <c r="Y66" s="2">
        <f t="shared" si="26"/>
        <v>4971</v>
      </c>
      <c r="Z66" s="2">
        <f t="shared" si="26"/>
        <v>0</v>
      </c>
      <c r="AA66" s="2">
        <f t="shared" si="26"/>
        <v>0</v>
      </c>
      <c r="AB66" s="2">
        <f t="shared" si="26"/>
        <v>8155</v>
      </c>
      <c r="AC66" s="2">
        <f t="shared" si="26"/>
        <v>0</v>
      </c>
      <c r="AD66" s="2">
        <f t="shared" si="26"/>
        <v>128</v>
      </c>
      <c r="AE66" s="2">
        <f t="shared" si="26"/>
        <v>153</v>
      </c>
      <c r="AF66" s="2">
        <f t="shared" si="26"/>
        <v>8027</v>
      </c>
      <c r="AG66" s="2">
        <f t="shared" si="26"/>
        <v>0</v>
      </c>
      <c r="AH66" s="2">
        <f t="shared" si="26"/>
        <v>28.147170000000003</v>
      </c>
      <c r="AI66" s="2">
        <f t="shared" si="26"/>
        <v>0.43125000000000002</v>
      </c>
      <c r="AJ66" s="2">
        <f t="shared" si="26"/>
        <v>0</v>
      </c>
      <c r="AK66" s="2">
        <f t="shared" si="26"/>
        <v>9014</v>
      </c>
      <c r="AL66" s="2">
        <f t="shared" si="26"/>
        <v>4971</v>
      </c>
      <c r="AM66" s="2">
        <f t="shared" si="26"/>
        <v>0</v>
      </c>
      <c r="AN66" s="2">
        <f t="shared" si="26"/>
        <v>0</v>
      </c>
      <c r="AO66" s="2">
        <f t="shared" si="26"/>
        <v>0</v>
      </c>
      <c r="AP66" s="2">
        <f t="shared" si="26"/>
        <v>0</v>
      </c>
      <c r="AQ66" s="2">
        <f t="shared" si="26"/>
        <v>0</v>
      </c>
      <c r="AR66" s="2">
        <f t="shared" si="26"/>
        <v>22140</v>
      </c>
      <c r="AS66" s="2">
        <f t="shared" si="26"/>
        <v>22140</v>
      </c>
      <c r="AT66" s="2">
        <f t="shared" si="26"/>
        <v>0</v>
      </c>
      <c r="AU66" s="2">
        <f t="shared" ref="AU66:BZ66" si="27">AU71</f>
        <v>0</v>
      </c>
      <c r="AV66" s="2">
        <f t="shared" si="27"/>
        <v>0</v>
      </c>
      <c r="AW66" s="2">
        <f t="shared" si="27"/>
        <v>0</v>
      </c>
      <c r="AX66" s="2">
        <f t="shared" si="27"/>
        <v>0</v>
      </c>
      <c r="AY66" s="2">
        <f t="shared" si="27"/>
        <v>0</v>
      </c>
      <c r="AZ66" s="2">
        <f t="shared" si="27"/>
        <v>0</v>
      </c>
      <c r="BA66" s="2">
        <f t="shared" si="27"/>
        <v>0</v>
      </c>
      <c r="BB66" s="2">
        <f t="shared" si="27"/>
        <v>0</v>
      </c>
      <c r="BC66" s="2">
        <f t="shared" si="27"/>
        <v>0</v>
      </c>
      <c r="BD66" s="2">
        <f t="shared" si="27"/>
        <v>0</v>
      </c>
      <c r="BE66" s="2">
        <f t="shared" si="27"/>
        <v>0</v>
      </c>
      <c r="BF66" s="2">
        <f t="shared" si="27"/>
        <v>0</v>
      </c>
      <c r="BG66" s="2">
        <f t="shared" si="27"/>
        <v>0</v>
      </c>
      <c r="BH66" s="2">
        <f t="shared" si="27"/>
        <v>0</v>
      </c>
      <c r="BI66" s="2">
        <f t="shared" si="27"/>
        <v>0</v>
      </c>
      <c r="BJ66" s="2">
        <f t="shared" si="27"/>
        <v>0</v>
      </c>
      <c r="BK66" s="2">
        <f t="shared" si="27"/>
        <v>0</v>
      </c>
      <c r="BL66" s="2">
        <f t="shared" si="27"/>
        <v>0</v>
      </c>
      <c r="BM66" s="2">
        <f t="shared" si="27"/>
        <v>0</v>
      </c>
      <c r="BN66" s="2">
        <f t="shared" si="27"/>
        <v>0</v>
      </c>
      <c r="BO66" s="2">
        <f t="shared" si="27"/>
        <v>0</v>
      </c>
      <c r="BP66" s="2">
        <f t="shared" si="27"/>
        <v>0</v>
      </c>
      <c r="BQ66" s="2">
        <f t="shared" si="27"/>
        <v>0</v>
      </c>
      <c r="BR66" s="2">
        <f t="shared" si="27"/>
        <v>0</v>
      </c>
      <c r="BS66" s="2">
        <f t="shared" si="27"/>
        <v>0</v>
      </c>
      <c r="BT66" s="2">
        <f t="shared" si="27"/>
        <v>0</v>
      </c>
      <c r="BU66" s="2">
        <f t="shared" si="27"/>
        <v>0</v>
      </c>
      <c r="BV66" s="2">
        <f t="shared" si="27"/>
        <v>0</v>
      </c>
      <c r="BW66" s="2">
        <f t="shared" si="27"/>
        <v>0</v>
      </c>
      <c r="BX66" s="2">
        <f t="shared" si="27"/>
        <v>0</v>
      </c>
      <c r="BY66" s="2">
        <f t="shared" si="27"/>
        <v>0</v>
      </c>
      <c r="BZ66" s="2">
        <f t="shared" si="27"/>
        <v>0</v>
      </c>
      <c r="CA66" s="2">
        <f t="shared" ref="CA66:DF66" si="28">CA71</f>
        <v>22140</v>
      </c>
      <c r="CB66" s="2">
        <f t="shared" si="28"/>
        <v>22140</v>
      </c>
      <c r="CC66" s="2">
        <f t="shared" si="28"/>
        <v>0</v>
      </c>
      <c r="CD66" s="2">
        <f t="shared" si="28"/>
        <v>0</v>
      </c>
      <c r="CE66" s="2">
        <f t="shared" si="28"/>
        <v>0</v>
      </c>
      <c r="CF66" s="2">
        <f t="shared" si="28"/>
        <v>0</v>
      </c>
      <c r="CG66" s="2">
        <f t="shared" si="28"/>
        <v>0</v>
      </c>
      <c r="CH66" s="2">
        <f t="shared" si="28"/>
        <v>0</v>
      </c>
      <c r="CI66" s="2">
        <f t="shared" si="28"/>
        <v>0</v>
      </c>
      <c r="CJ66" s="2">
        <f t="shared" si="28"/>
        <v>0</v>
      </c>
      <c r="CK66" s="2">
        <f t="shared" si="28"/>
        <v>0</v>
      </c>
      <c r="CL66" s="2">
        <f t="shared" si="28"/>
        <v>0</v>
      </c>
      <c r="CM66" s="2">
        <f t="shared" si="28"/>
        <v>0</v>
      </c>
      <c r="CN66" s="2">
        <f t="shared" si="28"/>
        <v>0</v>
      </c>
      <c r="CO66" s="2">
        <f t="shared" si="28"/>
        <v>0</v>
      </c>
      <c r="CP66" s="2">
        <f t="shared" si="28"/>
        <v>0</v>
      </c>
      <c r="CQ66" s="2">
        <f t="shared" si="28"/>
        <v>0</v>
      </c>
      <c r="CR66" s="2">
        <f t="shared" si="28"/>
        <v>0</v>
      </c>
      <c r="CS66" s="2">
        <f t="shared" si="28"/>
        <v>0</v>
      </c>
      <c r="CT66" s="2">
        <f t="shared" si="28"/>
        <v>0</v>
      </c>
      <c r="CU66" s="2">
        <f t="shared" si="28"/>
        <v>0</v>
      </c>
      <c r="CV66" s="2">
        <f t="shared" si="28"/>
        <v>0</v>
      </c>
      <c r="CW66" s="2">
        <f t="shared" si="28"/>
        <v>0</v>
      </c>
      <c r="CX66" s="2">
        <f t="shared" si="28"/>
        <v>0</v>
      </c>
      <c r="CY66" s="2">
        <f t="shared" si="28"/>
        <v>0</v>
      </c>
      <c r="CZ66" s="2">
        <f t="shared" si="28"/>
        <v>0</v>
      </c>
      <c r="DA66" s="2">
        <f t="shared" si="28"/>
        <v>0</v>
      </c>
      <c r="DB66" s="2">
        <f t="shared" si="28"/>
        <v>0</v>
      </c>
      <c r="DC66" s="2">
        <f t="shared" si="28"/>
        <v>0</v>
      </c>
      <c r="DD66" s="2">
        <f t="shared" si="28"/>
        <v>0</v>
      </c>
      <c r="DE66" s="2">
        <f t="shared" si="28"/>
        <v>0</v>
      </c>
      <c r="DF66" s="2">
        <f t="shared" si="28"/>
        <v>0</v>
      </c>
      <c r="DG66" s="3">
        <f t="shared" ref="DG66:EL66" si="29">DG71</f>
        <v>0</v>
      </c>
      <c r="DH66" s="3">
        <f t="shared" si="29"/>
        <v>0</v>
      </c>
      <c r="DI66" s="3">
        <f t="shared" si="29"/>
        <v>0</v>
      </c>
      <c r="DJ66" s="3">
        <f t="shared" si="29"/>
        <v>0</v>
      </c>
      <c r="DK66" s="3">
        <f t="shared" si="29"/>
        <v>0</v>
      </c>
      <c r="DL66" s="3">
        <f t="shared" si="29"/>
        <v>0</v>
      </c>
      <c r="DM66" s="3">
        <f t="shared" si="29"/>
        <v>0</v>
      </c>
      <c r="DN66" s="3">
        <f t="shared" si="29"/>
        <v>0</v>
      </c>
      <c r="DO66" s="3">
        <f t="shared" si="29"/>
        <v>0</v>
      </c>
      <c r="DP66" s="3">
        <f t="shared" si="29"/>
        <v>0</v>
      </c>
      <c r="DQ66" s="3">
        <f t="shared" si="29"/>
        <v>0</v>
      </c>
      <c r="DR66" s="3">
        <f t="shared" si="29"/>
        <v>0</v>
      </c>
      <c r="DS66" s="3">
        <f t="shared" si="29"/>
        <v>0</v>
      </c>
      <c r="DT66" s="3">
        <f t="shared" si="29"/>
        <v>0</v>
      </c>
      <c r="DU66" s="3">
        <f t="shared" si="29"/>
        <v>0</v>
      </c>
      <c r="DV66" s="3">
        <f t="shared" si="29"/>
        <v>0</v>
      </c>
      <c r="DW66" s="3">
        <f t="shared" si="29"/>
        <v>0</v>
      </c>
      <c r="DX66" s="3">
        <f t="shared" si="29"/>
        <v>0</v>
      </c>
      <c r="DY66" s="3">
        <f t="shared" si="29"/>
        <v>0</v>
      </c>
      <c r="DZ66" s="3">
        <f t="shared" si="29"/>
        <v>0</v>
      </c>
      <c r="EA66" s="3">
        <f t="shared" si="29"/>
        <v>0</v>
      </c>
      <c r="EB66" s="3">
        <f t="shared" si="29"/>
        <v>0</v>
      </c>
      <c r="EC66" s="3">
        <f t="shared" si="29"/>
        <v>0</v>
      </c>
      <c r="ED66" s="3">
        <f t="shared" si="29"/>
        <v>0</v>
      </c>
      <c r="EE66" s="3">
        <f t="shared" si="29"/>
        <v>0</v>
      </c>
      <c r="EF66" s="3">
        <f t="shared" si="29"/>
        <v>0</v>
      </c>
      <c r="EG66" s="3">
        <f t="shared" si="29"/>
        <v>0</v>
      </c>
      <c r="EH66" s="3">
        <f t="shared" si="29"/>
        <v>0</v>
      </c>
      <c r="EI66" s="3">
        <f t="shared" si="29"/>
        <v>0</v>
      </c>
      <c r="EJ66" s="3">
        <f t="shared" si="29"/>
        <v>0</v>
      </c>
      <c r="EK66" s="3">
        <f t="shared" si="29"/>
        <v>0</v>
      </c>
      <c r="EL66" s="3">
        <f t="shared" si="29"/>
        <v>0</v>
      </c>
      <c r="EM66" s="3">
        <f t="shared" ref="EM66:FR66" si="30">EM71</f>
        <v>0</v>
      </c>
      <c r="EN66" s="3">
        <f t="shared" si="30"/>
        <v>0</v>
      </c>
      <c r="EO66" s="3">
        <f t="shared" si="30"/>
        <v>0</v>
      </c>
      <c r="EP66" s="3">
        <f t="shared" si="30"/>
        <v>0</v>
      </c>
      <c r="EQ66" s="3">
        <f t="shared" si="30"/>
        <v>0</v>
      </c>
      <c r="ER66" s="3">
        <f t="shared" si="30"/>
        <v>0</v>
      </c>
      <c r="ES66" s="3">
        <f t="shared" si="30"/>
        <v>0</v>
      </c>
      <c r="ET66" s="3">
        <f t="shared" si="30"/>
        <v>0</v>
      </c>
      <c r="EU66" s="3">
        <f t="shared" si="30"/>
        <v>0</v>
      </c>
      <c r="EV66" s="3">
        <f t="shared" si="30"/>
        <v>0</v>
      </c>
      <c r="EW66" s="3">
        <f t="shared" si="30"/>
        <v>0</v>
      </c>
      <c r="EX66" s="3">
        <f t="shared" si="30"/>
        <v>0</v>
      </c>
      <c r="EY66" s="3">
        <f t="shared" si="30"/>
        <v>0</v>
      </c>
      <c r="EZ66" s="3">
        <f t="shared" si="30"/>
        <v>0</v>
      </c>
      <c r="FA66" s="3">
        <f t="shared" si="30"/>
        <v>0</v>
      </c>
      <c r="FB66" s="3">
        <f t="shared" si="30"/>
        <v>0</v>
      </c>
      <c r="FC66" s="3">
        <f t="shared" si="30"/>
        <v>0</v>
      </c>
      <c r="FD66" s="3">
        <f t="shared" si="30"/>
        <v>0</v>
      </c>
      <c r="FE66" s="3">
        <f t="shared" si="30"/>
        <v>0</v>
      </c>
      <c r="FF66" s="3">
        <f t="shared" si="30"/>
        <v>0</v>
      </c>
      <c r="FG66" s="3">
        <f t="shared" si="30"/>
        <v>0</v>
      </c>
      <c r="FH66" s="3">
        <f t="shared" si="30"/>
        <v>0</v>
      </c>
      <c r="FI66" s="3">
        <f t="shared" si="30"/>
        <v>0</v>
      </c>
      <c r="FJ66" s="3">
        <f t="shared" si="30"/>
        <v>0</v>
      </c>
      <c r="FK66" s="3">
        <f t="shared" si="30"/>
        <v>0</v>
      </c>
      <c r="FL66" s="3">
        <f t="shared" si="30"/>
        <v>0</v>
      </c>
      <c r="FM66" s="3">
        <f t="shared" si="30"/>
        <v>0</v>
      </c>
      <c r="FN66" s="3">
        <f t="shared" si="30"/>
        <v>0</v>
      </c>
      <c r="FO66" s="3">
        <f t="shared" si="30"/>
        <v>0</v>
      </c>
      <c r="FP66" s="3">
        <f t="shared" si="30"/>
        <v>0</v>
      </c>
      <c r="FQ66" s="3">
        <f t="shared" si="30"/>
        <v>0</v>
      </c>
      <c r="FR66" s="3">
        <f t="shared" si="30"/>
        <v>0</v>
      </c>
      <c r="FS66" s="3">
        <f t="shared" ref="FS66:GX66" si="31">FS71</f>
        <v>0</v>
      </c>
      <c r="FT66" s="3">
        <f t="shared" si="31"/>
        <v>0</v>
      </c>
      <c r="FU66" s="3">
        <f t="shared" si="31"/>
        <v>0</v>
      </c>
      <c r="FV66" s="3">
        <f t="shared" si="31"/>
        <v>0</v>
      </c>
      <c r="FW66" s="3">
        <f t="shared" si="31"/>
        <v>0</v>
      </c>
      <c r="FX66" s="3">
        <f t="shared" si="31"/>
        <v>0</v>
      </c>
      <c r="FY66" s="3">
        <f t="shared" si="31"/>
        <v>0</v>
      </c>
      <c r="FZ66" s="3">
        <f t="shared" si="31"/>
        <v>0</v>
      </c>
      <c r="GA66" s="3">
        <f t="shared" si="31"/>
        <v>0</v>
      </c>
      <c r="GB66" s="3">
        <f t="shared" si="31"/>
        <v>0</v>
      </c>
      <c r="GC66" s="3">
        <f t="shared" si="31"/>
        <v>0</v>
      </c>
      <c r="GD66" s="3">
        <f t="shared" si="31"/>
        <v>0</v>
      </c>
      <c r="GE66" s="3">
        <f t="shared" si="31"/>
        <v>0</v>
      </c>
      <c r="GF66" s="3">
        <f t="shared" si="31"/>
        <v>0</v>
      </c>
      <c r="GG66" s="3">
        <f t="shared" si="31"/>
        <v>0</v>
      </c>
      <c r="GH66" s="3">
        <f t="shared" si="31"/>
        <v>0</v>
      </c>
      <c r="GI66" s="3">
        <f t="shared" si="31"/>
        <v>0</v>
      </c>
      <c r="GJ66" s="3">
        <f t="shared" si="31"/>
        <v>0</v>
      </c>
      <c r="GK66" s="3">
        <f t="shared" si="31"/>
        <v>0</v>
      </c>
      <c r="GL66" s="3">
        <f t="shared" si="31"/>
        <v>0</v>
      </c>
      <c r="GM66" s="3">
        <f t="shared" si="31"/>
        <v>0</v>
      </c>
      <c r="GN66" s="3">
        <f t="shared" si="31"/>
        <v>0</v>
      </c>
      <c r="GO66" s="3">
        <f t="shared" si="31"/>
        <v>0</v>
      </c>
      <c r="GP66" s="3">
        <f t="shared" si="31"/>
        <v>0</v>
      </c>
      <c r="GQ66" s="3">
        <f t="shared" si="31"/>
        <v>0</v>
      </c>
      <c r="GR66" s="3">
        <f t="shared" si="31"/>
        <v>0</v>
      </c>
      <c r="GS66" s="3">
        <f t="shared" si="31"/>
        <v>0</v>
      </c>
      <c r="GT66" s="3">
        <f t="shared" si="31"/>
        <v>0</v>
      </c>
      <c r="GU66" s="3">
        <f t="shared" si="31"/>
        <v>0</v>
      </c>
      <c r="GV66" s="3">
        <f t="shared" si="31"/>
        <v>0</v>
      </c>
      <c r="GW66" s="3">
        <f t="shared" si="31"/>
        <v>0</v>
      </c>
      <c r="GX66" s="3">
        <f t="shared" si="31"/>
        <v>0</v>
      </c>
    </row>
    <row r="68" spans="1:245" x14ac:dyDescent="0.25">
      <c r="A68">
        <v>17</v>
      </c>
      <c r="B68">
        <v>1</v>
      </c>
      <c r="C68">
        <f>ROW(SmtRes!A50)</f>
        <v>50</v>
      </c>
      <c r="D68">
        <f>ROW(EtalonRes!A57)</f>
        <v>57</v>
      </c>
      <c r="E68" t="s">
        <v>105</v>
      </c>
      <c r="F68" t="s">
        <v>16</v>
      </c>
      <c r="G68" t="s">
        <v>17</v>
      </c>
      <c r="H68" t="s">
        <v>18</v>
      </c>
      <c r="I68">
        <f>ROUND(4/100,9)</f>
        <v>0.04</v>
      </c>
      <c r="J68">
        <v>0</v>
      </c>
      <c r="K68">
        <f>ROUND(4/100,9)</f>
        <v>0.04</v>
      </c>
      <c r="O68">
        <f>ROUND(CP68,0)</f>
        <v>2358</v>
      </c>
      <c r="P68">
        <f>ROUND(CQ68*I68,0)</f>
        <v>0</v>
      </c>
      <c r="Q68">
        <f>ROUND(CR68*I68,0)</f>
        <v>82</v>
      </c>
      <c r="R68">
        <f>ROUND(CS68*I68,0)</f>
        <v>84</v>
      </c>
      <c r="S68">
        <f>ROUND(CT68*I68,0)</f>
        <v>2276</v>
      </c>
      <c r="T68">
        <f>ROUND(CU68*I68,0)</f>
        <v>0</v>
      </c>
      <c r="U68">
        <f>CV68*I68</f>
        <v>8.2648200000000003</v>
      </c>
      <c r="V68">
        <f>CW68*I68</f>
        <v>0.22500000000000001</v>
      </c>
      <c r="W68">
        <f>ROUND(CX68*I68,0)</f>
        <v>0</v>
      </c>
      <c r="X68">
        <f>ROUND(CY68,0)</f>
        <v>2903</v>
      </c>
      <c r="Y68">
        <f>ROUND(CZ68,0)</f>
        <v>1770</v>
      </c>
      <c r="AA68">
        <v>46567972</v>
      </c>
      <c r="AB68">
        <f>ROUND((AC68+AD68+AF68),2)</f>
        <v>1983.41</v>
      </c>
      <c r="AC68">
        <f>ROUND(((ES68*0)),2)</f>
        <v>0</v>
      </c>
      <c r="AD68">
        <f>ROUND(((((ET68*1.25))-((EU68*1.25)))+AE68),2)</f>
        <v>177.54</v>
      </c>
      <c r="AE68">
        <f>ROUND(((EU68*1.25)),2)</f>
        <v>67.010000000000005</v>
      </c>
      <c r="AF68">
        <f>ROUND(((EV68*1.15*1.5)),2)</f>
        <v>1805.87</v>
      </c>
      <c r="AG68">
        <f>ROUND((AP68),2)</f>
        <v>0</v>
      </c>
      <c r="AH68">
        <f>((EW68*1.15*1.5))</f>
        <v>206.62049999999999</v>
      </c>
      <c r="AI68">
        <f>((EX68*1.25))</f>
        <v>5.625</v>
      </c>
      <c r="AJ68">
        <f>(AS68)</f>
        <v>0</v>
      </c>
      <c r="AK68">
        <v>10547.21</v>
      </c>
      <c r="AL68">
        <v>9358.2999999999993</v>
      </c>
      <c r="AM68">
        <v>142.03</v>
      </c>
      <c r="AN68">
        <v>53.61</v>
      </c>
      <c r="AO68">
        <v>1046.8800000000001</v>
      </c>
      <c r="AP68">
        <v>0</v>
      </c>
      <c r="AQ68">
        <v>119.78</v>
      </c>
      <c r="AR68">
        <v>4.5</v>
      </c>
      <c r="AS68">
        <v>0</v>
      </c>
      <c r="AT68">
        <v>123</v>
      </c>
      <c r="AU68">
        <v>75</v>
      </c>
      <c r="AV68">
        <v>1</v>
      </c>
      <c r="AW68">
        <v>1</v>
      </c>
      <c r="AZ68">
        <v>1</v>
      </c>
      <c r="BA68">
        <v>31.51</v>
      </c>
      <c r="BB68">
        <v>11.55</v>
      </c>
      <c r="BC68">
        <v>8.82</v>
      </c>
      <c r="BD68" t="s">
        <v>3</v>
      </c>
      <c r="BE68" t="s">
        <v>3</v>
      </c>
      <c r="BF68" t="s">
        <v>3</v>
      </c>
      <c r="BG68" t="s">
        <v>3</v>
      </c>
      <c r="BH68">
        <v>0</v>
      </c>
      <c r="BI68">
        <v>1</v>
      </c>
      <c r="BJ68" t="s">
        <v>19</v>
      </c>
      <c r="BM68">
        <v>11001</v>
      </c>
      <c r="BN68">
        <v>0</v>
      </c>
      <c r="BO68" t="s">
        <v>3</v>
      </c>
      <c r="BP68">
        <v>0</v>
      </c>
      <c r="BQ68">
        <v>2</v>
      </c>
      <c r="BR68">
        <v>0</v>
      </c>
      <c r="BS68">
        <v>31.51</v>
      </c>
      <c r="BT68">
        <v>1</v>
      </c>
      <c r="BU68">
        <v>1</v>
      </c>
      <c r="BV68">
        <v>1</v>
      </c>
      <c r="BW68">
        <v>1</v>
      </c>
      <c r="BX68">
        <v>1</v>
      </c>
      <c r="BY68" t="s">
        <v>3</v>
      </c>
      <c r="BZ68">
        <v>123</v>
      </c>
      <c r="CA68">
        <v>75</v>
      </c>
      <c r="CB68" t="s">
        <v>3</v>
      </c>
      <c r="CE68">
        <v>0</v>
      </c>
      <c r="CF68">
        <v>0</v>
      </c>
      <c r="CG68">
        <v>0</v>
      </c>
      <c r="CM68">
        <v>0</v>
      </c>
      <c r="CN68" t="s">
        <v>272</v>
      </c>
      <c r="CO68">
        <v>0</v>
      </c>
      <c r="CP68">
        <f>(P68+Q68+S68)</f>
        <v>2358</v>
      </c>
      <c r="CQ68">
        <f>AC68*BC68</f>
        <v>0</v>
      </c>
      <c r="CR68">
        <f>AD68*BB68</f>
        <v>2050.587</v>
      </c>
      <c r="CS68">
        <f>AE68*BS68</f>
        <v>2111.4851000000003</v>
      </c>
      <c r="CT68">
        <f>AF68*BA68</f>
        <v>56902.9637</v>
      </c>
      <c r="CU68">
        <f t="shared" ref="CU68:CX69" si="32">AG68</f>
        <v>0</v>
      </c>
      <c r="CV68">
        <f t="shared" si="32"/>
        <v>206.62049999999999</v>
      </c>
      <c r="CW68">
        <f t="shared" si="32"/>
        <v>5.625</v>
      </c>
      <c r="CX68">
        <f t="shared" si="32"/>
        <v>0</v>
      </c>
      <c r="CY68">
        <f>(((S68+R68)*AT68)/100)</f>
        <v>2902.8</v>
      </c>
      <c r="CZ68">
        <f>(((S68+R68)*AU68)/100)</f>
        <v>1770</v>
      </c>
      <c r="DC68" t="s">
        <v>3</v>
      </c>
      <c r="DD68" t="s">
        <v>20</v>
      </c>
      <c r="DE68" t="s">
        <v>21</v>
      </c>
      <c r="DF68" t="s">
        <v>21</v>
      </c>
      <c r="DG68" t="s">
        <v>22</v>
      </c>
      <c r="DH68" t="s">
        <v>3</v>
      </c>
      <c r="DI68" t="s">
        <v>22</v>
      </c>
      <c r="DJ68" t="s">
        <v>21</v>
      </c>
      <c r="DK68" t="s">
        <v>3</v>
      </c>
      <c r="DL68" t="s">
        <v>3</v>
      </c>
      <c r="DM68" t="s">
        <v>3</v>
      </c>
      <c r="DN68">
        <v>0</v>
      </c>
      <c r="DO68">
        <v>0</v>
      </c>
      <c r="DP68">
        <v>1</v>
      </c>
      <c r="DQ68">
        <v>1</v>
      </c>
      <c r="DU68">
        <v>1005</v>
      </c>
      <c r="DV68" t="s">
        <v>18</v>
      </c>
      <c r="DW68" t="s">
        <v>18</v>
      </c>
      <c r="DX68">
        <v>100</v>
      </c>
      <c r="DZ68" t="s">
        <v>3</v>
      </c>
      <c r="EA68" t="s">
        <v>3</v>
      </c>
      <c r="EB68" t="s">
        <v>3</v>
      </c>
      <c r="EC68" t="s">
        <v>3</v>
      </c>
      <c r="EE68">
        <v>44174010</v>
      </c>
      <c r="EF68">
        <v>2</v>
      </c>
      <c r="EG68" t="s">
        <v>23</v>
      </c>
      <c r="EH68">
        <v>0</v>
      </c>
      <c r="EI68" t="s">
        <v>3</v>
      </c>
      <c r="EJ68">
        <v>1</v>
      </c>
      <c r="EK68">
        <v>11001</v>
      </c>
      <c r="EL68" t="s">
        <v>24</v>
      </c>
      <c r="EM68" t="s">
        <v>25</v>
      </c>
      <c r="EO68" t="s">
        <v>26</v>
      </c>
      <c r="EQ68">
        <v>0</v>
      </c>
      <c r="ER68">
        <v>10547.21</v>
      </c>
      <c r="ES68">
        <v>9358.2999999999993</v>
      </c>
      <c r="ET68">
        <v>142.03</v>
      </c>
      <c r="EU68">
        <v>53.61</v>
      </c>
      <c r="EV68">
        <v>1046.8800000000001</v>
      </c>
      <c r="EW68">
        <v>119.78</v>
      </c>
      <c r="EX68">
        <v>4.5</v>
      </c>
      <c r="EY68">
        <v>0</v>
      </c>
      <c r="FQ68">
        <v>0</v>
      </c>
      <c r="FR68">
        <f>ROUND(IF(AND(BH68=3,BI68=3),P68,0),0)</f>
        <v>0</v>
      </c>
      <c r="FS68">
        <v>0</v>
      </c>
      <c r="FX68">
        <v>123</v>
      </c>
      <c r="FY68">
        <v>75</v>
      </c>
      <c r="GA68" t="s">
        <v>3</v>
      </c>
      <c r="GD68">
        <v>1</v>
      </c>
      <c r="GF68">
        <v>311668719</v>
      </c>
      <c r="GG68">
        <v>2</v>
      </c>
      <c r="GH68">
        <v>1</v>
      </c>
      <c r="GI68">
        <v>4</v>
      </c>
      <c r="GJ68">
        <v>0</v>
      </c>
      <c r="GK68">
        <v>0</v>
      </c>
      <c r="GL68">
        <f>ROUND(IF(AND(BH68=3,BI68=3,FS68&lt;&gt;0),P68,0),0)</f>
        <v>0</v>
      </c>
      <c r="GM68">
        <f>ROUND(O68+X68+Y68,0)+GX68</f>
        <v>7031</v>
      </c>
      <c r="GN68">
        <f>IF(OR(BI68=0,BI68=1),ROUND(O68+X68+Y68,0),0)</f>
        <v>7031</v>
      </c>
      <c r="GO68">
        <f>IF(BI68=2,ROUND(O68+X68+Y68,0),0)</f>
        <v>0</v>
      </c>
      <c r="GP68">
        <f>IF(BI68=4,ROUND(O68+X68+Y68,0)+GX68,0)</f>
        <v>0</v>
      </c>
      <c r="GR68">
        <v>0</v>
      </c>
      <c r="GS68">
        <v>3</v>
      </c>
      <c r="GT68">
        <v>0</v>
      </c>
      <c r="GU68" t="s">
        <v>3</v>
      </c>
      <c r="GV68">
        <f>ROUND((GT68),2)</f>
        <v>0</v>
      </c>
      <c r="GW68">
        <v>1</v>
      </c>
      <c r="GX68">
        <f>ROUND(HC68*I68,0)</f>
        <v>0</v>
      </c>
      <c r="HA68">
        <v>0</v>
      </c>
      <c r="HB68">
        <v>0</v>
      </c>
      <c r="HC68">
        <f>GV68*GW68</f>
        <v>0</v>
      </c>
      <c r="HE68" t="s">
        <v>3</v>
      </c>
      <c r="HF68" t="s">
        <v>3</v>
      </c>
      <c r="HM68" t="s">
        <v>3</v>
      </c>
      <c r="HN68" t="s">
        <v>27</v>
      </c>
      <c r="HO68" t="s">
        <v>28</v>
      </c>
      <c r="HP68" t="s">
        <v>24</v>
      </c>
      <c r="HQ68" t="s">
        <v>24</v>
      </c>
      <c r="IK68">
        <v>0</v>
      </c>
    </row>
    <row r="69" spans="1:245" x14ac:dyDescent="0.25">
      <c r="A69">
        <v>17</v>
      </c>
      <c r="B69">
        <v>1</v>
      </c>
      <c r="C69">
        <f>ROW(SmtRes!A57)</f>
        <v>57</v>
      </c>
      <c r="D69">
        <f>ROW(EtalonRes!A67)</f>
        <v>67</v>
      </c>
      <c r="E69" t="s">
        <v>106</v>
      </c>
      <c r="F69" t="s">
        <v>30</v>
      </c>
      <c r="G69" t="s">
        <v>31</v>
      </c>
      <c r="H69" t="s">
        <v>18</v>
      </c>
      <c r="I69">
        <f>ROUND(10/100,9)</f>
        <v>0.1</v>
      </c>
      <c r="J69">
        <v>0</v>
      </c>
      <c r="K69">
        <f>ROUND(10/100,9)</f>
        <v>0.1</v>
      </c>
      <c r="O69">
        <f>ROUND(CP69,0)</f>
        <v>5797</v>
      </c>
      <c r="P69">
        <f>ROUND(CQ69*I69,0)</f>
        <v>0</v>
      </c>
      <c r="Q69">
        <f>ROUND(CR69*I69,0)</f>
        <v>46</v>
      </c>
      <c r="R69">
        <f>ROUND(CS69*I69,0)</f>
        <v>69</v>
      </c>
      <c r="S69">
        <f>ROUND(CT69*I69,0)</f>
        <v>5751</v>
      </c>
      <c r="T69">
        <f>ROUND(CU69*I69,0)</f>
        <v>0</v>
      </c>
      <c r="U69">
        <f>CV69*I69</f>
        <v>19.882350000000002</v>
      </c>
      <c r="V69">
        <f>CW69*I69</f>
        <v>0.20625000000000002</v>
      </c>
      <c r="W69">
        <f>ROUND(CX69*I69,0)</f>
        <v>0</v>
      </c>
      <c r="X69">
        <f>ROUND(CY69,0)</f>
        <v>6111</v>
      </c>
      <c r="Y69">
        <f>ROUND(CZ69,0)</f>
        <v>3201</v>
      </c>
      <c r="AA69">
        <v>46567972</v>
      </c>
      <c r="AB69">
        <f>ROUND((AC69+AD69+AF69),2)</f>
        <v>1864.9</v>
      </c>
      <c r="AC69">
        <f>ROUND(((ES69*0)),2)</f>
        <v>0</v>
      </c>
      <c r="AD69">
        <f>ROUND(((((ET69*1.25))-((EU69*1.25)))+AE69),2)</f>
        <v>39.69</v>
      </c>
      <c r="AE69">
        <f>ROUND(((EU69*1.25)),2)</f>
        <v>21.91</v>
      </c>
      <c r="AF69">
        <f>ROUND(((EV69*1.15*1.5)),2)</f>
        <v>1825.21</v>
      </c>
      <c r="AG69">
        <f>ROUND((AP69),2)</f>
        <v>0</v>
      </c>
      <c r="AH69">
        <f>((EW69*1.15*1.5))</f>
        <v>198.82350000000002</v>
      </c>
      <c r="AI69">
        <f>((EX69*1.25))</f>
        <v>2.0625</v>
      </c>
      <c r="AJ69">
        <f>(AS69)</f>
        <v>0</v>
      </c>
      <c r="AK69">
        <v>1090.96</v>
      </c>
      <c r="AL69">
        <v>1.1200000000000001</v>
      </c>
      <c r="AM69">
        <v>31.75</v>
      </c>
      <c r="AN69">
        <v>17.53</v>
      </c>
      <c r="AO69">
        <v>1058.0899999999999</v>
      </c>
      <c r="AP69">
        <v>0</v>
      </c>
      <c r="AQ69">
        <v>115.26</v>
      </c>
      <c r="AR69">
        <v>1.65</v>
      </c>
      <c r="AS69">
        <v>0</v>
      </c>
      <c r="AT69">
        <v>105</v>
      </c>
      <c r="AU69">
        <v>55</v>
      </c>
      <c r="AV69">
        <v>1</v>
      </c>
      <c r="AW69">
        <v>1</v>
      </c>
      <c r="AZ69">
        <v>1</v>
      </c>
      <c r="BA69">
        <v>31.51</v>
      </c>
      <c r="BB69">
        <v>11.55</v>
      </c>
      <c r="BC69">
        <v>8.82</v>
      </c>
      <c r="BD69" t="s">
        <v>3</v>
      </c>
      <c r="BE69" t="s">
        <v>3</v>
      </c>
      <c r="BF69" t="s">
        <v>3</v>
      </c>
      <c r="BG69" t="s">
        <v>3</v>
      </c>
      <c r="BH69">
        <v>0</v>
      </c>
      <c r="BI69">
        <v>1</v>
      </c>
      <c r="BJ69" t="s">
        <v>32</v>
      </c>
      <c r="BM69">
        <v>15001</v>
      </c>
      <c r="BN69">
        <v>0</v>
      </c>
      <c r="BO69" t="s">
        <v>3</v>
      </c>
      <c r="BP69">
        <v>0</v>
      </c>
      <c r="BQ69">
        <v>2</v>
      </c>
      <c r="BR69">
        <v>0</v>
      </c>
      <c r="BS69">
        <v>31.51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</v>
      </c>
      <c r="BZ69">
        <v>105</v>
      </c>
      <c r="CA69">
        <v>55</v>
      </c>
      <c r="CB69" t="s">
        <v>3</v>
      </c>
      <c r="CE69">
        <v>0</v>
      </c>
      <c r="CF69">
        <v>0</v>
      </c>
      <c r="CG69">
        <v>0</v>
      </c>
      <c r="CM69">
        <v>0</v>
      </c>
      <c r="CN69" t="s">
        <v>272</v>
      </c>
      <c r="CO69">
        <v>0</v>
      </c>
      <c r="CP69">
        <f>(P69+Q69+S69)</f>
        <v>5797</v>
      </c>
      <c r="CQ69">
        <f>AC69*BC69</f>
        <v>0</v>
      </c>
      <c r="CR69">
        <f>AD69*BB69</f>
        <v>458.41950000000003</v>
      </c>
      <c r="CS69">
        <f>AE69*BS69</f>
        <v>690.38409999999999</v>
      </c>
      <c r="CT69">
        <f>AF69*BA69</f>
        <v>57512.367100000003</v>
      </c>
      <c r="CU69">
        <f t="shared" si="32"/>
        <v>0</v>
      </c>
      <c r="CV69">
        <f t="shared" si="32"/>
        <v>198.82350000000002</v>
      </c>
      <c r="CW69">
        <f t="shared" si="32"/>
        <v>2.0625</v>
      </c>
      <c r="CX69">
        <f t="shared" si="32"/>
        <v>0</v>
      </c>
      <c r="CY69">
        <f>(((S69+R69)*AT69)/100)</f>
        <v>6111</v>
      </c>
      <c r="CZ69">
        <f>(((S69+R69)*AU69)/100)</f>
        <v>3201</v>
      </c>
      <c r="DC69" t="s">
        <v>3</v>
      </c>
      <c r="DD69" t="s">
        <v>20</v>
      </c>
      <c r="DE69" t="s">
        <v>21</v>
      </c>
      <c r="DF69" t="s">
        <v>21</v>
      </c>
      <c r="DG69" t="s">
        <v>22</v>
      </c>
      <c r="DH69" t="s">
        <v>3</v>
      </c>
      <c r="DI69" t="s">
        <v>22</v>
      </c>
      <c r="DJ69" t="s">
        <v>21</v>
      </c>
      <c r="DK69" t="s">
        <v>3</v>
      </c>
      <c r="DL69" t="s">
        <v>3</v>
      </c>
      <c r="DM69" t="s">
        <v>3</v>
      </c>
      <c r="DN69">
        <v>0</v>
      </c>
      <c r="DO69">
        <v>0</v>
      </c>
      <c r="DP69">
        <v>1</v>
      </c>
      <c r="DQ69">
        <v>1</v>
      </c>
      <c r="DU69">
        <v>1005</v>
      </c>
      <c r="DV69" t="s">
        <v>18</v>
      </c>
      <c r="DW69" t="s">
        <v>18</v>
      </c>
      <c r="DX69">
        <v>100</v>
      </c>
      <c r="DZ69" t="s">
        <v>3</v>
      </c>
      <c r="EA69" t="s">
        <v>3</v>
      </c>
      <c r="EB69" t="s">
        <v>3</v>
      </c>
      <c r="EC69" t="s">
        <v>3</v>
      </c>
      <c r="EE69">
        <v>44174042</v>
      </c>
      <c r="EF69">
        <v>2</v>
      </c>
      <c r="EG69" t="s">
        <v>23</v>
      </c>
      <c r="EH69">
        <v>0</v>
      </c>
      <c r="EI69" t="s">
        <v>3</v>
      </c>
      <c r="EJ69">
        <v>1</v>
      </c>
      <c r="EK69">
        <v>15001</v>
      </c>
      <c r="EL69" t="s">
        <v>33</v>
      </c>
      <c r="EM69" t="s">
        <v>34</v>
      </c>
      <c r="EO69" t="s">
        <v>26</v>
      </c>
      <c r="EQ69">
        <v>0</v>
      </c>
      <c r="ER69">
        <v>1090.96</v>
      </c>
      <c r="ES69">
        <v>1.1200000000000001</v>
      </c>
      <c r="ET69">
        <v>31.75</v>
      </c>
      <c r="EU69">
        <v>17.53</v>
      </c>
      <c r="EV69">
        <v>1058.0899999999999</v>
      </c>
      <c r="EW69">
        <v>115.26</v>
      </c>
      <c r="EX69">
        <v>1.65</v>
      </c>
      <c r="EY69">
        <v>0</v>
      </c>
      <c r="FQ69">
        <v>0</v>
      </c>
      <c r="FR69">
        <f>ROUND(IF(AND(BH69=3,BI69=3),P69,0),0)</f>
        <v>0</v>
      </c>
      <c r="FS69">
        <v>0</v>
      </c>
      <c r="FX69">
        <v>105</v>
      </c>
      <c r="FY69">
        <v>55</v>
      </c>
      <c r="GA69" t="s">
        <v>3</v>
      </c>
      <c r="GD69">
        <v>1</v>
      </c>
      <c r="GF69">
        <v>-1584784633</v>
      </c>
      <c r="GG69">
        <v>2</v>
      </c>
      <c r="GH69">
        <v>1</v>
      </c>
      <c r="GI69">
        <v>4</v>
      </c>
      <c r="GJ69">
        <v>0</v>
      </c>
      <c r="GK69">
        <v>0</v>
      </c>
      <c r="GL69">
        <f>ROUND(IF(AND(BH69=3,BI69=3,FS69&lt;&gt;0),P69,0),0)</f>
        <v>0</v>
      </c>
      <c r="GM69">
        <f>ROUND(O69+X69+Y69,0)+GX69</f>
        <v>15109</v>
      </c>
      <c r="GN69">
        <f>IF(OR(BI69=0,BI69=1),ROUND(O69+X69+Y69,0),0)</f>
        <v>15109</v>
      </c>
      <c r="GO69">
        <f>IF(BI69=2,ROUND(O69+X69+Y69,0),0)</f>
        <v>0</v>
      </c>
      <c r="GP69">
        <f>IF(BI69=4,ROUND(O69+X69+Y69,0)+GX69,0)</f>
        <v>0</v>
      </c>
      <c r="GR69">
        <v>0</v>
      </c>
      <c r="GS69">
        <v>3</v>
      </c>
      <c r="GT69">
        <v>0</v>
      </c>
      <c r="GU69" t="s">
        <v>3</v>
      </c>
      <c r="GV69">
        <f>ROUND((GT69),2)</f>
        <v>0</v>
      </c>
      <c r="GW69">
        <v>1</v>
      </c>
      <c r="GX69">
        <f>ROUND(HC69*I69,0)</f>
        <v>0</v>
      </c>
      <c r="HA69">
        <v>0</v>
      </c>
      <c r="HB69">
        <v>0</v>
      </c>
      <c r="HC69">
        <f>GV69*GW69</f>
        <v>0</v>
      </c>
      <c r="HE69" t="s">
        <v>3</v>
      </c>
      <c r="HF69" t="s">
        <v>3</v>
      </c>
      <c r="HM69" t="s">
        <v>3</v>
      </c>
      <c r="HN69" t="s">
        <v>35</v>
      </c>
      <c r="HO69" t="s">
        <v>36</v>
      </c>
      <c r="HP69" t="s">
        <v>33</v>
      </c>
      <c r="HQ69" t="s">
        <v>33</v>
      </c>
      <c r="IK69">
        <v>0</v>
      </c>
    </row>
    <row r="71" spans="1:245" x14ac:dyDescent="0.25">
      <c r="A71" s="2">
        <v>51</v>
      </c>
      <c r="B71" s="2">
        <f>B64</f>
        <v>1</v>
      </c>
      <c r="C71" s="2">
        <f>A64</f>
        <v>4</v>
      </c>
      <c r="D71" s="2">
        <f>ROW(A64)</f>
        <v>64</v>
      </c>
      <c r="E71" s="2"/>
      <c r="F71" s="2" t="str">
        <f>IF(F64&lt;&gt;"",F64,"")</f>
        <v>Новый раздел</v>
      </c>
      <c r="G71" s="2" t="str">
        <f>IF(G64&lt;&gt;"",G64,"")</f>
        <v>Ремонт санузлов в здании АБК</v>
      </c>
      <c r="H71" s="2">
        <v>0</v>
      </c>
      <c r="I71" s="2"/>
      <c r="J71" s="2"/>
      <c r="K71" s="2"/>
      <c r="L71" s="2"/>
      <c r="M71" s="2"/>
      <c r="N71" s="2"/>
      <c r="O71" s="2">
        <f t="shared" ref="O71:T71" si="33">ROUND(AB71,0)</f>
        <v>8155</v>
      </c>
      <c r="P71" s="2">
        <f t="shared" si="33"/>
        <v>0</v>
      </c>
      <c r="Q71" s="2">
        <f t="shared" si="33"/>
        <v>128</v>
      </c>
      <c r="R71" s="2">
        <f t="shared" si="33"/>
        <v>153</v>
      </c>
      <c r="S71" s="2">
        <f t="shared" si="33"/>
        <v>8027</v>
      </c>
      <c r="T71" s="2">
        <f t="shared" si="33"/>
        <v>0</v>
      </c>
      <c r="U71" s="2">
        <f>AH71</f>
        <v>28.147170000000003</v>
      </c>
      <c r="V71" s="2">
        <f>AI71</f>
        <v>0.43125000000000002</v>
      </c>
      <c r="W71" s="2">
        <f>ROUND(AJ71,0)</f>
        <v>0</v>
      </c>
      <c r="X71" s="2">
        <f>ROUND(AK71,0)</f>
        <v>9014</v>
      </c>
      <c r="Y71" s="2">
        <f>ROUND(AL71,0)</f>
        <v>4971</v>
      </c>
      <c r="Z71" s="2"/>
      <c r="AA71" s="2"/>
      <c r="AB71" s="2">
        <f>ROUND(SUMIF(AA68:AA69,"=46567972",O68:O69),0)</f>
        <v>8155</v>
      </c>
      <c r="AC71" s="2">
        <f>ROUND(SUMIF(AA68:AA69,"=46567972",P68:P69),0)</f>
        <v>0</v>
      </c>
      <c r="AD71" s="2">
        <f>ROUND(SUMIF(AA68:AA69,"=46567972",Q68:Q69),0)</f>
        <v>128</v>
      </c>
      <c r="AE71" s="2">
        <f>ROUND(SUMIF(AA68:AA69,"=46567972",R68:R69),0)</f>
        <v>153</v>
      </c>
      <c r="AF71" s="2">
        <f>ROUND(SUMIF(AA68:AA69,"=46567972",S68:S69),0)</f>
        <v>8027</v>
      </c>
      <c r="AG71" s="2">
        <f>ROUND(SUMIF(AA68:AA69,"=46567972",T68:T69),0)</f>
        <v>0</v>
      </c>
      <c r="AH71" s="2">
        <f>SUMIF(AA68:AA69,"=46567972",U68:U69)</f>
        <v>28.147170000000003</v>
      </c>
      <c r="AI71" s="2">
        <f>SUMIF(AA68:AA69,"=46567972",V68:V69)</f>
        <v>0.43125000000000002</v>
      </c>
      <c r="AJ71" s="2">
        <f>ROUND(SUMIF(AA68:AA69,"=46567972",W68:W69),0)</f>
        <v>0</v>
      </c>
      <c r="AK71" s="2">
        <f>ROUND(SUMIF(AA68:AA69,"=46567972",X68:X69),0)</f>
        <v>9014</v>
      </c>
      <c r="AL71" s="2">
        <f>ROUND(SUMIF(AA68:AA69,"=46567972",Y68:Y69),0)</f>
        <v>4971</v>
      </c>
      <c r="AM71" s="2"/>
      <c r="AN71" s="2"/>
      <c r="AO71" s="2">
        <f t="shared" ref="AO71:BD71" si="34">ROUND(BX71,0)</f>
        <v>0</v>
      </c>
      <c r="AP71" s="2">
        <f t="shared" si="34"/>
        <v>0</v>
      </c>
      <c r="AQ71" s="2">
        <f t="shared" si="34"/>
        <v>0</v>
      </c>
      <c r="AR71" s="2">
        <f t="shared" si="34"/>
        <v>22140</v>
      </c>
      <c r="AS71" s="2">
        <f t="shared" si="34"/>
        <v>22140</v>
      </c>
      <c r="AT71" s="2">
        <f t="shared" si="34"/>
        <v>0</v>
      </c>
      <c r="AU71" s="2">
        <f t="shared" si="34"/>
        <v>0</v>
      </c>
      <c r="AV71" s="2">
        <f t="shared" si="34"/>
        <v>0</v>
      </c>
      <c r="AW71" s="2">
        <f t="shared" si="34"/>
        <v>0</v>
      </c>
      <c r="AX71" s="2">
        <f t="shared" si="34"/>
        <v>0</v>
      </c>
      <c r="AY71" s="2">
        <f t="shared" si="34"/>
        <v>0</v>
      </c>
      <c r="AZ71" s="2">
        <f t="shared" si="34"/>
        <v>0</v>
      </c>
      <c r="BA71" s="2">
        <f t="shared" si="34"/>
        <v>0</v>
      </c>
      <c r="BB71" s="2">
        <f t="shared" si="34"/>
        <v>0</v>
      </c>
      <c r="BC71" s="2">
        <f t="shared" si="34"/>
        <v>0</v>
      </c>
      <c r="BD71" s="2">
        <f t="shared" si="34"/>
        <v>0</v>
      </c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>
        <f>ROUND(SUMIF(AA68:AA69,"=46567972",FQ68:FQ69),0)</f>
        <v>0</v>
      </c>
      <c r="BY71" s="2">
        <f>ROUND(SUMIF(AA68:AA69,"=46567972",FR68:FR69),0)</f>
        <v>0</v>
      </c>
      <c r="BZ71" s="2">
        <f>ROUND(SUMIF(AA68:AA69,"=46567972",GL68:GL69),0)</f>
        <v>0</v>
      </c>
      <c r="CA71" s="2">
        <f>ROUND(SUMIF(AA68:AA69,"=46567972",GM68:GM69),0)</f>
        <v>22140</v>
      </c>
      <c r="CB71" s="2">
        <f>ROUND(SUMIF(AA68:AA69,"=46567972",GN68:GN69),0)</f>
        <v>22140</v>
      </c>
      <c r="CC71" s="2">
        <f>ROUND(SUMIF(AA68:AA69,"=46567972",GO68:GO69),0)</f>
        <v>0</v>
      </c>
      <c r="CD71" s="2">
        <f>ROUND(SUMIF(AA68:AA69,"=46567972",GP68:GP69),0)</f>
        <v>0</v>
      </c>
      <c r="CE71" s="2">
        <f>AC71-BX71</f>
        <v>0</v>
      </c>
      <c r="CF71" s="2">
        <f>AC71-BY71</f>
        <v>0</v>
      </c>
      <c r="CG71" s="2">
        <f>BX71-BZ71</f>
        <v>0</v>
      </c>
      <c r="CH71" s="2">
        <f>AC71-BX71-BY71+BZ71</f>
        <v>0</v>
      </c>
      <c r="CI71" s="2">
        <f>BY71-BZ71</f>
        <v>0</v>
      </c>
      <c r="CJ71" s="2">
        <f>ROUND(SUMIF(AA68:AA69,"=46567972",GX68:GX69),0)</f>
        <v>0</v>
      </c>
      <c r="CK71" s="2">
        <f>ROUND(SUMIF(AA68:AA69,"=46567972",GY68:GY69),0)</f>
        <v>0</v>
      </c>
      <c r="CL71" s="2">
        <f>ROUND(SUMIF(AA68:AA69,"=46567972",GZ68:GZ69),0)</f>
        <v>0</v>
      </c>
      <c r="CM71" s="2">
        <f>ROUND(SUMIF(AA68:AA69,"=46567972",HD68:HD69),0)</f>
        <v>0</v>
      </c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>
        <v>0</v>
      </c>
    </row>
    <row r="73" spans="1:245" x14ac:dyDescent="0.25">
      <c r="A73" s="4">
        <v>50</v>
      </c>
      <c r="B73" s="4">
        <v>0</v>
      </c>
      <c r="C73" s="4">
        <v>0</v>
      </c>
      <c r="D73" s="4">
        <v>1</v>
      </c>
      <c r="E73" s="4">
        <v>201</v>
      </c>
      <c r="F73" s="4">
        <f>ROUND(Source!O71,O73)</f>
        <v>8155</v>
      </c>
      <c r="G73" s="4" t="s">
        <v>50</v>
      </c>
      <c r="H73" s="4" t="s">
        <v>51</v>
      </c>
      <c r="I73" s="4"/>
      <c r="J73" s="4"/>
      <c r="K73" s="4">
        <v>201</v>
      </c>
      <c r="L73" s="4">
        <v>1</v>
      </c>
      <c r="M73" s="4">
        <v>3</v>
      </c>
      <c r="N73" s="4" t="s">
        <v>3</v>
      </c>
      <c r="O73" s="4">
        <v>0</v>
      </c>
      <c r="P73" s="4"/>
      <c r="Q73" s="4"/>
      <c r="R73" s="4"/>
      <c r="S73" s="4"/>
      <c r="T73" s="4"/>
      <c r="U73" s="4"/>
      <c r="V73" s="4"/>
      <c r="W73" s="4">
        <v>8155</v>
      </c>
      <c r="X73" s="4">
        <v>1</v>
      </c>
      <c r="Y73" s="4">
        <v>8155</v>
      </c>
      <c r="Z73" s="4"/>
      <c r="AA73" s="4"/>
      <c r="AB73" s="4"/>
    </row>
    <row r="74" spans="1:245" x14ac:dyDescent="0.25">
      <c r="A74" s="4">
        <v>50</v>
      </c>
      <c r="B74" s="4">
        <v>0</v>
      </c>
      <c r="C74" s="4">
        <v>0</v>
      </c>
      <c r="D74" s="4">
        <v>1</v>
      </c>
      <c r="E74" s="4">
        <v>202</v>
      </c>
      <c r="F74" s="4">
        <f>ROUND(Source!P71,O74)</f>
        <v>0</v>
      </c>
      <c r="G74" s="4" t="s">
        <v>52</v>
      </c>
      <c r="H74" s="4" t="s">
        <v>53</v>
      </c>
      <c r="I74" s="4"/>
      <c r="J74" s="4"/>
      <c r="K74" s="4">
        <v>202</v>
      </c>
      <c r="L74" s="4">
        <v>2</v>
      </c>
      <c r="M74" s="4">
        <v>3</v>
      </c>
      <c r="N74" s="4" t="s">
        <v>3</v>
      </c>
      <c r="O74" s="4">
        <v>0</v>
      </c>
      <c r="P74" s="4"/>
      <c r="Q74" s="4"/>
      <c r="R74" s="4"/>
      <c r="S74" s="4"/>
      <c r="T74" s="4"/>
      <c r="U74" s="4"/>
      <c r="V74" s="4"/>
      <c r="W74" s="4">
        <v>0</v>
      </c>
      <c r="X74" s="4">
        <v>1</v>
      </c>
      <c r="Y74" s="4">
        <v>0</v>
      </c>
      <c r="Z74" s="4"/>
      <c r="AA74" s="4"/>
      <c r="AB74" s="4"/>
    </row>
    <row r="75" spans="1:245" x14ac:dyDescent="0.25">
      <c r="A75" s="4">
        <v>50</v>
      </c>
      <c r="B75" s="4">
        <v>0</v>
      </c>
      <c r="C75" s="4">
        <v>0</v>
      </c>
      <c r="D75" s="4">
        <v>1</v>
      </c>
      <c r="E75" s="4">
        <v>222</v>
      </c>
      <c r="F75" s="4">
        <f>ROUND(Source!AO71,O75)</f>
        <v>0</v>
      </c>
      <c r="G75" s="4" t="s">
        <v>54</v>
      </c>
      <c r="H75" s="4" t="s">
        <v>55</v>
      </c>
      <c r="I75" s="4"/>
      <c r="J75" s="4"/>
      <c r="K75" s="4">
        <v>222</v>
      </c>
      <c r="L75" s="4">
        <v>3</v>
      </c>
      <c r="M75" s="4">
        <v>3</v>
      </c>
      <c r="N75" s="4" t="s">
        <v>3</v>
      </c>
      <c r="O75" s="4">
        <v>0</v>
      </c>
      <c r="P75" s="4"/>
      <c r="Q75" s="4"/>
      <c r="R75" s="4"/>
      <c r="S75" s="4"/>
      <c r="T75" s="4"/>
      <c r="U75" s="4"/>
      <c r="V75" s="4"/>
      <c r="W75" s="4">
        <v>0</v>
      </c>
      <c r="X75" s="4">
        <v>1</v>
      </c>
      <c r="Y75" s="4">
        <v>0</v>
      </c>
      <c r="Z75" s="4"/>
      <c r="AA75" s="4"/>
      <c r="AB75" s="4"/>
    </row>
    <row r="76" spans="1:245" x14ac:dyDescent="0.25">
      <c r="A76" s="4">
        <v>50</v>
      </c>
      <c r="B76" s="4">
        <v>0</v>
      </c>
      <c r="C76" s="4">
        <v>0</v>
      </c>
      <c r="D76" s="4">
        <v>1</v>
      </c>
      <c r="E76" s="4">
        <v>225</v>
      </c>
      <c r="F76" s="4">
        <f>ROUND(Source!AV71,O76)</f>
        <v>0</v>
      </c>
      <c r="G76" s="4" t="s">
        <v>56</v>
      </c>
      <c r="H76" s="4" t="s">
        <v>57</v>
      </c>
      <c r="I76" s="4"/>
      <c r="J76" s="4"/>
      <c r="K76" s="4">
        <v>225</v>
      </c>
      <c r="L76" s="4">
        <v>4</v>
      </c>
      <c r="M76" s="4">
        <v>3</v>
      </c>
      <c r="N76" s="4" t="s">
        <v>3</v>
      </c>
      <c r="O76" s="4">
        <v>0</v>
      </c>
      <c r="P76" s="4"/>
      <c r="Q76" s="4"/>
      <c r="R76" s="4"/>
      <c r="S76" s="4"/>
      <c r="T76" s="4"/>
      <c r="U76" s="4"/>
      <c r="V76" s="4"/>
      <c r="W76" s="4">
        <v>0</v>
      </c>
      <c r="X76" s="4">
        <v>1</v>
      </c>
      <c r="Y76" s="4">
        <v>0</v>
      </c>
      <c r="Z76" s="4"/>
      <c r="AA76" s="4"/>
      <c r="AB76" s="4"/>
    </row>
    <row r="77" spans="1:245" x14ac:dyDescent="0.25">
      <c r="A77" s="4">
        <v>50</v>
      </c>
      <c r="B77" s="4">
        <v>0</v>
      </c>
      <c r="C77" s="4">
        <v>0</v>
      </c>
      <c r="D77" s="4">
        <v>1</v>
      </c>
      <c r="E77" s="4">
        <v>226</v>
      </c>
      <c r="F77" s="4">
        <f>ROUND(Source!AW71,O77)</f>
        <v>0</v>
      </c>
      <c r="G77" s="4" t="s">
        <v>58</v>
      </c>
      <c r="H77" s="4" t="s">
        <v>59</v>
      </c>
      <c r="I77" s="4"/>
      <c r="J77" s="4"/>
      <c r="K77" s="4">
        <v>226</v>
      </c>
      <c r="L77" s="4">
        <v>5</v>
      </c>
      <c r="M77" s="4">
        <v>3</v>
      </c>
      <c r="N77" s="4" t="s">
        <v>3</v>
      </c>
      <c r="O77" s="4">
        <v>0</v>
      </c>
      <c r="P77" s="4"/>
      <c r="Q77" s="4"/>
      <c r="R77" s="4"/>
      <c r="S77" s="4"/>
      <c r="T77" s="4"/>
      <c r="U77" s="4"/>
      <c r="V77" s="4"/>
      <c r="W77" s="4">
        <v>0</v>
      </c>
      <c r="X77" s="4">
        <v>1</v>
      </c>
      <c r="Y77" s="4">
        <v>0</v>
      </c>
      <c r="Z77" s="4"/>
      <c r="AA77" s="4"/>
      <c r="AB77" s="4"/>
    </row>
    <row r="78" spans="1:245" x14ac:dyDescent="0.25">
      <c r="A78" s="4">
        <v>50</v>
      </c>
      <c r="B78" s="4">
        <v>0</v>
      </c>
      <c r="C78" s="4">
        <v>0</v>
      </c>
      <c r="D78" s="4">
        <v>1</v>
      </c>
      <c r="E78" s="4">
        <v>227</v>
      </c>
      <c r="F78" s="4">
        <f>ROUND(Source!AX71,O78)</f>
        <v>0</v>
      </c>
      <c r="G78" s="4" t="s">
        <v>60</v>
      </c>
      <c r="H78" s="4" t="s">
        <v>61</v>
      </c>
      <c r="I78" s="4"/>
      <c r="J78" s="4"/>
      <c r="K78" s="4">
        <v>227</v>
      </c>
      <c r="L78" s="4">
        <v>6</v>
      </c>
      <c r="M78" s="4">
        <v>3</v>
      </c>
      <c r="N78" s="4" t="s">
        <v>3</v>
      </c>
      <c r="O78" s="4">
        <v>0</v>
      </c>
      <c r="P78" s="4"/>
      <c r="Q78" s="4"/>
      <c r="R78" s="4"/>
      <c r="S78" s="4"/>
      <c r="T78" s="4"/>
      <c r="U78" s="4"/>
      <c r="V78" s="4"/>
      <c r="W78" s="4">
        <v>0</v>
      </c>
      <c r="X78" s="4">
        <v>1</v>
      </c>
      <c r="Y78" s="4">
        <v>0</v>
      </c>
      <c r="Z78" s="4"/>
      <c r="AA78" s="4"/>
      <c r="AB78" s="4"/>
    </row>
    <row r="79" spans="1:245" x14ac:dyDescent="0.25">
      <c r="A79" s="4">
        <v>50</v>
      </c>
      <c r="B79" s="4">
        <v>0</v>
      </c>
      <c r="C79" s="4">
        <v>0</v>
      </c>
      <c r="D79" s="4">
        <v>1</v>
      </c>
      <c r="E79" s="4">
        <v>228</v>
      </c>
      <c r="F79" s="4">
        <f>ROUND(Source!AY71,O79)</f>
        <v>0</v>
      </c>
      <c r="G79" s="4" t="s">
        <v>62</v>
      </c>
      <c r="H79" s="4" t="s">
        <v>63</v>
      </c>
      <c r="I79" s="4"/>
      <c r="J79" s="4"/>
      <c r="K79" s="4">
        <v>228</v>
      </c>
      <c r="L79" s="4">
        <v>7</v>
      </c>
      <c r="M79" s="4">
        <v>3</v>
      </c>
      <c r="N79" s="4" t="s">
        <v>3</v>
      </c>
      <c r="O79" s="4">
        <v>0</v>
      </c>
      <c r="P79" s="4"/>
      <c r="Q79" s="4"/>
      <c r="R79" s="4"/>
      <c r="S79" s="4"/>
      <c r="T79" s="4"/>
      <c r="U79" s="4"/>
      <c r="V79" s="4"/>
      <c r="W79" s="4">
        <v>0</v>
      </c>
      <c r="X79" s="4">
        <v>1</v>
      </c>
      <c r="Y79" s="4">
        <v>0</v>
      </c>
      <c r="Z79" s="4"/>
      <c r="AA79" s="4"/>
      <c r="AB79" s="4"/>
    </row>
    <row r="80" spans="1:245" x14ac:dyDescent="0.25">
      <c r="A80" s="4">
        <v>50</v>
      </c>
      <c r="B80" s="4">
        <v>0</v>
      </c>
      <c r="C80" s="4">
        <v>0</v>
      </c>
      <c r="D80" s="4">
        <v>1</v>
      </c>
      <c r="E80" s="4">
        <v>216</v>
      </c>
      <c r="F80" s="4">
        <f>ROUND(Source!AP71,O80)</f>
        <v>0</v>
      </c>
      <c r="G80" s="4" t="s">
        <v>64</v>
      </c>
      <c r="H80" s="4" t="s">
        <v>65</v>
      </c>
      <c r="I80" s="4"/>
      <c r="J80" s="4"/>
      <c r="K80" s="4">
        <v>216</v>
      </c>
      <c r="L80" s="4">
        <v>8</v>
      </c>
      <c r="M80" s="4">
        <v>3</v>
      </c>
      <c r="N80" s="4" t="s">
        <v>3</v>
      </c>
      <c r="O80" s="4">
        <v>0</v>
      </c>
      <c r="P80" s="4"/>
      <c r="Q80" s="4"/>
      <c r="R80" s="4"/>
      <c r="S80" s="4"/>
      <c r="T80" s="4"/>
      <c r="U80" s="4"/>
      <c r="V80" s="4"/>
      <c r="W80" s="4">
        <v>0</v>
      </c>
      <c r="X80" s="4">
        <v>1</v>
      </c>
      <c r="Y80" s="4">
        <v>0</v>
      </c>
      <c r="Z80" s="4"/>
      <c r="AA80" s="4"/>
      <c r="AB80" s="4"/>
    </row>
    <row r="81" spans="1:28" x14ac:dyDescent="0.25">
      <c r="A81" s="4">
        <v>50</v>
      </c>
      <c r="B81" s="4">
        <v>0</v>
      </c>
      <c r="C81" s="4">
        <v>0</v>
      </c>
      <c r="D81" s="4">
        <v>1</v>
      </c>
      <c r="E81" s="4">
        <v>223</v>
      </c>
      <c r="F81" s="4">
        <f>ROUND(Source!AQ71,O81)</f>
        <v>0</v>
      </c>
      <c r="G81" s="4" t="s">
        <v>66</v>
      </c>
      <c r="H81" s="4" t="s">
        <v>67</v>
      </c>
      <c r="I81" s="4"/>
      <c r="J81" s="4"/>
      <c r="K81" s="4">
        <v>223</v>
      </c>
      <c r="L81" s="4">
        <v>9</v>
      </c>
      <c r="M81" s="4">
        <v>3</v>
      </c>
      <c r="N81" s="4" t="s">
        <v>3</v>
      </c>
      <c r="O81" s="4">
        <v>0</v>
      </c>
      <c r="P81" s="4"/>
      <c r="Q81" s="4"/>
      <c r="R81" s="4"/>
      <c r="S81" s="4"/>
      <c r="T81" s="4"/>
      <c r="U81" s="4"/>
      <c r="V81" s="4"/>
      <c r="W81" s="4">
        <v>0</v>
      </c>
      <c r="X81" s="4">
        <v>1</v>
      </c>
      <c r="Y81" s="4">
        <v>0</v>
      </c>
      <c r="Z81" s="4"/>
      <c r="AA81" s="4"/>
      <c r="AB81" s="4"/>
    </row>
    <row r="82" spans="1:28" x14ac:dyDescent="0.25">
      <c r="A82" s="4">
        <v>50</v>
      </c>
      <c r="B82" s="4">
        <v>0</v>
      </c>
      <c r="C82" s="4">
        <v>0</v>
      </c>
      <c r="D82" s="4">
        <v>1</v>
      </c>
      <c r="E82" s="4">
        <v>229</v>
      </c>
      <c r="F82" s="4">
        <f>ROUND(Source!AZ71,O82)</f>
        <v>0</v>
      </c>
      <c r="G82" s="4" t="s">
        <v>68</v>
      </c>
      <c r="H82" s="4" t="s">
        <v>69</v>
      </c>
      <c r="I82" s="4"/>
      <c r="J82" s="4"/>
      <c r="K82" s="4">
        <v>229</v>
      </c>
      <c r="L82" s="4">
        <v>10</v>
      </c>
      <c r="M82" s="4">
        <v>3</v>
      </c>
      <c r="N82" s="4" t="s">
        <v>3</v>
      </c>
      <c r="O82" s="4">
        <v>0</v>
      </c>
      <c r="P82" s="4"/>
      <c r="Q82" s="4"/>
      <c r="R82" s="4"/>
      <c r="S82" s="4"/>
      <c r="T82" s="4"/>
      <c r="U82" s="4"/>
      <c r="V82" s="4"/>
      <c r="W82" s="4">
        <v>0</v>
      </c>
      <c r="X82" s="4">
        <v>1</v>
      </c>
      <c r="Y82" s="4">
        <v>0</v>
      </c>
      <c r="Z82" s="4"/>
      <c r="AA82" s="4"/>
      <c r="AB82" s="4"/>
    </row>
    <row r="83" spans="1:28" x14ac:dyDescent="0.25">
      <c r="A83" s="4">
        <v>50</v>
      </c>
      <c r="B83" s="4">
        <v>0</v>
      </c>
      <c r="C83" s="4">
        <v>0</v>
      </c>
      <c r="D83" s="4">
        <v>1</v>
      </c>
      <c r="E83" s="4">
        <v>203</v>
      </c>
      <c r="F83" s="4">
        <f>ROUND(Source!Q71,O83)</f>
        <v>128</v>
      </c>
      <c r="G83" s="4" t="s">
        <v>70</v>
      </c>
      <c r="H83" s="4" t="s">
        <v>71</v>
      </c>
      <c r="I83" s="4"/>
      <c r="J83" s="4"/>
      <c r="K83" s="4">
        <v>203</v>
      </c>
      <c r="L83" s="4">
        <v>11</v>
      </c>
      <c r="M83" s="4">
        <v>3</v>
      </c>
      <c r="N83" s="4" t="s">
        <v>3</v>
      </c>
      <c r="O83" s="4">
        <v>0</v>
      </c>
      <c r="P83" s="4"/>
      <c r="Q83" s="4"/>
      <c r="R83" s="4"/>
      <c r="S83" s="4"/>
      <c r="T83" s="4"/>
      <c r="U83" s="4"/>
      <c r="V83" s="4"/>
      <c r="W83" s="4">
        <v>128</v>
      </c>
      <c r="X83" s="4">
        <v>1</v>
      </c>
      <c r="Y83" s="4">
        <v>128</v>
      </c>
      <c r="Z83" s="4"/>
      <c r="AA83" s="4"/>
      <c r="AB83" s="4"/>
    </row>
    <row r="84" spans="1:28" x14ac:dyDescent="0.25">
      <c r="A84" s="4">
        <v>50</v>
      </c>
      <c r="B84" s="4">
        <v>0</v>
      </c>
      <c r="C84" s="4">
        <v>0</v>
      </c>
      <c r="D84" s="4">
        <v>1</v>
      </c>
      <c r="E84" s="4">
        <v>231</v>
      </c>
      <c r="F84" s="4">
        <f>ROUND(Source!BB71,O84)</f>
        <v>0</v>
      </c>
      <c r="G84" s="4" t="s">
        <v>72</v>
      </c>
      <c r="H84" s="4" t="s">
        <v>73</v>
      </c>
      <c r="I84" s="4"/>
      <c r="J84" s="4"/>
      <c r="K84" s="4">
        <v>231</v>
      </c>
      <c r="L84" s="4">
        <v>12</v>
      </c>
      <c r="M84" s="4">
        <v>3</v>
      </c>
      <c r="N84" s="4" t="s">
        <v>3</v>
      </c>
      <c r="O84" s="4">
        <v>0</v>
      </c>
      <c r="P84" s="4"/>
      <c r="Q84" s="4"/>
      <c r="R84" s="4"/>
      <c r="S84" s="4"/>
      <c r="T84" s="4"/>
      <c r="U84" s="4"/>
      <c r="V84" s="4"/>
      <c r="W84" s="4">
        <v>0</v>
      </c>
      <c r="X84" s="4">
        <v>1</v>
      </c>
      <c r="Y84" s="4">
        <v>0</v>
      </c>
      <c r="Z84" s="4"/>
      <c r="AA84" s="4"/>
      <c r="AB84" s="4"/>
    </row>
    <row r="85" spans="1:28" x14ac:dyDescent="0.25">
      <c r="A85" s="4">
        <v>50</v>
      </c>
      <c r="B85" s="4">
        <v>0</v>
      </c>
      <c r="C85" s="4">
        <v>0</v>
      </c>
      <c r="D85" s="4">
        <v>1</v>
      </c>
      <c r="E85" s="4">
        <v>204</v>
      </c>
      <c r="F85" s="4">
        <f>ROUND(Source!R71,O85)</f>
        <v>153</v>
      </c>
      <c r="G85" s="4" t="s">
        <v>74</v>
      </c>
      <c r="H85" s="4" t="s">
        <v>75</v>
      </c>
      <c r="I85" s="4"/>
      <c r="J85" s="4"/>
      <c r="K85" s="4">
        <v>204</v>
      </c>
      <c r="L85" s="4">
        <v>13</v>
      </c>
      <c r="M85" s="4">
        <v>3</v>
      </c>
      <c r="N85" s="4" t="s">
        <v>3</v>
      </c>
      <c r="O85" s="4">
        <v>0</v>
      </c>
      <c r="P85" s="4"/>
      <c r="Q85" s="4"/>
      <c r="R85" s="4"/>
      <c r="S85" s="4"/>
      <c r="T85" s="4"/>
      <c r="U85" s="4"/>
      <c r="V85" s="4"/>
      <c r="W85" s="4">
        <v>153</v>
      </c>
      <c r="X85" s="4">
        <v>1</v>
      </c>
      <c r="Y85" s="4">
        <v>153</v>
      </c>
      <c r="Z85" s="4"/>
      <c r="AA85" s="4"/>
      <c r="AB85" s="4"/>
    </row>
    <row r="86" spans="1:28" x14ac:dyDescent="0.25">
      <c r="A86" s="4">
        <v>50</v>
      </c>
      <c r="B86" s="4">
        <v>0</v>
      </c>
      <c r="C86" s="4">
        <v>0</v>
      </c>
      <c r="D86" s="4">
        <v>1</v>
      </c>
      <c r="E86" s="4">
        <v>205</v>
      </c>
      <c r="F86" s="4">
        <f>ROUND(Source!S71,O86)</f>
        <v>8027</v>
      </c>
      <c r="G86" s="4" t="s">
        <v>76</v>
      </c>
      <c r="H86" s="4" t="s">
        <v>77</v>
      </c>
      <c r="I86" s="4"/>
      <c r="J86" s="4"/>
      <c r="K86" s="4">
        <v>205</v>
      </c>
      <c r="L86" s="4">
        <v>14</v>
      </c>
      <c r="M86" s="4">
        <v>3</v>
      </c>
      <c r="N86" s="4" t="s">
        <v>3</v>
      </c>
      <c r="O86" s="4">
        <v>0</v>
      </c>
      <c r="P86" s="4"/>
      <c r="Q86" s="4"/>
      <c r="R86" s="4"/>
      <c r="S86" s="4"/>
      <c r="T86" s="4"/>
      <c r="U86" s="4"/>
      <c r="V86" s="4"/>
      <c r="W86" s="4">
        <v>8027</v>
      </c>
      <c r="X86" s="4">
        <v>1</v>
      </c>
      <c r="Y86" s="4">
        <v>8027</v>
      </c>
      <c r="Z86" s="4"/>
      <c r="AA86" s="4"/>
      <c r="AB86" s="4"/>
    </row>
    <row r="87" spans="1:28" x14ac:dyDescent="0.25">
      <c r="A87" s="4">
        <v>50</v>
      </c>
      <c r="B87" s="4">
        <v>0</v>
      </c>
      <c r="C87" s="4">
        <v>0</v>
      </c>
      <c r="D87" s="4">
        <v>1</v>
      </c>
      <c r="E87" s="4">
        <v>232</v>
      </c>
      <c r="F87" s="4">
        <f>ROUND(Source!BC71,O87)</f>
        <v>0</v>
      </c>
      <c r="G87" s="4" t="s">
        <v>78</v>
      </c>
      <c r="H87" s="4" t="s">
        <v>79</v>
      </c>
      <c r="I87" s="4"/>
      <c r="J87" s="4"/>
      <c r="K87" s="4">
        <v>232</v>
      </c>
      <c r="L87" s="4">
        <v>15</v>
      </c>
      <c r="M87" s="4">
        <v>3</v>
      </c>
      <c r="N87" s="4" t="s">
        <v>3</v>
      </c>
      <c r="O87" s="4">
        <v>0</v>
      </c>
      <c r="P87" s="4"/>
      <c r="Q87" s="4"/>
      <c r="R87" s="4"/>
      <c r="S87" s="4"/>
      <c r="T87" s="4"/>
      <c r="U87" s="4"/>
      <c r="V87" s="4"/>
      <c r="W87" s="4">
        <v>0</v>
      </c>
      <c r="X87" s="4">
        <v>1</v>
      </c>
      <c r="Y87" s="4">
        <v>0</v>
      </c>
      <c r="Z87" s="4"/>
      <c r="AA87" s="4"/>
      <c r="AB87" s="4"/>
    </row>
    <row r="88" spans="1:28" x14ac:dyDescent="0.25">
      <c r="A88" s="4">
        <v>50</v>
      </c>
      <c r="B88" s="4">
        <v>0</v>
      </c>
      <c r="C88" s="4">
        <v>0</v>
      </c>
      <c r="D88" s="4">
        <v>1</v>
      </c>
      <c r="E88" s="4">
        <v>214</v>
      </c>
      <c r="F88" s="4">
        <f>ROUND(Source!AS71,O88)</f>
        <v>22140</v>
      </c>
      <c r="G88" s="4" t="s">
        <v>80</v>
      </c>
      <c r="H88" s="4" t="s">
        <v>81</v>
      </c>
      <c r="I88" s="4"/>
      <c r="J88" s="4"/>
      <c r="K88" s="4">
        <v>214</v>
      </c>
      <c r="L88" s="4">
        <v>16</v>
      </c>
      <c r="M88" s="4">
        <v>3</v>
      </c>
      <c r="N88" s="4" t="s">
        <v>3</v>
      </c>
      <c r="O88" s="4">
        <v>0</v>
      </c>
      <c r="P88" s="4"/>
      <c r="Q88" s="4"/>
      <c r="R88" s="4"/>
      <c r="S88" s="4"/>
      <c r="T88" s="4"/>
      <c r="U88" s="4"/>
      <c r="V88" s="4"/>
      <c r="W88" s="4">
        <v>22140</v>
      </c>
      <c r="X88" s="4">
        <v>1</v>
      </c>
      <c r="Y88" s="4">
        <v>22140</v>
      </c>
      <c r="Z88" s="4"/>
      <c r="AA88" s="4"/>
      <c r="AB88" s="4"/>
    </row>
    <row r="89" spans="1:28" x14ac:dyDescent="0.25">
      <c r="A89" s="4">
        <v>50</v>
      </c>
      <c r="B89" s="4">
        <v>0</v>
      </c>
      <c r="C89" s="4">
        <v>0</v>
      </c>
      <c r="D89" s="4">
        <v>1</v>
      </c>
      <c r="E89" s="4">
        <v>215</v>
      </c>
      <c r="F89" s="4">
        <f>ROUND(Source!AT71,O89)</f>
        <v>0</v>
      </c>
      <c r="G89" s="4" t="s">
        <v>82</v>
      </c>
      <c r="H89" s="4" t="s">
        <v>83</v>
      </c>
      <c r="I89" s="4"/>
      <c r="J89" s="4"/>
      <c r="K89" s="4">
        <v>215</v>
      </c>
      <c r="L89" s="4">
        <v>17</v>
      </c>
      <c r="M89" s="4">
        <v>3</v>
      </c>
      <c r="N89" s="4" t="s">
        <v>3</v>
      </c>
      <c r="O89" s="4">
        <v>0</v>
      </c>
      <c r="P89" s="4"/>
      <c r="Q89" s="4"/>
      <c r="R89" s="4"/>
      <c r="S89" s="4"/>
      <c r="T89" s="4"/>
      <c r="U89" s="4"/>
      <c r="V89" s="4"/>
      <c r="W89" s="4">
        <v>0</v>
      </c>
      <c r="X89" s="4">
        <v>1</v>
      </c>
      <c r="Y89" s="4">
        <v>0</v>
      </c>
      <c r="Z89" s="4"/>
      <c r="AA89" s="4"/>
      <c r="AB89" s="4"/>
    </row>
    <row r="90" spans="1:28" x14ac:dyDescent="0.25">
      <c r="A90" s="4">
        <v>50</v>
      </c>
      <c r="B90" s="4">
        <v>0</v>
      </c>
      <c r="C90" s="4">
        <v>0</v>
      </c>
      <c r="D90" s="4">
        <v>1</v>
      </c>
      <c r="E90" s="4">
        <v>217</v>
      </c>
      <c r="F90" s="4">
        <f>ROUND(Source!AU71,O90)</f>
        <v>0</v>
      </c>
      <c r="G90" s="4" t="s">
        <v>84</v>
      </c>
      <c r="H90" s="4" t="s">
        <v>85</v>
      </c>
      <c r="I90" s="4"/>
      <c r="J90" s="4"/>
      <c r="K90" s="4">
        <v>217</v>
      </c>
      <c r="L90" s="4">
        <v>18</v>
      </c>
      <c r="M90" s="4">
        <v>3</v>
      </c>
      <c r="N90" s="4" t="s">
        <v>3</v>
      </c>
      <c r="O90" s="4">
        <v>0</v>
      </c>
      <c r="P90" s="4"/>
      <c r="Q90" s="4"/>
      <c r="R90" s="4"/>
      <c r="S90" s="4"/>
      <c r="T90" s="4"/>
      <c r="U90" s="4"/>
      <c r="V90" s="4"/>
      <c r="W90" s="4">
        <v>0</v>
      </c>
      <c r="X90" s="4">
        <v>1</v>
      </c>
      <c r="Y90" s="4">
        <v>0</v>
      </c>
      <c r="Z90" s="4"/>
      <c r="AA90" s="4"/>
      <c r="AB90" s="4"/>
    </row>
    <row r="91" spans="1:28" x14ac:dyDescent="0.25">
      <c r="A91" s="4">
        <v>50</v>
      </c>
      <c r="B91" s="4">
        <v>0</v>
      </c>
      <c r="C91" s="4">
        <v>0</v>
      </c>
      <c r="D91" s="4">
        <v>1</v>
      </c>
      <c r="E91" s="4">
        <v>230</v>
      </c>
      <c r="F91" s="4">
        <f>ROUND(Source!BA71,O91)</f>
        <v>0</v>
      </c>
      <c r="G91" s="4" t="s">
        <v>86</v>
      </c>
      <c r="H91" s="4" t="s">
        <v>87</v>
      </c>
      <c r="I91" s="4"/>
      <c r="J91" s="4"/>
      <c r="K91" s="4">
        <v>230</v>
      </c>
      <c r="L91" s="4">
        <v>19</v>
      </c>
      <c r="M91" s="4">
        <v>3</v>
      </c>
      <c r="N91" s="4" t="s">
        <v>3</v>
      </c>
      <c r="O91" s="4">
        <v>0</v>
      </c>
      <c r="P91" s="4"/>
      <c r="Q91" s="4"/>
      <c r="R91" s="4"/>
      <c r="S91" s="4"/>
      <c r="T91" s="4"/>
      <c r="U91" s="4"/>
      <c r="V91" s="4"/>
      <c r="W91" s="4">
        <v>0</v>
      </c>
      <c r="X91" s="4">
        <v>1</v>
      </c>
      <c r="Y91" s="4">
        <v>0</v>
      </c>
      <c r="Z91" s="4"/>
      <c r="AA91" s="4"/>
      <c r="AB91" s="4"/>
    </row>
    <row r="92" spans="1:28" x14ac:dyDescent="0.25">
      <c r="A92" s="4">
        <v>50</v>
      </c>
      <c r="B92" s="4">
        <v>0</v>
      </c>
      <c r="C92" s="4">
        <v>0</v>
      </c>
      <c r="D92" s="4">
        <v>1</v>
      </c>
      <c r="E92" s="4">
        <v>206</v>
      </c>
      <c r="F92" s="4">
        <f>ROUND(Source!T71,O92)</f>
        <v>0</v>
      </c>
      <c r="G92" s="4" t="s">
        <v>88</v>
      </c>
      <c r="H92" s="4" t="s">
        <v>89</v>
      </c>
      <c r="I92" s="4"/>
      <c r="J92" s="4"/>
      <c r="K92" s="4">
        <v>206</v>
      </c>
      <c r="L92" s="4">
        <v>20</v>
      </c>
      <c r="M92" s="4">
        <v>3</v>
      </c>
      <c r="N92" s="4" t="s">
        <v>3</v>
      </c>
      <c r="O92" s="4">
        <v>0</v>
      </c>
      <c r="P92" s="4"/>
      <c r="Q92" s="4"/>
      <c r="R92" s="4"/>
      <c r="S92" s="4"/>
      <c r="T92" s="4"/>
      <c r="U92" s="4"/>
      <c r="V92" s="4"/>
      <c r="W92" s="4">
        <v>0</v>
      </c>
      <c r="X92" s="4">
        <v>1</v>
      </c>
      <c r="Y92" s="4">
        <v>0</v>
      </c>
      <c r="Z92" s="4"/>
      <c r="AA92" s="4"/>
      <c r="AB92" s="4"/>
    </row>
    <row r="93" spans="1:28" x14ac:dyDescent="0.25">
      <c r="A93" s="4">
        <v>50</v>
      </c>
      <c r="B93" s="4">
        <v>0</v>
      </c>
      <c r="C93" s="4">
        <v>0</v>
      </c>
      <c r="D93" s="4">
        <v>1</v>
      </c>
      <c r="E93" s="4">
        <v>207</v>
      </c>
      <c r="F93" s="4">
        <f>Source!U71</f>
        <v>28.147170000000003</v>
      </c>
      <c r="G93" s="4" t="s">
        <v>90</v>
      </c>
      <c r="H93" s="4" t="s">
        <v>91</v>
      </c>
      <c r="I93" s="4"/>
      <c r="J93" s="4"/>
      <c r="K93" s="4">
        <v>207</v>
      </c>
      <c r="L93" s="4">
        <v>21</v>
      </c>
      <c r="M93" s="4">
        <v>3</v>
      </c>
      <c r="N93" s="4" t="s">
        <v>3</v>
      </c>
      <c r="O93" s="4">
        <v>-1</v>
      </c>
      <c r="P93" s="4"/>
      <c r="Q93" s="4"/>
      <c r="R93" s="4"/>
      <c r="S93" s="4"/>
      <c r="T93" s="4"/>
      <c r="U93" s="4"/>
      <c r="V93" s="4"/>
      <c r="W93" s="4">
        <v>28.147169999999999</v>
      </c>
      <c r="X93" s="4">
        <v>1</v>
      </c>
      <c r="Y93" s="4">
        <v>28.147169999999999</v>
      </c>
      <c r="Z93" s="4"/>
      <c r="AA93" s="4"/>
      <c r="AB93" s="4"/>
    </row>
    <row r="94" spans="1:28" x14ac:dyDescent="0.25">
      <c r="A94" s="4">
        <v>50</v>
      </c>
      <c r="B94" s="4">
        <v>0</v>
      </c>
      <c r="C94" s="4">
        <v>0</v>
      </c>
      <c r="D94" s="4">
        <v>1</v>
      </c>
      <c r="E94" s="4">
        <v>208</v>
      </c>
      <c r="F94" s="4">
        <f>Source!V71</f>
        <v>0.43125000000000002</v>
      </c>
      <c r="G94" s="4" t="s">
        <v>92</v>
      </c>
      <c r="H94" s="4" t="s">
        <v>93</v>
      </c>
      <c r="I94" s="4"/>
      <c r="J94" s="4"/>
      <c r="K94" s="4">
        <v>208</v>
      </c>
      <c r="L94" s="4">
        <v>22</v>
      </c>
      <c r="M94" s="4">
        <v>3</v>
      </c>
      <c r="N94" s="4" t="s">
        <v>3</v>
      </c>
      <c r="O94" s="4">
        <v>-1</v>
      </c>
      <c r="P94" s="4"/>
      <c r="Q94" s="4"/>
      <c r="R94" s="4"/>
      <c r="S94" s="4"/>
      <c r="T94" s="4"/>
      <c r="U94" s="4"/>
      <c r="V94" s="4"/>
      <c r="W94" s="4">
        <v>0.43125000000000002</v>
      </c>
      <c r="X94" s="4">
        <v>1</v>
      </c>
      <c r="Y94" s="4">
        <v>0.43125000000000002</v>
      </c>
      <c r="Z94" s="4"/>
      <c r="AA94" s="4"/>
      <c r="AB94" s="4"/>
    </row>
    <row r="95" spans="1:28" x14ac:dyDescent="0.25">
      <c r="A95" s="4">
        <v>50</v>
      </c>
      <c r="B95" s="4">
        <v>0</v>
      </c>
      <c r="C95" s="4">
        <v>0</v>
      </c>
      <c r="D95" s="4">
        <v>1</v>
      </c>
      <c r="E95" s="4">
        <v>209</v>
      </c>
      <c r="F95" s="4">
        <f>ROUND(Source!W71,O95)</f>
        <v>0</v>
      </c>
      <c r="G95" s="4" t="s">
        <v>94</v>
      </c>
      <c r="H95" s="4" t="s">
        <v>95</v>
      </c>
      <c r="I95" s="4"/>
      <c r="J95" s="4"/>
      <c r="K95" s="4">
        <v>209</v>
      </c>
      <c r="L95" s="4">
        <v>23</v>
      </c>
      <c r="M95" s="4">
        <v>3</v>
      </c>
      <c r="N95" s="4" t="s">
        <v>3</v>
      </c>
      <c r="O95" s="4">
        <v>0</v>
      </c>
      <c r="P95" s="4"/>
      <c r="Q95" s="4"/>
      <c r="R95" s="4"/>
      <c r="S95" s="4"/>
      <c r="T95" s="4"/>
      <c r="U95" s="4"/>
      <c r="V95" s="4"/>
      <c r="W95" s="4">
        <v>0</v>
      </c>
      <c r="X95" s="4">
        <v>1</v>
      </c>
      <c r="Y95" s="4">
        <v>0</v>
      </c>
      <c r="Z95" s="4"/>
      <c r="AA95" s="4"/>
      <c r="AB95" s="4"/>
    </row>
    <row r="96" spans="1:28" x14ac:dyDescent="0.25">
      <c r="A96" s="4">
        <v>50</v>
      </c>
      <c r="B96" s="4">
        <v>0</v>
      </c>
      <c r="C96" s="4">
        <v>0</v>
      </c>
      <c r="D96" s="4">
        <v>1</v>
      </c>
      <c r="E96" s="4">
        <v>233</v>
      </c>
      <c r="F96" s="4">
        <f>ROUND(Source!BD71,O96)</f>
        <v>0</v>
      </c>
      <c r="G96" s="4" t="s">
        <v>96</v>
      </c>
      <c r="H96" s="4" t="s">
        <v>97</v>
      </c>
      <c r="I96" s="4"/>
      <c r="J96" s="4"/>
      <c r="K96" s="4">
        <v>233</v>
      </c>
      <c r="L96" s="4">
        <v>24</v>
      </c>
      <c r="M96" s="4">
        <v>3</v>
      </c>
      <c r="N96" s="4" t="s">
        <v>3</v>
      </c>
      <c r="O96" s="4">
        <v>0</v>
      </c>
      <c r="P96" s="4"/>
      <c r="Q96" s="4"/>
      <c r="R96" s="4"/>
      <c r="S96" s="4"/>
      <c r="T96" s="4"/>
      <c r="U96" s="4"/>
      <c r="V96" s="4"/>
      <c r="W96" s="4">
        <v>0</v>
      </c>
      <c r="X96" s="4">
        <v>1</v>
      </c>
      <c r="Y96" s="4">
        <v>0</v>
      </c>
      <c r="Z96" s="4"/>
      <c r="AA96" s="4"/>
      <c r="AB96" s="4"/>
    </row>
    <row r="97" spans="1:206" x14ac:dyDescent="0.25">
      <c r="A97" s="4">
        <v>50</v>
      </c>
      <c r="B97" s="4">
        <v>0</v>
      </c>
      <c r="C97" s="4">
        <v>0</v>
      </c>
      <c r="D97" s="4">
        <v>1</v>
      </c>
      <c r="E97" s="4">
        <v>210</v>
      </c>
      <c r="F97" s="4">
        <f>ROUND(Source!X71,O97)</f>
        <v>9014</v>
      </c>
      <c r="G97" s="4" t="s">
        <v>98</v>
      </c>
      <c r="H97" s="4" t="s">
        <v>99</v>
      </c>
      <c r="I97" s="4"/>
      <c r="J97" s="4"/>
      <c r="K97" s="4">
        <v>210</v>
      </c>
      <c r="L97" s="4">
        <v>25</v>
      </c>
      <c r="M97" s="4">
        <v>3</v>
      </c>
      <c r="N97" s="4" t="s">
        <v>3</v>
      </c>
      <c r="O97" s="4">
        <v>0</v>
      </c>
      <c r="P97" s="4"/>
      <c r="Q97" s="4"/>
      <c r="R97" s="4"/>
      <c r="S97" s="4"/>
      <c r="T97" s="4"/>
      <c r="U97" s="4"/>
      <c r="V97" s="4"/>
      <c r="W97" s="4">
        <v>9014</v>
      </c>
      <c r="X97" s="4">
        <v>1</v>
      </c>
      <c r="Y97" s="4">
        <v>9014</v>
      </c>
      <c r="Z97" s="4"/>
      <c r="AA97" s="4"/>
      <c r="AB97" s="4"/>
    </row>
    <row r="98" spans="1:206" x14ac:dyDescent="0.25">
      <c r="A98" s="4">
        <v>50</v>
      </c>
      <c r="B98" s="4">
        <v>0</v>
      </c>
      <c r="C98" s="4">
        <v>0</v>
      </c>
      <c r="D98" s="4">
        <v>1</v>
      </c>
      <c r="E98" s="4">
        <v>211</v>
      </c>
      <c r="F98" s="4">
        <f>ROUND(Source!Y71,O98)</f>
        <v>4971</v>
      </c>
      <c r="G98" s="4" t="s">
        <v>100</v>
      </c>
      <c r="H98" s="4" t="s">
        <v>101</v>
      </c>
      <c r="I98" s="4"/>
      <c r="J98" s="4"/>
      <c r="K98" s="4">
        <v>211</v>
      </c>
      <c r="L98" s="4">
        <v>26</v>
      </c>
      <c r="M98" s="4">
        <v>3</v>
      </c>
      <c r="N98" s="4" t="s">
        <v>3</v>
      </c>
      <c r="O98" s="4">
        <v>0</v>
      </c>
      <c r="P98" s="4"/>
      <c r="Q98" s="4"/>
      <c r="R98" s="4"/>
      <c r="S98" s="4"/>
      <c r="T98" s="4"/>
      <c r="U98" s="4"/>
      <c r="V98" s="4"/>
      <c r="W98" s="4">
        <v>4971</v>
      </c>
      <c r="X98" s="4">
        <v>1</v>
      </c>
      <c r="Y98" s="4">
        <v>4971</v>
      </c>
      <c r="Z98" s="4"/>
      <c r="AA98" s="4"/>
      <c r="AB98" s="4"/>
    </row>
    <row r="99" spans="1:206" x14ac:dyDescent="0.25">
      <c r="A99" s="4">
        <v>50</v>
      </c>
      <c r="B99" s="4">
        <v>0</v>
      </c>
      <c r="C99" s="4">
        <v>0</v>
      </c>
      <c r="D99" s="4">
        <v>1</v>
      </c>
      <c r="E99" s="4">
        <v>224</v>
      </c>
      <c r="F99" s="4">
        <f>ROUND(Source!AR71,O99)</f>
        <v>22140</v>
      </c>
      <c r="G99" s="4" t="s">
        <v>102</v>
      </c>
      <c r="H99" s="4" t="s">
        <v>103</v>
      </c>
      <c r="I99" s="4"/>
      <c r="J99" s="4"/>
      <c r="K99" s="4">
        <v>224</v>
      </c>
      <c r="L99" s="4">
        <v>27</v>
      </c>
      <c r="M99" s="4">
        <v>3</v>
      </c>
      <c r="N99" s="4" t="s">
        <v>3</v>
      </c>
      <c r="O99" s="4">
        <v>0</v>
      </c>
      <c r="P99" s="4"/>
      <c r="Q99" s="4"/>
      <c r="R99" s="4"/>
      <c r="S99" s="4"/>
      <c r="T99" s="4"/>
      <c r="U99" s="4"/>
      <c r="V99" s="4"/>
      <c r="W99" s="4">
        <v>22140</v>
      </c>
      <c r="X99" s="4">
        <v>1</v>
      </c>
      <c r="Y99" s="4">
        <v>22140</v>
      </c>
      <c r="Z99" s="4"/>
      <c r="AA99" s="4"/>
      <c r="AB99" s="4"/>
    </row>
    <row r="101" spans="1:206" x14ac:dyDescent="0.25">
      <c r="A101" s="2">
        <v>51</v>
      </c>
      <c r="B101" s="2">
        <f>B20</f>
        <v>1</v>
      </c>
      <c r="C101" s="2">
        <f>A20</f>
        <v>3</v>
      </c>
      <c r="D101" s="2">
        <f>ROW(A20)</f>
        <v>20</v>
      </c>
      <c r="E101" s="2"/>
      <c r="F101" s="2" t="str">
        <f>IF(F20&lt;&gt;"",F20,"")</f>
        <v>Новая локальная смета</v>
      </c>
      <c r="G101" s="2" t="str">
        <f>IF(G20&lt;&gt;"",G20,"")</f>
        <v>Новая локальная смета</v>
      </c>
      <c r="H101" s="2">
        <v>0</v>
      </c>
      <c r="I101" s="2"/>
      <c r="J101" s="2"/>
      <c r="K101" s="2"/>
      <c r="L101" s="2"/>
      <c r="M101" s="2"/>
      <c r="N101" s="2"/>
      <c r="O101" s="2">
        <f t="shared" ref="O101:T101" si="35">ROUND(O34+O71+AB101,0)</f>
        <v>40140</v>
      </c>
      <c r="P101" s="2">
        <f t="shared" si="35"/>
        <v>0</v>
      </c>
      <c r="Q101" s="2">
        <f t="shared" si="35"/>
        <v>850</v>
      </c>
      <c r="R101" s="2">
        <f t="shared" si="35"/>
        <v>599</v>
      </c>
      <c r="S101" s="2">
        <f t="shared" si="35"/>
        <v>39290</v>
      </c>
      <c r="T101" s="2">
        <f t="shared" si="35"/>
        <v>0</v>
      </c>
      <c r="U101" s="2">
        <f>U34+U71+AH101</f>
        <v>137.215125</v>
      </c>
      <c r="V101" s="2">
        <f>V34+V71+AI101</f>
        <v>1.6691250000000002</v>
      </c>
      <c r="W101" s="2">
        <f>ROUND(W34+W71+AJ101,0)</f>
        <v>0</v>
      </c>
      <c r="X101" s="2">
        <f>ROUND(X34+X71+AK101,0)</f>
        <v>43476</v>
      </c>
      <c r="Y101" s="2">
        <f>ROUND(Y34+Y71+AL101,0)</f>
        <v>23709</v>
      </c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>
        <f t="shared" ref="AO101:BD101" si="36">ROUND(AO34+AO71+BX101,0)</f>
        <v>0</v>
      </c>
      <c r="AP101" s="2">
        <f t="shared" si="36"/>
        <v>0</v>
      </c>
      <c r="AQ101" s="2">
        <f t="shared" si="36"/>
        <v>0</v>
      </c>
      <c r="AR101" s="2">
        <f t="shared" si="36"/>
        <v>107325</v>
      </c>
      <c r="AS101" s="2">
        <f t="shared" si="36"/>
        <v>107325</v>
      </c>
      <c r="AT101" s="2">
        <f t="shared" si="36"/>
        <v>0</v>
      </c>
      <c r="AU101" s="2">
        <f t="shared" si="36"/>
        <v>0</v>
      </c>
      <c r="AV101" s="2">
        <f t="shared" si="36"/>
        <v>0</v>
      </c>
      <c r="AW101" s="2">
        <f t="shared" si="36"/>
        <v>0</v>
      </c>
      <c r="AX101" s="2">
        <f t="shared" si="36"/>
        <v>0</v>
      </c>
      <c r="AY101" s="2">
        <f t="shared" si="36"/>
        <v>0</v>
      </c>
      <c r="AZ101" s="2">
        <f t="shared" si="36"/>
        <v>0</v>
      </c>
      <c r="BA101" s="2">
        <f t="shared" si="36"/>
        <v>0</v>
      </c>
      <c r="BB101" s="2">
        <f t="shared" si="36"/>
        <v>0</v>
      </c>
      <c r="BC101" s="2">
        <f t="shared" si="36"/>
        <v>0</v>
      </c>
      <c r="BD101" s="2">
        <f t="shared" si="36"/>
        <v>0</v>
      </c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>
        <v>0</v>
      </c>
    </row>
    <row r="103" spans="1:206" x14ac:dyDescent="0.25">
      <c r="A103" s="4">
        <v>50</v>
      </c>
      <c r="B103" s="4">
        <v>0</v>
      </c>
      <c r="C103" s="4">
        <v>0</v>
      </c>
      <c r="D103" s="4">
        <v>1</v>
      </c>
      <c r="E103" s="4">
        <v>201</v>
      </c>
      <c r="F103" s="4">
        <f>ROUND(Source!O101,O103)</f>
        <v>40140</v>
      </c>
      <c r="G103" s="4" t="s">
        <v>50</v>
      </c>
      <c r="H103" s="4" t="s">
        <v>51</v>
      </c>
      <c r="I103" s="4"/>
      <c r="J103" s="4"/>
      <c r="K103" s="4">
        <v>201</v>
      </c>
      <c r="L103" s="4">
        <v>1</v>
      </c>
      <c r="M103" s="4">
        <v>3</v>
      </c>
      <c r="N103" s="4" t="s">
        <v>3</v>
      </c>
      <c r="O103" s="4">
        <v>0</v>
      </c>
      <c r="P103" s="4"/>
      <c r="Q103" s="4"/>
      <c r="R103" s="4"/>
      <c r="S103" s="4"/>
      <c r="T103" s="4"/>
      <c r="U103" s="4"/>
      <c r="V103" s="4"/>
      <c r="W103" s="4">
        <v>40140</v>
      </c>
      <c r="X103" s="4">
        <v>1</v>
      </c>
      <c r="Y103" s="4">
        <v>40140</v>
      </c>
      <c r="Z103" s="4"/>
      <c r="AA103" s="4"/>
      <c r="AB103" s="4"/>
    </row>
    <row r="104" spans="1:206" x14ac:dyDescent="0.25">
      <c r="A104" s="4">
        <v>50</v>
      </c>
      <c r="B104" s="4">
        <v>0</v>
      </c>
      <c r="C104" s="4">
        <v>0</v>
      </c>
      <c r="D104" s="4">
        <v>1</v>
      </c>
      <c r="E104" s="4">
        <v>202</v>
      </c>
      <c r="F104" s="4">
        <f>ROUND(Source!P101,O104)</f>
        <v>0</v>
      </c>
      <c r="G104" s="4" t="s">
        <v>52</v>
      </c>
      <c r="H104" s="4" t="s">
        <v>53</v>
      </c>
      <c r="I104" s="4"/>
      <c r="J104" s="4"/>
      <c r="K104" s="4">
        <v>202</v>
      </c>
      <c r="L104" s="4">
        <v>2</v>
      </c>
      <c r="M104" s="4">
        <v>3</v>
      </c>
      <c r="N104" s="4" t="s">
        <v>3</v>
      </c>
      <c r="O104" s="4">
        <v>0</v>
      </c>
      <c r="P104" s="4"/>
      <c r="Q104" s="4"/>
      <c r="R104" s="4"/>
      <c r="S104" s="4"/>
      <c r="T104" s="4"/>
      <c r="U104" s="4"/>
      <c r="V104" s="4"/>
      <c r="W104" s="4">
        <v>0</v>
      </c>
      <c r="X104" s="4">
        <v>1</v>
      </c>
      <c r="Y104" s="4">
        <v>0</v>
      </c>
      <c r="Z104" s="4"/>
      <c r="AA104" s="4"/>
      <c r="AB104" s="4"/>
    </row>
    <row r="105" spans="1:206" x14ac:dyDescent="0.25">
      <c r="A105" s="4">
        <v>50</v>
      </c>
      <c r="B105" s="4">
        <v>0</v>
      </c>
      <c r="C105" s="4">
        <v>0</v>
      </c>
      <c r="D105" s="4">
        <v>1</v>
      </c>
      <c r="E105" s="4">
        <v>222</v>
      </c>
      <c r="F105" s="4">
        <f>ROUND(Source!AO101,O105)</f>
        <v>0</v>
      </c>
      <c r="G105" s="4" t="s">
        <v>54</v>
      </c>
      <c r="H105" s="4" t="s">
        <v>55</v>
      </c>
      <c r="I105" s="4"/>
      <c r="J105" s="4"/>
      <c r="K105" s="4">
        <v>222</v>
      </c>
      <c r="L105" s="4">
        <v>3</v>
      </c>
      <c r="M105" s="4">
        <v>3</v>
      </c>
      <c r="N105" s="4" t="s">
        <v>3</v>
      </c>
      <c r="O105" s="4">
        <v>0</v>
      </c>
      <c r="P105" s="4"/>
      <c r="Q105" s="4"/>
      <c r="R105" s="4"/>
      <c r="S105" s="4"/>
      <c r="T105" s="4"/>
      <c r="U105" s="4"/>
      <c r="V105" s="4"/>
      <c r="W105" s="4">
        <v>0</v>
      </c>
      <c r="X105" s="4">
        <v>1</v>
      </c>
      <c r="Y105" s="4">
        <v>0</v>
      </c>
      <c r="Z105" s="4"/>
      <c r="AA105" s="4"/>
      <c r="AB105" s="4"/>
    </row>
    <row r="106" spans="1:206" x14ac:dyDescent="0.25">
      <c r="A106" s="4">
        <v>50</v>
      </c>
      <c r="B106" s="4">
        <v>0</v>
      </c>
      <c r="C106" s="4">
        <v>0</v>
      </c>
      <c r="D106" s="4">
        <v>1</v>
      </c>
      <c r="E106" s="4">
        <v>225</v>
      </c>
      <c r="F106" s="4">
        <f>ROUND(Source!AV101,O106)</f>
        <v>0</v>
      </c>
      <c r="G106" s="4" t="s">
        <v>56</v>
      </c>
      <c r="H106" s="4" t="s">
        <v>57</v>
      </c>
      <c r="I106" s="4"/>
      <c r="J106" s="4"/>
      <c r="K106" s="4">
        <v>225</v>
      </c>
      <c r="L106" s="4">
        <v>4</v>
      </c>
      <c r="M106" s="4">
        <v>3</v>
      </c>
      <c r="N106" s="4" t="s">
        <v>3</v>
      </c>
      <c r="O106" s="4">
        <v>0</v>
      </c>
      <c r="P106" s="4"/>
      <c r="Q106" s="4"/>
      <c r="R106" s="4"/>
      <c r="S106" s="4"/>
      <c r="T106" s="4"/>
      <c r="U106" s="4"/>
      <c r="V106" s="4"/>
      <c r="W106" s="4">
        <v>0</v>
      </c>
      <c r="X106" s="4">
        <v>1</v>
      </c>
      <c r="Y106" s="4">
        <v>0</v>
      </c>
      <c r="Z106" s="4"/>
      <c r="AA106" s="4"/>
      <c r="AB106" s="4"/>
    </row>
    <row r="107" spans="1:206" x14ac:dyDescent="0.25">
      <c r="A107" s="4">
        <v>50</v>
      </c>
      <c r="B107" s="4">
        <v>0</v>
      </c>
      <c r="C107" s="4">
        <v>0</v>
      </c>
      <c r="D107" s="4">
        <v>1</v>
      </c>
      <c r="E107" s="4">
        <v>226</v>
      </c>
      <c r="F107" s="4">
        <f>ROUND(Source!AW101,O107)</f>
        <v>0</v>
      </c>
      <c r="G107" s="4" t="s">
        <v>58</v>
      </c>
      <c r="H107" s="4" t="s">
        <v>59</v>
      </c>
      <c r="I107" s="4"/>
      <c r="J107" s="4"/>
      <c r="K107" s="4">
        <v>226</v>
      </c>
      <c r="L107" s="4">
        <v>5</v>
      </c>
      <c r="M107" s="4">
        <v>3</v>
      </c>
      <c r="N107" s="4" t="s">
        <v>3</v>
      </c>
      <c r="O107" s="4">
        <v>0</v>
      </c>
      <c r="P107" s="4"/>
      <c r="Q107" s="4"/>
      <c r="R107" s="4"/>
      <c r="S107" s="4"/>
      <c r="T107" s="4"/>
      <c r="U107" s="4"/>
      <c r="V107" s="4"/>
      <c r="W107" s="4">
        <v>0</v>
      </c>
      <c r="X107" s="4">
        <v>1</v>
      </c>
      <c r="Y107" s="4">
        <v>0</v>
      </c>
      <c r="Z107" s="4"/>
      <c r="AA107" s="4"/>
      <c r="AB107" s="4"/>
    </row>
    <row r="108" spans="1:206" x14ac:dyDescent="0.25">
      <c r="A108" s="4">
        <v>50</v>
      </c>
      <c r="B108" s="4">
        <v>0</v>
      </c>
      <c r="C108" s="4">
        <v>0</v>
      </c>
      <c r="D108" s="4">
        <v>1</v>
      </c>
      <c r="E108" s="4">
        <v>227</v>
      </c>
      <c r="F108" s="4">
        <f>ROUND(Source!AX101,O108)</f>
        <v>0</v>
      </c>
      <c r="G108" s="4" t="s">
        <v>60</v>
      </c>
      <c r="H108" s="4" t="s">
        <v>61</v>
      </c>
      <c r="I108" s="4"/>
      <c r="J108" s="4"/>
      <c r="K108" s="4">
        <v>227</v>
      </c>
      <c r="L108" s="4">
        <v>6</v>
      </c>
      <c r="M108" s="4">
        <v>3</v>
      </c>
      <c r="N108" s="4" t="s">
        <v>3</v>
      </c>
      <c r="O108" s="4">
        <v>0</v>
      </c>
      <c r="P108" s="4"/>
      <c r="Q108" s="4"/>
      <c r="R108" s="4"/>
      <c r="S108" s="4"/>
      <c r="T108" s="4"/>
      <c r="U108" s="4"/>
      <c r="V108" s="4"/>
      <c r="W108" s="4">
        <v>0</v>
      </c>
      <c r="X108" s="4">
        <v>1</v>
      </c>
      <c r="Y108" s="4">
        <v>0</v>
      </c>
      <c r="Z108" s="4"/>
      <c r="AA108" s="4"/>
      <c r="AB108" s="4"/>
    </row>
    <row r="109" spans="1:206" x14ac:dyDescent="0.25">
      <c r="A109" s="4">
        <v>50</v>
      </c>
      <c r="B109" s="4">
        <v>0</v>
      </c>
      <c r="C109" s="4">
        <v>0</v>
      </c>
      <c r="D109" s="4">
        <v>1</v>
      </c>
      <c r="E109" s="4">
        <v>228</v>
      </c>
      <c r="F109" s="4">
        <f>ROUND(Source!AY101,O109)</f>
        <v>0</v>
      </c>
      <c r="G109" s="4" t="s">
        <v>62</v>
      </c>
      <c r="H109" s="4" t="s">
        <v>63</v>
      </c>
      <c r="I109" s="4"/>
      <c r="J109" s="4"/>
      <c r="K109" s="4">
        <v>228</v>
      </c>
      <c r="L109" s="4">
        <v>7</v>
      </c>
      <c r="M109" s="4">
        <v>3</v>
      </c>
      <c r="N109" s="4" t="s">
        <v>3</v>
      </c>
      <c r="O109" s="4">
        <v>0</v>
      </c>
      <c r="P109" s="4"/>
      <c r="Q109" s="4"/>
      <c r="R109" s="4"/>
      <c r="S109" s="4"/>
      <c r="T109" s="4"/>
      <c r="U109" s="4"/>
      <c r="V109" s="4"/>
      <c r="W109" s="4">
        <v>0</v>
      </c>
      <c r="X109" s="4">
        <v>1</v>
      </c>
      <c r="Y109" s="4">
        <v>0</v>
      </c>
      <c r="Z109" s="4"/>
      <c r="AA109" s="4"/>
      <c r="AB109" s="4"/>
    </row>
    <row r="110" spans="1:206" x14ac:dyDescent="0.25">
      <c r="A110" s="4">
        <v>50</v>
      </c>
      <c r="B110" s="4">
        <v>0</v>
      </c>
      <c r="C110" s="4">
        <v>0</v>
      </c>
      <c r="D110" s="4">
        <v>1</v>
      </c>
      <c r="E110" s="4">
        <v>216</v>
      </c>
      <c r="F110" s="4">
        <f>ROUND(Source!AP101,O110)</f>
        <v>0</v>
      </c>
      <c r="G110" s="4" t="s">
        <v>64</v>
      </c>
      <c r="H110" s="4" t="s">
        <v>65</v>
      </c>
      <c r="I110" s="4"/>
      <c r="J110" s="4"/>
      <c r="K110" s="4">
        <v>216</v>
      </c>
      <c r="L110" s="4">
        <v>8</v>
      </c>
      <c r="M110" s="4">
        <v>3</v>
      </c>
      <c r="N110" s="4" t="s">
        <v>3</v>
      </c>
      <c r="O110" s="4">
        <v>0</v>
      </c>
      <c r="P110" s="4"/>
      <c r="Q110" s="4"/>
      <c r="R110" s="4"/>
      <c r="S110" s="4"/>
      <c r="T110" s="4"/>
      <c r="U110" s="4"/>
      <c r="V110" s="4"/>
      <c r="W110" s="4">
        <v>0</v>
      </c>
      <c r="X110" s="4">
        <v>1</v>
      </c>
      <c r="Y110" s="4">
        <v>0</v>
      </c>
      <c r="Z110" s="4"/>
      <c r="AA110" s="4"/>
      <c r="AB110" s="4"/>
    </row>
    <row r="111" spans="1:206" x14ac:dyDescent="0.25">
      <c r="A111" s="4">
        <v>50</v>
      </c>
      <c r="B111" s="4">
        <v>0</v>
      </c>
      <c r="C111" s="4">
        <v>0</v>
      </c>
      <c r="D111" s="4">
        <v>1</v>
      </c>
      <c r="E111" s="4">
        <v>223</v>
      </c>
      <c r="F111" s="4">
        <f>ROUND(Source!AQ101,O111)</f>
        <v>0</v>
      </c>
      <c r="G111" s="4" t="s">
        <v>66</v>
      </c>
      <c r="H111" s="4" t="s">
        <v>67</v>
      </c>
      <c r="I111" s="4"/>
      <c r="J111" s="4"/>
      <c r="K111" s="4">
        <v>223</v>
      </c>
      <c r="L111" s="4">
        <v>9</v>
      </c>
      <c r="M111" s="4">
        <v>3</v>
      </c>
      <c r="N111" s="4" t="s">
        <v>3</v>
      </c>
      <c r="O111" s="4">
        <v>0</v>
      </c>
      <c r="P111" s="4"/>
      <c r="Q111" s="4"/>
      <c r="R111" s="4"/>
      <c r="S111" s="4"/>
      <c r="T111" s="4"/>
      <c r="U111" s="4"/>
      <c r="V111" s="4"/>
      <c r="W111" s="4">
        <v>0</v>
      </c>
      <c r="X111" s="4">
        <v>1</v>
      </c>
      <c r="Y111" s="4">
        <v>0</v>
      </c>
      <c r="Z111" s="4"/>
      <c r="AA111" s="4"/>
      <c r="AB111" s="4"/>
    </row>
    <row r="112" spans="1:206" x14ac:dyDescent="0.25">
      <c r="A112" s="4">
        <v>50</v>
      </c>
      <c r="B112" s="4">
        <v>0</v>
      </c>
      <c r="C112" s="4">
        <v>0</v>
      </c>
      <c r="D112" s="4">
        <v>1</v>
      </c>
      <c r="E112" s="4">
        <v>229</v>
      </c>
      <c r="F112" s="4">
        <f>ROUND(Source!AZ101,O112)</f>
        <v>0</v>
      </c>
      <c r="G112" s="4" t="s">
        <v>68</v>
      </c>
      <c r="H112" s="4" t="s">
        <v>69</v>
      </c>
      <c r="I112" s="4"/>
      <c r="J112" s="4"/>
      <c r="K112" s="4">
        <v>229</v>
      </c>
      <c r="L112" s="4">
        <v>10</v>
      </c>
      <c r="M112" s="4">
        <v>3</v>
      </c>
      <c r="N112" s="4" t="s">
        <v>3</v>
      </c>
      <c r="O112" s="4">
        <v>0</v>
      </c>
      <c r="P112" s="4"/>
      <c r="Q112" s="4"/>
      <c r="R112" s="4"/>
      <c r="S112" s="4"/>
      <c r="T112" s="4"/>
      <c r="U112" s="4"/>
      <c r="V112" s="4"/>
      <c r="W112" s="4">
        <v>0</v>
      </c>
      <c r="X112" s="4">
        <v>1</v>
      </c>
      <c r="Y112" s="4">
        <v>0</v>
      </c>
      <c r="Z112" s="4"/>
      <c r="AA112" s="4"/>
      <c r="AB112" s="4"/>
    </row>
    <row r="113" spans="1:28" x14ac:dyDescent="0.25">
      <c r="A113" s="4">
        <v>50</v>
      </c>
      <c r="B113" s="4">
        <v>0</v>
      </c>
      <c r="C113" s="4">
        <v>0</v>
      </c>
      <c r="D113" s="4">
        <v>1</v>
      </c>
      <c r="E113" s="4">
        <v>203</v>
      </c>
      <c r="F113" s="4">
        <f>ROUND(Source!Q101,O113)</f>
        <v>850</v>
      </c>
      <c r="G113" s="4" t="s">
        <v>70</v>
      </c>
      <c r="H113" s="4" t="s">
        <v>71</v>
      </c>
      <c r="I113" s="4"/>
      <c r="J113" s="4"/>
      <c r="K113" s="4">
        <v>203</v>
      </c>
      <c r="L113" s="4">
        <v>11</v>
      </c>
      <c r="M113" s="4">
        <v>3</v>
      </c>
      <c r="N113" s="4" t="s">
        <v>3</v>
      </c>
      <c r="O113" s="4">
        <v>0</v>
      </c>
      <c r="P113" s="4"/>
      <c r="Q113" s="4"/>
      <c r="R113" s="4"/>
      <c r="S113" s="4"/>
      <c r="T113" s="4"/>
      <c r="U113" s="4"/>
      <c r="V113" s="4"/>
      <c r="W113" s="4">
        <v>850</v>
      </c>
      <c r="X113" s="4">
        <v>1</v>
      </c>
      <c r="Y113" s="4">
        <v>850</v>
      </c>
      <c r="Z113" s="4"/>
      <c r="AA113" s="4"/>
      <c r="AB113" s="4"/>
    </row>
    <row r="114" spans="1:28" x14ac:dyDescent="0.25">
      <c r="A114" s="4">
        <v>50</v>
      </c>
      <c r="B114" s="4">
        <v>0</v>
      </c>
      <c r="C114" s="4">
        <v>0</v>
      </c>
      <c r="D114" s="4">
        <v>1</v>
      </c>
      <c r="E114" s="4">
        <v>231</v>
      </c>
      <c r="F114" s="4">
        <f>ROUND(Source!BB101,O114)</f>
        <v>0</v>
      </c>
      <c r="G114" s="4" t="s">
        <v>72</v>
      </c>
      <c r="H114" s="4" t="s">
        <v>73</v>
      </c>
      <c r="I114" s="4"/>
      <c r="J114" s="4"/>
      <c r="K114" s="4">
        <v>231</v>
      </c>
      <c r="L114" s="4">
        <v>12</v>
      </c>
      <c r="M114" s="4">
        <v>3</v>
      </c>
      <c r="N114" s="4" t="s">
        <v>3</v>
      </c>
      <c r="O114" s="4">
        <v>0</v>
      </c>
      <c r="P114" s="4"/>
      <c r="Q114" s="4"/>
      <c r="R114" s="4"/>
      <c r="S114" s="4"/>
      <c r="T114" s="4"/>
      <c r="U114" s="4"/>
      <c r="V114" s="4"/>
      <c r="W114" s="4">
        <v>0</v>
      </c>
      <c r="X114" s="4">
        <v>1</v>
      </c>
      <c r="Y114" s="4">
        <v>0</v>
      </c>
      <c r="Z114" s="4"/>
      <c r="AA114" s="4"/>
      <c r="AB114" s="4"/>
    </row>
    <row r="115" spans="1:28" x14ac:dyDescent="0.25">
      <c r="A115" s="4">
        <v>50</v>
      </c>
      <c r="B115" s="4">
        <v>0</v>
      </c>
      <c r="C115" s="4">
        <v>0</v>
      </c>
      <c r="D115" s="4">
        <v>1</v>
      </c>
      <c r="E115" s="4">
        <v>204</v>
      </c>
      <c r="F115" s="4">
        <f>ROUND(Source!R101,O115)</f>
        <v>599</v>
      </c>
      <c r="G115" s="4" t="s">
        <v>74</v>
      </c>
      <c r="H115" s="4" t="s">
        <v>75</v>
      </c>
      <c r="I115" s="4"/>
      <c r="J115" s="4"/>
      <c r="K115" s="4">
        <v>204</v>
      </c>
      <c r="L115" s="4">
        <v>13</v>
      </c>
      <c r="M115" s="4">
        <v>3</v>
      </c>
      <c r="N115" s="4" t="s">
        <v>3</v>
      </c>
      <c r="O115" s="4">
        <v>0</v>
      </c>
      <c r="P115" s="4"/>
      <c r="Q115" s="4"/>
      <c r="R115" s="4"/>
      <c r="S115" s="4"/>
      <c r="T115" s="4"/>
      <c r="U115" s="4"/>
      <c r="V115" s="4"/>
      <c r="W115" s="4">
        <v>599</v>
      </c>
      <c r="X115" s="4">
        <v>1</v>
      </c>
      <c r="Y115" s="4">
        <v>599</v>
      </c>
      <c r="Z115" s="4"/>
      <c r="AA115" s="4"/>
      <c r="AB115" s="4"/>
    </row>
    <row r="116" spans="1:28" x14ac:dyDescent="0.25">
      <c r="A116" s="4">
        <v>50</v>
      </c>
      <c r="B116" s="4">
        <v>0</v>
      </c>
      <c r="C116" s="4">
        <v>0</v>
      </c>
      <c r="D116" s="4">
        <v>1</v>
      </c>
      <c r="E116" s="4">
        <v>205</v>
      </c>
      <c r="F116" s="4">
        <f>ROUND(Source!S101,O116)</f>
        <v>39290</v>
      </c>
      <c r="G116" s="4" t="s">
        <v>76</v>
      </c>
      <c r="H116" s="4" t="s">
        <v>77</v>
      </c>
      <c r="I116" s="4"/>
      <c r="J116" s="4"/>
      <c r="K116" s="4">
        <v>205</v>
      </c>
      <c r="L116" s="4">
        <v>14</v>
      </c>
      <c r="M116" s="4">
        <v>3</v>
      </c>
      <c r="N116" s="4" t="s">
        <v>3</v>
      </c>
      <c r="O116" s="4">
        <v>0</v>
      </c>
      <c r="P116" s="4"/>
      <c r="Q116" s="4"/>
      <c r="R116" s="4"/>
      <c r="S116" s="4"/>
      <c r="T116" s="4"/>
      <c r="U116" s="4"/>
      <c r="V116" s="4"/>
      <c r="W116" s="4">
        <v>39290</v>
      </c>
      <c r="X116" s="4">
        <v>1</v>
      </c>
      <c r="Y116" s="4">
        <v>39290</v>
      </c>
      <c r="Z116" s="4"/>
      <c r="AA116" s="4"/>
      <c r="AB116" s="4"/>
    </row>
    <row r="117" spans="1:28" x14ac:dyDescent="0.25">
      <c r="A117" s="4">
        <v>50</v>
      </c>
      <c r="B117" s="4">
        <v>0</v>
      </c>
      <c r="C117" s="4">
        <v>0</v>
      </c>
      <c r="D117" s="4">
        <v>1</v>
      </c>
      <c r="E117" s="4">
        <v>232</v>
      </c>
      <c r="F117" s="4">
        <f>ROUND(Source!BC101,O117)</f>
        <v>0</v>
      </c>
      <c r="G117" s="4" t="s">
        <v>78</v>
      </c>
      <c r="H117" s="4" t="s">
        <v>79</v>
      </c>
      <c r="I117" s="4"/>
      <c r="J117" s="4"/>
      <c r="K117" s="4">
        <v>232</v>
      </c>
      <c r="L117" s="4">
        <v>15</v>
      </c>
      <c r="M117" s="4">
        <v>3</v>
      </c>
      <c r="N117" s="4" t="s">
        <v>3</v>
      </c>
      <c r="O117" s="4">
        <v>0</v>
      </c>
      <c r="P117" s="4"/>
      <c r="Q117" s="4"/>
      <c r="R117" s="4"/>
      <c r="S117" s="4"/>
      <c r="T117" s="4"/>
      <c r="U117" s="4"/>
      <c r="V117" s="4"/>
      <c r="W117" s="4">
        <v>0</v>
      </c>
      <c r="X117" s="4">
        <v>1</v>
      </c>
      <c r="Y117" s="4">
        <v>0</v>
      </c>
      <c r="Z117" s="4"/>
      <c r="AA117" s="4"/>
      <c r="AB117" s="4"/>
    </row>
    <row r="118" spans="1:28" x14ac:dyDescent="0.25">
      <c r="A118" s="4">
        <v>50</v>
      </c>
      <c r="B118" s="4">
        <v>0</v>
      </c>
      <c r="C118" s="4">
        <v>0</v>
      </c>
      <c r="D118" s="4">
        <v>1</v>
      </c>
      <c r="E118" s="4">
        <v>214</v>
      </c>
      <c r="F118" s="4">
        <f>ROUND(Source!AS101,O118)</f>
        <v>107325</v>
      </c>
      <c r="G118" s="4" t="s">
        <v>80</v>
      </c>
      <c r="H118" s="4" t="s">
        <v>81</v>
      </c>
      <c r="I118" s="4"/>
      <c r="J118" s="4"/>
      <c r="K118" s="4">
        <v>214</v>
      </c>
      <c r="L118" s="4">
        <v>16</v>
      </c>
      <c r="M118" s="4">
        <v>3</v>
      </c>
      <c r="N118" s="4" t="s">
        <v>3</v>
      </c>
      <c r="O118" s="4">
        <v>0</v>
      </c>
      <c r="P118" s="4"/>
      <c r="Q118" s="4"/>
      <c r="R118" s="4"/>
      <c r="S118" s="4"/>
      <c r="T118" s="4"/>
      <c r="U118" s="4"/>
      <c r="V118" s="4"/>
      <c r="W118" s="4">
        <v>107325</v>
      </c>
      <c r="X118" s="4">
        <v>1</v>
      </c>
      <c r="Y118" s="4">
        <v>107325</v>
      </c>
      <c r="Z118" s="4"/>
      <c r="AA118" s="4"/>
      <c r="AB118" s="4"/>
    </row>
    <row r="119" spans="1:28" x14ac:dyDescent="0.25">
      <c r="A119" s="4">
        <v>50</v>
      </c>
      <c r="B119" s="4">
        <v>0</v>
      </c>
      <c r="C119" s="4">
        <v>0</v>
      </c>
      <c r="D119" s="4">
        <v>1</v>
      </c>
      <c r="E119" s="4">
        <v>215</v>
      </c>
      <c r="F119" s="4">
        <f>ROUND(Source!AT101,O119)</f>
        <v>0</v>
      </c>
      <c r="G119" s="4" t="s">
        <v>82</v>
      </c>
      <c r="H119" s="4" t="s">
        <v>83</v>
      </c>
      <c r="I119" s="4"/>
      <c r="J119" s="4"/>
      <c r="K119" s="4">
        <v>215</v>
      </c>
      <c r="L119" s="4">
        <v>17</v>
      </c>
      <c r="M119" s="4">
        <v>3</v>
      </c>
      <c r="N119" s="4" t="s">
        <v>3</v>
      </c>
      <c r="O119" s="4">
        <v>0</v>
      </c>
      <c r="P119" s="4"/>
      <c r="Q119" s="4"/>
      <c r="R119" s="4"/>
      <c r="S119" s="4"/>
      <c r="T119" s="4"/>
      <c r="U119" s="4"/>
      <c r="V119" s="4"/>
      <c r="W119" s="4">
        <v>0</v>
      </c>
      <c r="X119" s="4">
        <v>1</v>
      </c>
      <c r="Y119" s="4">
        <v>0</v>
      </c>
      <c r="Z119" s="4"/>
      <c r="AA119" s="4"/>
      <c r="AB119" s="4"/>
    </row>
    <row r="120" spans="1:28" x14ac:dyDescent="0.25">
      <c r="A120" s="4">
        <v>50</v>
      </c>
      <c r="B120" s="4">
        <v>0</v>
      </c>
      <c r="C120" s="4">
        <v>0</v>
      </c>
      <c r="D120" s="4">
        <v>1</v>
      </c>
      <c r="E120" s="4">
        <v>217</v>
      </c>
      <c r="F120" s="4">
        <f>ROUND(Source!AU101,O120)</f>
        <v>0</v>
      </c>
      <c r="G120" s="4" t="s">
        <v>84</v>
      </c>
      <c r="H120" s="4" t="s">
        <v>85</v>
      </c>
      <c r="I120" s="4"/>
      <c r="J120" s="4"/>
      <c r="K120" s="4">
        <v>217</v>
      </c>
      <c r="L120" s="4">
        <v>18</v>
      </c>
      <c r="M120" s="4">
        <v>3</v>
      </c>
      <c r="N120" s="4" t="s">
        <v>3</v>
      </c>
      <c r="O120" s="4">
        <v>0</v>
      </c>
      <c r="P120" s="4"/>
      <c r="Q120" s="4"/>
      <c r="R120" s="4"/>
      <c r="S120" s="4"/>
      <c r="T120" s="4"/>
      <c r="U120" s="4"/>
      <c r="V120" s="4"/>
      <c r="W120" s="4">
        <v>0</v>
      </c>
      <c r="X120" s="4">
        <v>1</v>
      </c>
      <c r="Y120" s="4">
        <v>0</v>
      </c>
      <c r="Z120" s="4"/>
      <c r="AA120" s="4"/>
      <c r="AB120" s="4"/>
    </row>
    <row r="121" spans="1:28" x14ac:dyDescent="0.25">
      <c r="A121" s="4">
        <v>50</v>
      </c>
      <c r="B121" s="4">
        <v>0</v>
      </c>
      <c r="C121" s="4">
        <v>0</v>
      </c>
      <c r="D121" s="4">
        <v>1</v>
      </c>
      <c r="E121" s="4">
        <v>230</v>
      </c>
      <c r="F121" s="4">
        <f>ROUND(Source!BA101,O121)</f>
        <v>0</v>
      </c>
      <c r="G121" s="4" t="s">
        <v>86</v>
      </c>
      <c r="H121" s="4" t="s">
        <v>87</v>
      </c>
      <c r="I121" s="4"/>
      <c r="J121" s="4"/>
      <c r="K121" s="4">
        <v>230</v>
      </c>
      <c r="L121" s="4">
        <v>19</v>
      </c>
      <c r="M121" s="4">
        <v>3</v>
      </c>
      <c r="N121" s="4" t="s">
        <v>3</v>
      </c>
      <c r="O121" s="4">
        <v>0</v>
      </c>
      <c r="P121" s="4"/>
      <c r="Q121" s="4"/>
      <c r="R121" s="4"/>
      <c r="S121" s="4"/>
      <c r="T121" s="4"/>
      <c r="U121" s="4"/>
      <c r="V121" s="4"/>
      <c r="W121" s="4">
        <v>0</v>
      </c>
      <c r="X121" s="4">
        <v>1</v>
      </c>
      <c r="Y121" s="4">
        <v>0</v>
      </c>
      <c r="Z121" s="4"/>
      <c r="AA121" s="4"/>
      <c r="AB121" s="4"/>
    </row>
    <row r="122" spans="1:28" x14ac:dyDescent="0.25">
      <c r="A122" s="4">
        <v>50</v>
      </c>
      <c r="B122" s="4">
        <v>0</v>
      </c>
      <c r="C122" s="4">
        <v>0</v>
      </c>
      <c r="D122" s="4">
        <v>1</v>
      </c>
      <c r="E122" s="4">
        <v>206</v>
      </c>
      <c r="F122" s="4">
        <f>ROUND(Source!T101,O122)</f>
        <v>0</v>
      </c>
      <c r="G122" s="4" t="s">
        <v>88</v>
      </c>
      <c r="H122" s="4" t="s">
        <v>89</v>
      </c>
      <c r="I122" s="4"/>
      <c r="J122" s="4"/>
      <c r="K122" s="4">
        <v>206</v>
      </c>
      <c r="L122" s="4">
        <v>20</v>
      </c>
      <c r="M122" s="4">
        <v>3</v>
      </c>
      <c r="N122" s="4" t="s">
        <v>3</v>
      </c>
      <c r="O122" s="4">
        <v>0</v>
      </c>
      <c r="P122" s="4"/>
      <c r="Q122" s="4"/>
      <c r="R122" s="4"/>
      <c r="S122" s="4"/>
      <c r="T122" s="4"/>
      <c r="U122" s="4"/>
      <c r="V122" s="4"/>
      <c r="W122" s="4">
        <v>0</v>
      </c>
      <c r="X122" s="4">
        <v>1</v>
      </c>
      <c r="Y122" s="4">
        <v>0</v>
      </c>
      <c r="Z122" s="4"/>
      <c r="AA122" s="4"/>
      <c r="AB122" s="4"/>
    </row>
    <row r="123" spans="1:28" x14ac:dyDescent="0.25">
      <c r="A123" s="4">
        <v>50</v>
      </c>
      <c r="B123" s="4">
        <v>0</v>
      </c>
      <c r="C123" s="4">
        <v>0</v>
      </c>
      <c r="D123" s="4">
        <v>1</v>
      </c>
      <c r="E123" s="4">
        <v>207</v>
      </c>
      <c r="F123" s="4">
        <f>Source!U101</f>
        <v>137.215125</v>
      </c>
      <c r="G123" s="4" t="s">
        <v>90</v>
      </c>
      <c r="H123" s="4" t="s">
        <v>91</v>
      </c>
      <c r="I123" s="4"/>
      <c r="J123" s="4"/>
      <c r="K123" s="4">
        <v>207</v>
      </c>
      <c r="L123" s="4">
        <v>21</v>
      </c>
      <c r="M123" s="4">
        <v>3</v>
      </c>
      <c r="N123" s="4" t="s">
        <v>3</v>
      </c>
      <c r="O123" s="4">
        <v>-1</v>
      </c>
      <c r="P123" s="4"/>
      <c r="Q123" s="4"/>
      <c r="R123" s="4"/>
      <c r="S123" s="4"/>
      <c r="T123" s="4"/>
      <c r="U123" s="4"/>
      <c r="V123" s="4"/>
      <c r="W123" s="4">
        <v>137.21512499999997</v>
      </c>
      <c r="X123" s="4">
        <v>1</v>
      </c>
      <c r="Y123" s="4">
        <v>137.21512499999997</v>
      </c>
      <c r="Z123" s="4"/>
      <c r="AA123" s="4"/>
      <c r="AB123" s="4"/>
    </row>
    <row r="124" spans="1:28" x14ac:dyDescent="0.25">
      <c r="A124" s="4">
        <v>50</v>
      </c>
      <c r="B124" s="4">
        <v>0</v>
      </c>
      <c r="C124" s="4">
        <v>0</v>
      </c>
      <c r="D124" s="4">
        <v>1</v>
      </c>
      <c r="E124" s="4">
        <v>208</v>
      </c>
      <c r="F124" s="4">
        <f>Source!V101</f>
        <v>1.6691250000000002</v>
      </c>
      <c r="G124" s="4" t="s">
        <v>92</v>
      </c>
      <c r="H124" s="4" t="s">
        <v>93</v>
      </c>
      <c r="I124" s="4"/>
      <c r="J124" s="4"/>
      <c r="K124" s="4">
        <v>208</v>
      </c>
      <c r="L124" s="4">
        <v>22</v>
      </c>
      <c r="M124" s="4">
        <v>3</v>
      </c>
      <c r="N124" s="4" t="s">
        <v>3</v>
      </c>
      <c r="O124" s="4">
        <v>-1</v>
      </c>
      <c r="P124" s="4"/>
      <c r="Q124" s="4"/>
      <c r="R124" s="4"/>
      <c r="S124" s="4"/>
      <c r="T124" s="4"/>
      <c r="U124" s="4"/>
      <c r="V124" s="4"/>
      <c r="W124" s="4">
        <v>1.6691250000000002</v>
      </c>
      <c r="X124" s="4">
        <v>1</v>
      </c>
      <c r="Y124" s="4">
        <v>1.6691250000000002</v>
      </c>
      <c r="Z124" s="4"/>
      <c r="AA124" s="4"/>
      <c r="AB124" s="4"/>
    </row>
    <row r="125" spans="1:28" x14ac:dyDescent="0.25">
      <c r="A125" s="4">
        <v>50</v>
      </c>
      <c r="B125" s="4">
        <v>0</v>
      </c>
      <c r="C125" s="4">
        <v>0</v>
      </c>
      <c r="D125" s="4">
        <v>1</v>
      </c>
      <c r="E125" s="4">
        <v>209</v>
      </c>
      <c r="F125" s="4">
        <f>ROUND(Source!W101,O125)</f>
        <v>0</v>
      </c>
      <c r="G125" s="4" t="s">
        <v>94</v>
      </c>
      <c r="H125" s="4" t="s">
        <v>95</v>
      </c>
      <c r="I125" s="4"/>
      <c r="J125" s="4"/>
      <c r="K125" s="4">
        <v>209</v>
      </c>
      <c r="L125" s="4">
        <v>23</v>
      </c>
      <c r="M125" s="4">
        <v>3</v>
      </c>
      <c r="N125" s="4" t="s">
        <v>3</v>
      </c>
      <c r="O125" s="4">
        <v>0</v>
      </c>
      <c r="P125" s="4"/>
      <c r="Q125" s="4"/>
      <c r="R125" s="4"/>
      <c r="S125" s="4"/>
      <c r="T125" s="4"/>
      <c r="U125" s="4"/>
      <c r="V125" s="4"/>
      <c r="W125" s="4">
        <v>0</v>
      </c>
      <c r="X125" s="4">
        <v>1</v>
      </c>
      <c r="Y125" s="4">
        <v>0</v>
      </c>
      <c r="Z125" s="4"/>
      <c r="AA125" s="4"/>
      <c r="AB125" s="4"/>
    </row>
    <row r="126" spans="1:28" x14ac:dyDescent="0.25">
      <c r="A126" s="4">
        <v>50</v>
      </c>
      <c r="B126" s="4">
        <v>0</v>
      </c>
      <c r="C126" s="4">
        <v>0</v>
      </c>
      <c r="D126" s="4">
        <v>1</v>
      </c>
      <c r="E126" s="4">
        <v>233</v>
      </c>
      <c r="F126" s="4">
        <f>ROUND(Source!BD101,O126)</f>
        <v>0</v>
      </c>
      <c r="G126" s="4" t="s">
        <v>96</v>
      </c>
      <c r="H126" s="4" t="s">
        <v>97</v>
      </c>
      <c r="I126" s="4"/>
      <c r="J126" s="4"/>
      <c r="K126" s="4">
        <v>233</v>
      </c>
      <c r="L126" s="4">
        <v>24</v>
      </c>
      <c r="M126" s="4">
        <v>3</v>
      </c>
      <c r="N126" s="4" t="s">
        <v>3</v>
      </c>
      <c r="O126" s="4">
        <v>0</v>
      </c>
      <c r="P126" s="4"/>
      <c r="Q126" s="4"/>
      <c r="R126" s="4"/>
      <c r="S126" s="4"/>
      <c r="T126" s="4"/>
      <c r="U126" s="4"/>
      <c r="V126" s="4"/>
      <c r="W126" s="4">
        <v>0</v>
      </c>
      <c r="X126" s="4">
        <v>1</v>
      </c>
      <c r="Y126" s="4">
        <v>0</v>
      </c>
      <c r="Z126" s="4"/>
      <c r="AA126" s="4"/>
      <c r="AB126" s="4"/>
    </row>
    <row r="127" spans="1:28" x14ac:dyDescent="0.25">
      <c r="A127" s="4">
        <v>50</v>
      </c>
      <c r="B127" s="4">
        <v>0</v>
      </c>
      <c r="C127" s="4">
        <v>0</v>
      </c>
      <c r="D127" s="4">
        <v>1</v>
      </c>
      <c r="E127" s="4">
        <v>210</v>
      </c>
      <c r="F127" s="4">
        <f>ROUND(Source!X101,O127)</f>
        <v>43476</v>
      </c>
      <c r="G127" s="4" t="s">
        <v>98</v>
      </c>
      <c r="H127" s="4" t="s">
        <v>99</v>
      </c>
      <c r="I127" s="4"/>
      <c r="J127" s="4"/>
      <c r="K127" s="4">
        <v>210</v>
      </c>
      <c r="L127" s="4">
        <v>25</v>
      </c>
      <c r="M127" s="4">
        <v>3</v>
      </c>
      <c r="N127" s="4" t="s">
        <v>3</v>
      </c>
      <c r="O127" s="4">
        <v>0</v>
      </c>
      <c r="P127" s="4"/>
      <c r="Q127" s="4"/>
      <c r="R127" s="4"/>
      <c r="S127" s="4"/>
      <c r="T127" s="4"/>
      <c r="U127" s="4"/>
      <c r="V127" s="4"/>
      <c r="W127" s="4">
        <v>43476</v>
      </c>
      <c r="X127" s="4">
        <v>1</v>
      </c>
      <c r="Y127" s="4">
        <v>43476</v>
      </c>
      <c r="Z127" s="4"/>
      <c r="AA127" s="4"/>
      <c r="AB127" s="4"/>
    </row>
    <row r="128" spans="1:28" x14ac:dyDescent="0.25">
      <c r="A128" s="4">
        <v>50</v>
      </c>
      <c r="B128" s="4">
        <v>0</v>
      </c>
      <c r="C128" s="4">
        <v>0</v>
      </c>
      <c r="D128" s="4">
        <v>1</v>
      </c>
      <c r="E128" s="4">
        <v>211</v>
      </c>
      <c r="F128" s="4">
        <f>ROUND(Source!Y101,O128)</f>
        <v>23709</v>
      </c>
      <c r="G128" s="4" t="s">
        <v>100</v>
      </c>
      <c r="H128" s="4" t="s">
        <v>101</v>
      </c>
      <c r="I128" s="4"/>
      <c r="J128" s="4"/>
      <c r="K128" s="4">
        <v>211</v>
      </c>
      <c r="L128" s="4">
        <v>26</v>
      </c>
      <c r="M128" s="4">
        <v>3</v>
      </c>
      <c r="N128" s="4" t="s">
        <v>3</v>
      </c>
      <c r="O128" s="4">
        <v>0</v>
      </c>
      <c r="P128" s="4"/>
      <c r="Q128" s="4"/>
      <c r="R128" s="4"/>
      <c r="S128" s="4"/>
      <c r="T128" s="4"/>
      <c r="U128" s="4"/>
      <c r="V128" s="4"/>
      <c r="W128" s="4">
        <v>23709</v>
      </c>
      <c r="X128" s="4">
        <v>1</v>
      </c>
      <c r="Y128" s="4">
        <v>23709</v>
      </c>
      <c r="Z128" s="4"/>
      <c r="AA128" s="4"/>
      <c r="AB128" s="4"/>
    </row>
    <row r="129" spans="1:206" x14ac:dyDescent="0.25">
      <c r="A129" s="4">
        <v>50</v>
      </c>
      <c r="B129" s="4">
        <v>0</v>
      </c>
      <c r="C129" s="4">
        <v>0</v>
      </c>
      <c r="D129" s="4">
        <v>1</v>
      </c>
      <c r="E129" s="4">
        <v>224</v>
      </c>
      <c r="F129" s="4">
        <f>ROUND(Source!AR101,O129)</f>
        <v>107325</v>
      </c>
      <c r="G129" s="4" t="s">
        <v>102</v>
      </c>
      <c r="H129" s="4" t="s">
        <v>103</v>
      </c>
      <c r="I129" s="4"/>
      <c r="J129" s="4"/>
      <c r="K129" s="4">
        <v>224</v>
      </c>
      <c r="L129" s="4">
        <v>27</v>
      </c>
      <c r="M129" s="4">
        <v>3</v>
      </c>
      <c r="N129" s="4" t="s">
        <v>3</v>
      </c>
      <c r="O129" s="4">
        <v>0</v>
      </c>
      <c r="P129" s="4"/>
      <c r="Q129" s="4"/>
      <c r="R129" s="4"/>
      <c r="S129" s="4"/>
      <c r="T129" s="4"/>
      <c r="U129" s="4"/>
      <c r="V129" s="4"/>
      <c r="W129" s="4">
        <v>107325</v>
      </c>
      <c r="X129" s="4">
        <v>1</v>
      </c>
      <c r="Y129" s="4">
        <v>107325</v>
      </c>
      <c r="Z129" s="4"/>
      <c r="AA129" s="4"/>
      <c r="AB129" s="4"/>
    </row>
    <row r="131" spans="1:206" x14ac:dyDescent="0.25">
      <c r="A131" s="2">
        <v>51</v>
      </c>
      <c r="B131" s="2">
        <f>B12</f>
        <v>194</v>
      </c>
      <c r="C131" s="2">
        <f>A12</f>
        <v>1</v>
      </c>
      <c r="D131" s="2">
        <f>ROW(A12)</f>
        <v>12</v>
      </c>
      <c r="E131" s="2"/>
      <c r="F131" s="2" t="str">
        <f>IF(F12&lt;&gt;"",F12,"")</f>
        <v>Новый объект</v>
      </c>
      <c r="G131" s="2" t="str">
        <f>IF(G12&lt;&gt;"",G12,"")</f>
        <v>Ремонт санузлов АБК</v>
      </c>
      <c r="H131" s="2">
        <v>0</v>
      </c>
      <c r="I131" s="2"/>
      <c r="J131" s="2"/>
      <c r="K131" s="2"/>
      <c r="L131" s="2"/>
      <c r="M131" s="2"/>
      <c r="N131" s="2"/>
      <c r="O131" s="2">
        <f t="shared" ref="O131:T131" si="37">ROUND(O101,0)</f>
        <v>40140</v>
      </c>
      <c r="P131" s="2">
        <f t="shared" si="37"/>
        <v>0</v>
      </c>
      <c r="Q131" s="2">
        <f t="shared" si="37"/>
        <v>850</v>
      </c>
      <c r="R131" s="2">
        <f t="shared" si="37"/>
        <v>599</v>
      </c>
      <c r="S131" s="2">
        <f t="shared" si="37"/>
        <v>39290</v>
      </c>
      <c r="T131" s="2">
        <f t="shared" si="37"/>
        <v>0</v>
      </c>
      <c r="U131" s="2">
        <f>U101</f>
        <v>137.215125</v>
      </c>
      <c r="V131" s="2">
        <f>V101</f>
        <v>1.6691250000000002</v>
      </c>
      <c r="W131" s="2">
        <f>ROUND(W101,0)</f>
        <v>0</v>
      </c>
      <c r="X131" s="2">
        <f>ROUND(X101,0)</f>
        <v>43476</v>
      </c>
      <c r="Y131" s="2">
        <f>ROUND(Y101,0)</f>
        <v>23709</v>
      </c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>
        <f t="shared" ref="AO131:BD131" si="38">ROUND(AO101,0)</f>
        <v>0</v>
      </c>
      <c r="AP131" s="2">
        <f t="shared" si="38"/>
        <v>0</v>
      </c>
      <c r="AQ131" s="2">
        <f t="shared" si="38"/>
        <v>0</v>
      </c>
      <c r="AR131" s="2">
        <f t="shared" si="38"/>
        <v>107325</v>
      </c>
      <c r="AS131" s="2">
        <f t="shared" si="38"/>
        <v>107325</v>
      </c>
      <c r="AT131" s="2">
        <f t="shared" si="38"/>
        <v>0</v>
      </c>
      <c r="AU131" s="2">
        <f t="shared" si="38"/>
        <v>0</v>
      </c>
      <c r="AV131" s="2">
        <f t="shared" si="38"/>
        <v>0</v>
      </c>
      <c r="AW131" s="2">
        <f t="shared" si="38"/>
        <v>0</v>
      </c>
      <c r="AX131" s="2">
        <f t="shared" si="38"/>
        <v>0</v>
      </c>
      <c r="AY131" s="2">
        <f t="shared" si="38"/>
        <v>0</v>
      </c>
      <c r="AZ131" s="2">
        <f t="shared" si="38"/>
        <v>0</v>
      </c>
      <c r="BA131" s="2">
        <f t="shared" si="38"/>
        <v>0</v>
      </c>
      <c r="BB131" s="2">
        <f t="shared" si="38"/>
        <v>0</v>
      </c>
      <c r="BC131" s="2">
        <f t="shared" si="38"/>
        <v>0</v>
      </c>
      <c r="BD131" s="2">
        <f t="shared" si="38"/>
        <v>0</v>
      </c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>
        <v>0</v>
      </c>
    </row>
    <row r="133" spans="1:206" x14ac:dyDescent="0.25">
      <c r="A133" s="4">
        <v>50</v>
      </c>
      <c r="B133" s="4">
        <v>0</v>
      </c>
      <c r="C133" s="4">
        <v>0</v>
      </c>
      <c r="D133" s="4">
        <v>1</v>
      </c>
      <c r="E133" s="4">
        <v>201</v>
      </c>
      <c r="F133" s="4">
        <f>ROUND(Source!O131,O133)</f>
        <v>40140</v>
      </c>
      <c r="G133" s="4" t="s">
        <v>50</v>
      </c>
      <c r="H133" s="4" t="s">
        <v>51</v>
      </c>
      <c r="I133" s="4"/>
      <c r="J133" s="4"/>
      <c r="K133" s="4">
        <v>201</v>
      </c>
      <c r="L133" s="4">
        <v>1</v>
      </c>
      <c r="M133" s="4">
        <v>3</v>
      </c>
      <c r="N133" s="4" t="s">
        <v>3</v>
      </c>
      <c r="O133" s="4">
        <v>0</v>
      </c>
      <c r="P133" s="4"/>
      <c r="Q133" s="4"/>
      <c r="R133" s="4"/>
      <c r="S133" s="4"/>
      <c r="T133" s="4"/>
      <c r="U133" s="4"/>
      <c r="V133" s="4"/>
      <c r="W133" s="4">
        <v>40140</v>
      </c>
      <c r="X133" s="4">
        <v>1</v>
      </c>
      <c r="Y133" s="4">
        <v>40140</v>
      </c>
      <c r="Z133" s="4"/>
      <c r="AA133" s="4"/>
      <c r="AB133" s="4"/>
    </row>
    <row r="134" spans="1:206" x14ac:dyDescent="0.25">
      <c r="A134" s="4">
        <v>50</v>
      </c>
      <c r="B134" s="4">
        <v>0</v>
      </c>
      <c r="C134" s="4">
        <v>0</v>
      </c>
      <c r="D134" s="4">
        <v>1</v>
      </c>
      <c r="E134" s="4">
        <v>202</v>
      </c>
      <c r="F134" s="4">
        <f>ROUND(Source!P131,O134)</f>
        <v>0</v>
      </c>
      <c r="G134" s="4" t="s">
        <v>52</v>
      </c>
      <c r="H134" s="4" t="s">
        <v>53</v>
      </c>
      <c r="I134" s="4"/>
      <c r="J134" s="4"/>
      <c r="K134" s="4">
        <v>202</v>
      </c>
      <c r="L134" s="4">
        <v>2</v>
      </c>
      <c r="M134" s="4">
        <v>3</v>
      </c>
      <c r="N134" s="4" t="s">
        <v>3</v>
      </c>
      <c r="O134" s="4">
        <v>0</v>
      </c>
      <c r="P134" s="4"/>
      <c r="Q134" s="4"/>
      <c r="R134" s="4"/>
      <c r="S134" s="4"/>
      <c r="T134" s="4"/>
      <c r="U134" s="4"/>
      <c r="V134" s="4"/>
      <c r="W134" s="4">
        <v>0</v>
      </c>
      <c r="X134" s="4">
        <v>1</v>
      </c>
      <c r="Y134" s="4">
        <v>0</v>
      </c>
      <c r="Z134" s="4"/>
      <c r="AA134" s="4"/>
      <c r="AB134" s="4"/>
    </row>
    <row r="135" spans="1:206" x14ac:dyDescent="0.25">
      <c r="A135" s="4">
        <v>50</v>
      </c>
      <c r="B135" s="4">
        <v>0</v>
      </c>
      <c r="C135" s="4">
        <v>0</v>
      </c>
      <c r="D135" s="4">
        <v>1</v>
      </c>
      <c r="E135" s="4">
        <v>222</v>
      </c>
      <c r="F135" s="4">
        <f>ROUND(Source!AO131,O135)</f>
        <v>0</v>
      </c>
      <c r="G135" s="4" t="s">
        <v>54</v>
      </c>
      <c r="H135" s="4" t="s">
        <v>55</v>
      </c>
      <c r="I135" s="4"/>
      <c r="J135" s="4"/>
      <c r="K135" s="4">
        <v>222</v>
      </c>
      <c r="L135" s="4">
        <v>3</v>
      </c>
      <c r="M135" s="4">
        <v>3</v>
      </c>
      <c r="N135" s="4" t="s">
        <v>3</v>
      </c>
      <c r="O135" s="4">
        <v>0</v>
      </c>
      <c r="P135" s="4"/>
      <c r="Q135" s="4"/>
      <c r="R135" s="4"/>
      <c r="S135" s="4"/>
      <c r="T135" s="4"/>
      <c r="U135" s="4"/>
      <c r="V135" s="4"/>
      <c r="W135" s="4">
        <v>0</v>
      </c>
      <c r="X135" s="4">
        <v>1</v>
      </c>
      <c r="Y135" s="4">
        <v>0</v>
      </c>
      <c r="Z135" s="4"/>
      <c r="AA135" s="4"/>
      <c r="AB135" s="4"/>
    </row>
    <row r="136" spans="1:206" x14ac:dyDescent="0.25">
      <c r="A136" s="4">
        <v>50</v>
      </c>
      <c r="B136" s="4">
        <v>0</v>
      </c>
      <c r="C136" s="4">
        <v>0</v>
      </c>
      <c r="D136" s="4">
        <v>1</v>
      </c>
      <c r="E136" s="4">
        <v>225</v>
      </c>
      <c r="F136" s="4">
        <f>ROUND(Source!AV131,O136)</f>
        <v>0</v>
      </c>
      <c r="G136" s="4" t="s">
        <v>56</v>
      </c>
      <c r="H136" s="4" t="s">
        <v>57</v>
      </c>
      <c r="I136" s="4"/>
      <c r="J136" s="4"/>
      <c r="K136" s="4">
        <v>225</v>
      </c>
      <c r="L136" s="4">
        <v>4</v>
      </c>
      <c r="M136" s="4">
        <v>3</v>
      </c>
      <c r="N136" s="4" t="s">
        <v>3</v>
      </c>
      <c r="O136" s="4">
        <v>0</v>
      </c>
      <c r="P136" s="4"/>
      <c r="Q136" s="4"/>
      <c r="R136" s="4"/>
      <c r="S136" s="4"/>
      <c r="T136" s="4"/>
      <c r="U136" s="4"/>
      <c r="V136" s="4"/>
      <c r="W136" s="4">
        <v>0</v>
      </c>
      <c r="X136" s="4">
        <v>1</v>
      </c>
      <c r="Y136" s="4">
        <v>0</v>
      </c>
      <c r="Z136" s="4"/>
      <c r="AA136" s="4"/>
      <c r="AB136" s="4"/>
    </row>
    <row r="137" spans="1:206" x14ac:dyDescent="0.25">
      <c r="A137" s="4">
        <v>50</v>
      </c>
      <c r="B137" s="4">
        <v>0</v>
      </c>
      <c r="C137" s="4">
        <v>0</v>
      </c>
      <c r="D137" s="4">
        <v>1</v>
      </c>
      <c r="E137" s="4">
        <v>226</v>
      </c>
      <c r="F137" s="4">
        <f>ROUND(Source!AW131,O137)</f>
        <v>0</v>
      </c>
      <c r="G137" s="4" t="s">
        <v>58</v>
      </c>
      <c r="H137" s="4" t="s">
        <v>59</v>
      </c>
      <c r="I137" s="4"/>
      <c r="J137" s="4"/>
      <c r="K137" s="4">
        <v>226</v>
      </c>
      <c r="L137" s="4">
        <v>5</v>
      </c>
      <c r="M137" s="4">
        <v>3</v>
      </c>
      <c r="N137" s="4" t="s">
        <v>3</v>
      </c>
      <c r="O137" s="4">
        <v>0</v>
      </c>
      <c r="P137" s="4"/>
      <c r="Q137" s="4"/>
      <c r="R137" s="4"/>
      <c r="S137" s="4"/>
      <c r="T137" s="4"/>
      <c r="U137" s="4"/>
      <c r="V137" s="4"/>
      <c r="W137" s="4">
        <v>0</v>
      </c>
      <c r="X137" s="4">
        <v>1</v>
      </c>
      <c r="Y137" s="4">
        <v>0</v>
      </c>
      <c r="Z137" s="4"/>
      <c r="AA137" s="4"/>
      <c r="AB137" s="4"/>
    </row>
    <row r="138" spans="1:206" x14ac:dyDescent="0.25">
      <c r="A138" s="4">
        <v>50</v>
      </c>
      <c r="B138" s="4">
        <v>0</v>
      </c>
      <c r="C138" s="4">
        <v>0</v>
      </c>
      <c r="D138" s="4">
        <v>1</v>
      </c>
      <c r="E138" s="4">
        <v>227</v>
      </c>
      <c r="F138" s="4">
        <f>ROUND(Source!AX131,O138)</f>
        <v>0</v>
      </c>
      <c r="G138" s="4" t="s">
        <v>60</v>
      </c>
      <c r="H138" s="4" t="s">
        <v>61</v>
      </c>
      <c r="I138" s="4"/>
      <c r="J138" s="4"/>
      <c r="K138" s="4">
        <v>227</v>
      </c>
      <c r="L138" s="4">
        <v>6</v>
      </c>
      <c r="M138" s="4">
        <v>3</v>
      </c>
      <c r="N138" s="4" t="s">
        <v>3</v>
      </c>
      <c r="O138" s="4">
        <v>0</v>
      </c>
      <c r="P138" s="4"/>
      <c r="Q138" s="4"/>
      <c r="R138" s="4"/>
      <c r="S138" s="4"/>
      <c r="T138" s="4"/>
      <c r="U138" s="4"/>
      <c r="V138" s="4"/>
      <c r="W138" s="4">
        <v>0</v>
      </c>
      <c r="X138" s="4">
        <v>1</v>
      </c>
      <c r="Y138" s="4">
        <v>0</v>
      </c>
      <c r="Z138" s="4"/>
      <c r="AA138" s="4"/>
      <c r="AB138" s="4"/>
    </row>
    <row r="139" spans="1:206" x14ac:dyDescent="0.25">
      <c r="A139" s="4">
        <v>50</v>
      </c>
      <c r="B139" s="4">
        <v>0</v>
      </c>
      <c r="C139" s="4">
        <v>0</v>
      </c>
      <c r="D139" s="4">
        <v>1</v>
      </c>
      <c r="E139" s="4">
        <v>228</v>
      </c>
      <c r="F139" s="4">
        <f>ROUND(Source!AY131,O139)</f>
        <v>0</v>
      </c>
      <c r="G139" s="4" t="s">
        <v>62</v>
      </c>
      <c r="H139" s="4" t="s">
        <v>63</v>
      </c>
      <c r="I139" s="4"/>
      <c r="J139" s="4"/>
      <c r="K139" s="4">
        <v>228</v>
      </c>
      <c r="L139" s="4">
        <v>7</v>
      </c>
      <c r="M139" s="4">
        <v>3</v>
      </c>
      <c r="N139" s="4" t="s">
        <v>3</v>
      </c>
      <c r="O139" s="4">
        <v>0</v>
      </c>
      <c r="P139" s="4"/>
      <c r="Q139" s="4"/>
      <c r="R139" s="4"/>
      <c r="S139" s="4"/>
      <c r="T139" s="4"/>
      <c r="U139" s="4"/>
      <c r="V139" s="4"/>
      <c r="W139" s="4">
        <v>0</v>
      </c>
      <c r="X139" s="4">
        <v>1</v>
      </c>
      <c r="Y139" s="4">
        <v>0</v>
      </c>
      <c r="Z139" s="4"/>
      <c r="AA139" s="4"/>
      <c r="AB139" s="4"/>
    </row>
    <row r="140" spans="1:206" x14ac:dyDescent="0.25">
      <c r="A140" s="4">
        <v>50</v>
      </c>
      <c r="B140" s="4">
        <v>0</v>
      </c>
      <c r="C140" s="4">
        <v>0</v>
      </c>
      <c r="D140" s="4">
        <v>1</v>
      </c>
      <c r="E140" s="4">
        <v>216</v>
      </c>
      <c r="F140" s="4">
        <f>ROUND(Source!AP131,O140)</f>
        <v>0</v>
      </c>
      <c r="G140" s="4" t="s">
        <v>64</v>
      </c>
      <c r="H140" s="4" t="s">
        <v>65</v>
      </c>
      <c r="I140" s="4"/>
      <c r="J140" s="4"/>
      <c r="K140" s="4">
        <v>216</v>
      </c>
      <c r="L140" s="4">
        <v>8</v>
      </c>
      <c r="M140" s="4">
        <v>3</v>
      </c>
      <c r="N140" s="4" t="s">
        <v>3</v>
      </c>
      <c r="O140" s="4">
        <v>0</v>
      </c>
      <c r="P140" s="4"/>
      <c r="Q140" s="4"/>
      <c r="R140" s="4"/>
      <c r="S140" s="4"/>
      <c r="T140" s="4"/>
      <c r="U140" s="4"/>
      <c r="V140" s="4"/>
      <c r="W140" s="4">
        <v>0</v>
      </c>
      <c r="X140" s="4">
        <v>1</v>
      </c>
      <c r="Y140" s="4">
        <v>0</v>
      </c>
      <c r="Z140" s="4"/>
      <c r="AA140" s="4"/>
      <c r="AB140" s="4"/>
    </row>
    <row r="141" spans="1:206" x14ac:dyDescent="0.25">
      <c r="A141" s="4">
        <v>50</v>
      </c>
      <c r="B141" s="4">
        <v>0</v>
      </c>
      <c r="C141" s="4">
        <v>0</v>
      </c>
      <c r="D141" s="4">
        <v>1</v>
      </c>
      <c r="E141" s="4">
        <v>223</v>
      </c>
      <c r="F141" s="4">
        <f>ROUND(Source!AQ131,O141)</f>
        <v>0</v>
      </c>
      <c r="G141" s="4" t="s">
        <v>66</v>
      </c>
      <c r="H141" s="4" t="s">
        <v>67</v>
      </c>
      <c r="I141" s="4"/>
      <c r="J141" s="4"/>
      <c r="K141" s="4">
        <v>223</v>
      </c>
      <c r="L141" s="4">
        <v>9</v>
      </c>
      <c r="M141" s="4">
        <v>3</v>
      </c>
      <c r="N141" s="4" t="s">
        <v>3</v>
      </c>
      <c r="O141" s="4">
        <v>0</v>
      </c>
      <c r="P141" s="4"/>
      <c r="Q141" s="4"/>
      <c r="R141" s="4"/>
      <c r="S141" s="4"/>
      <c r="T141" s="4"/>
      <c r="U141" s="4"/>
      <c r="V141" s="4"/>
      <c r="W141" s="4">
        <v>0</v>
      </c>
      <c r="X141" s="4">
        <v>1</v>
      </c>
      <c r="Y141" s="4">
        <v>0</v>
      </c>
      <c r="Z141" s="4"/>
      <c r="AA141" s="4"/>
      <c r="AB141" s="4"/>
    </row>
    <row r="142" spans="1:206" x14ac:dyDescent="0.25">
      <c r="A142" s="4">
        <v>50</v>
      </c>
      <c r="B142" s="4">
        <v>0</v>
      </c>
      <c r="C142" s="4">
        <v>0</v>
      </c>
      <c r="D142" s="4">
        <v>1</v>
      </c>
      <c r="E142" s="4">
        <v>229</v>
      </c>
      <c r="F142" s="4">
        <f>ROUND(Source!AZ131,O142)</f>
        <v>0</v>
      </c>
      <c r="G142" s="4" t="s">
        <v>68</v>
      </c>
      <c r="H142" s="4" t="s">
        <v>69</v>
      </c>
      <c r="I142" s="4"/>
      <c r="J142" s="4"/>
      <c r="K142" s="4">
        <v>229</v>
      </c>
      <c r="L142" s="4">
        <v>10</v>
      </c>
      <c r="M142" s="4">
        <v>3</v>
      </c>
      <c r="N142" s="4" t="s">
        <v>3</v>
      </c>
      <c r="O142" s="4">
        <v>0</v>
      </c>
      <c r="P142" s="4"/>
      <c r="Q142" s="4"/>
      <c r="R142" s="4"/>
      <c r="S142" s="4"/>
      <c r="T142" s="4"/>
      <c r="U142" s="4"/>
      <c r="V142" s="4"/>
      <c r="W142" s="4">
        <v>0</v>
      </c>
      <c r="X142" s="4">
        <v>1</v>
      </c>
      <c r="Y142" s="4">
        <v>0</v>
      </c>
      <c r="Z142" s="4"/>
      <c r="AA142" s="4"/>
      <c r="AB142" s="4"/>
    </row>
    <row r="143" spans="1:206" x14ac:dyDescent="0.25">
      <c r="A143" s="4">
        <v>50</v>
      </c>
      <c r="B143" s="4">
        <v>0</v>
      </c>
      <c r="C143" s="4">
        <v>0</v>
      </c>
      <c r="D143" s="4">
        <v>1</v>
      </c>
      <c r="E143" s="4">
        <v>203</v>
      </c>
      <c r="F143" s="4">
        <f>ROUND(Source!Q131,O143)</f>
        <v>850</v>
      </c>
      <c r="G143" s="4" t="s">
        <v>70</v>
      </c>
      <c r="H143" s="4" t="s">
        <v>71</v>
      </c>
      <c r="I143" s="4"/>
      <c r="J143" s="4"/>
      <c r="K143" s="4">
        <v>203</v>
      </c>
      <c r="L143" s="4">
        <v>11</v>
      </c>
      <c r="M143" s="4">
        <v>3</v>
      </c>
      <c r="N143" s="4" t="s">
        <v>3</v>
      </c>
      <c r="O143" s="4">
        <v>0</v>
      </c>
      <c r="P143" s="4"/>
      <c r="Q143" s="4"/>
      <c r="R143" s="4"/>
      <c r="S143" s="4"/>
      <c r="T143" s="4"/>
      <c r="U143" s="4"/>
      <c r="V143" s="4"/>
      <c r="W143" s="4">
        <v>850</v>
      </c>
      <c r="X143" s="4">
        <v>1</v>
      </c>
      <c r="Y143" s="4">
        <v>850</v>
      </c>
      <c r="Z143" s="4"/>
      <c r="AA143" s="4"/>
      <c r="AB143" s="4"/>
    </row>
    <row r="144" spans="1:206" x14ac:dyDescent="0.25">
      <c r="A144" s="4">
        <v>50</v>
      </c>
      <c r="B144" s="4">
        <v>0</v>
      </c>
      <c r="C144" s="4">
        <v>0</v>
      </c>
      <c r="D144" s="4">
        <v>1</v>
      </c>
      <c r="E144" s="4">
        <v>231</v>
      </c>
      <c r="F144" s="4">
        <f>ROUND(Source!BB131,O144)</f>
        <v>0</v>
      </c>
      <c r="G144" s="4" t="s">
        <v>72</v>
      </c>
      <c r="H144" s="4" t="s">
        <v>73</v>
      </c>
      <c r="I144" s="4"/>
      <c r="J144" s="4"/>
      <c r="K144" s="4">
        <v>231</v>
      </c>
      <c r="L144" s="4">
        <v>12</v>
      </c>
      <c r="M144" s="4">
        <v>3</v>
      </c>
      <c r="N144" s="4" t="s">
        <v>3</v>
      </c>
      <c r="O144" s="4">
        <v>0</v>
      </c>
      <c r="P144" s="4"/>
      <c r="Q144" s="4"/>
      <c r="R144" s="4"/>
      <c r="S144" s="4"/>
      <c r="T144" s="4"/>
      <c r="U144" s="4"/>
      <c r="V144" s="4"/>
      <c r="W144" s="4">
        <v>0</v>
      </c>
      <c r="X144" s="4">
        <v>1</v>
      </c>
      <c r="Y144" s="4">
        <v>0</v>
      </c>
      <c r="Z144" s="4"/>
      <c r="AA144" s="4"/>
      <c r="AB144" s="4"/>
    </row>
    <row r="145" spans="1:28" x14ac:dyDescent="0.25">
      <c r="A145" s="4">
        <v>50</v>
      </c>
      <c r="B145" s="4">
        <v>0</v>
      </c>
      <c r="C145" s="4">
        <v>0</v>
      </c>
      <c r="D145" s="4">
        <v>1</v>
      </c>
      <c r="E145" s="4">
        <v>204</v>
      </c>
      <c r="F145" s="4">
        <f>ROUND(Source!R131,O145)</f>
        <v>599</v>
      </c>
      <c r="G145" s="4" t="s">
        <v>74</v>
      </c>
      <c r="H145" s="4" t="s">
        <v>75</v>
      </c>
      <c r="I145" s="4"/>
      <c r="J145" s="4"/>
      <c r="K145" s="4">
        <v>204</v>
      </c>
      <c r="L145" s="4">
        <v>13</v>
      </c>
      <c r="M145" s="4">
        <v>3</v>
      </c>
      <c r="N145" s="4" t="s">
        <v>3</v>
      </c>
      <c r="O145" s="4">
        <v>0</v>
      </c>
      <c r="P145" s="4"/>
      <c r="Q145" s="4"/>
      <c r="R145" s="4"/>
      <c r="S145" s="4"/>
      <c r="T145" s="4"/>
      <c r="U145" s="4"/>
      <c r="V145" s="4"/>
      <c r="W145" s="4">
        <v>599</v>
      </c>
      <c r="X145" s="4">
        <v>1</v>
      </c>
      <c r="Y145" s="4">
        <v>599</v>
      </c>
      <c r="Z145" s="4"/>
      <c r="AA145" s="4"/>
      <c r="AB145" s="4"/>
    </row>
    <row r="146" spans="1:28" x14ac:dyDescent="0.25">
      <c r="A146" s="4">
        <v>50</v>
      </c>
      <c r="B146" s="4">
        <v>0</v>
      </c>
      <c r="C146" s="4">
        <v>0</v>
      </c>
      <c r="D146" s="4">
        <v>1</v>
      </c>
      <c r="E146" s="4">
        <v>205</v>
      </c>
      <c r="F146" s="4">
        <f>ROUND(Source!S131,O146)</f>
        <v>39290</v>
      </c>
      <c r="G146" s="4" t="s">
        <v>76</v>
      </c>
      <c r="H146" s="4" t="s">
        <v>77</v>
      </c>
      <c r="I146" s="4"/>
      <c r="J146" s="4"/>
      <c r="K146" s="4">
        <v>205</v>
      </c>
      <c r="L146" s="4">
        <v>14</v>
      </c>
      <c r="M146" s="4">
        <v>3</v>
      </c>
      <c r="N146" s="4" t="s">
        <v>3</v>
      </c>
      <c r="O146" s="4">
        <v>0</v>
      </c>
      <c r="P146" s="4"/>
      <c r="Q146" s="4"/>
      <c r="R146" s="4"/>
      <c r="S146" s="4"/>
      <c r="T146" s="4"/>
      <c r="U146" s="4"/>
      <c r="V146" s="4"/>
      <c r="W146" s="4">
        <v>39290</v>
      </c>
      <c r="X146" s="4">
        <v>1</v>
      </c>
      <c r="Y146" s="4">
        <v>39290</v>
      </c>
      <c r="Z146" s="4"/>
      <c r="AA146" s="4"/>
      <c r="AB146" s="4"/>
    </row>
    <row r="147" spans="1:28" x14ac:dyDescent="0.25">
      <c r="A147" s="4">
        <v>50</v>
      </c>
      <c r="B147" s="4">
        <v>0</v>
      </c>
      <c r="C147" s="4">
        <v>0</v>
      </c>
      <c r="D147" s="4">
        <v>1</v>
      </c>
      <c r="E147" s="4">
        <v>232</v>
      </c>
      <c r="F147" s="4">
        <f>ROUND(Source!BC131,O147)</f>
        <v>0</v>
      </c>
      <c r="G147" s="4" t="s">
        <v>78</v>
      </c>
      <c r="H147" s="4" t="s">
        <v>79</v>
      </c>
      <c r="I147" s="4"/>
      <c r="J147" s="4"/>
      <c r="K147" s="4">
        <v>232</v>
      </c>
      <c r="L147" s="4">
        <v>15</v>
      </c>
      <c r="M147" s="4">
        <v>3</v>
      </c>
      <c r="N147" s="4" t="s">
        <v>3</v>
      </c>
      <c r="O147" s="4">
        <v>0</v>
      </c>
      <c r="P147" s="4"/>
      <c r="Q147" s="4"/>
      <c r="R147" s="4"/>
      <c r="S147" s="4"/>
      <c r="T147" s="4"/>
      <c r="U147" s="4"/>
      <c r="V147" s="4"/>
      <c r="W147" s="4">
        <v>0</v>
      </c>
      <c r="X147" s="4">
        <v>1</v>
      </c>
      <c r="Y147" s="4">
        <v>0</v>
      </c>
      <c r="Z147" s="4"/>
      <c r="AA147" s="4"/>
      <c r="AB147" s="4"/>
    </row>
    <row r="148" spans="1:28" x14ac:dyDescent="0.25">
      <c r="A148" s="4">
        <v>50</v>
      </c>
      <c r="B148" s="4">
        <v>0</v>
      </c>
      <c r="C148" s="4">
        <v>0</v>
      </c>
      <c r="D148" s="4">
        <v>1</v>
      </c>
      <c r="E148" s="4">
        <v>214</v>
      </c>
      <c r="F148" s="4">
        <f>ROUND(Source!AS131,O148)</f>
        <v>107325</v>
      </c>
      <c r="G148" s="4" t="s">
        <v>80</v>
      </c>
      <c r="H148" s="4" t="s">
        <v>81</v>
      </c>
      <c r="I148" s="4"/>
      <c r="J148" s="4"/>
      <c r="K148" s="4">
        <v>214</v>
      </c>
      <c r="L148" s="4">
        <v>16</v>
      </c>
      <c r="M148" s="4">
        <v>3</v>
      </c>
      <c r="N148" s="4" t="s">
        <v>3</v>
      </c>
      <c r="O148" s="4">
        <v>0</v>
      </c>
      <c r="P148" s="4"/>
      <c r="Q148" s="4"/>
      <c r="R148" s="4"/>
      <c r="S148" s="4"/>
      <c r="T148" s="4"/>
      <c r="U148" s="4"/>
      <c r="V148" s="4"/>
      <c r="W148" s="4">
        <v>107325</v>
      </c>
      <c r="X148" s="4">
        <v>1</v>
      </c>
      <c r="Y148" s="4">
        <v>107325</v>
      </c>
      <c r="Z148" s="4"/>
      <c r="AA148" s="4"/>
      <c r="AB148" s="4"/>
    </row>
    <row r="149" spans="1:28" x14ac:dyDescent="0.25">
      <c r="A149" s="4">
        <v>50</v>
      </c>
      <c r="B149" s="4">
        <v>0</v>
      </c>
      <c r="C149" s="4">
        <v>0</v>
      </c>
      <c r="D149" s="4">
        <v>1</v>
      </c>
      <c r="E149" s="4">
        <v>215</v>
      </c>
      <c r="F149" s="4">
        <f>ROUND(Source!AT131,O149)</f>
        <v>0</v>
      </c>
      <c r="G149" s="4" t="s">
        <v>82</v>
      </c>
      <c r="H149" s="4" t="s">
        <v>83</v>
      </c>
      <c r="I149" s="4"/>
      <c r="J149" s="4"/>
      <c r="K149" s="4">
        <v>215</v>
      </c>
      <c r="L149" s="4">
        <v>17</v>
      </c>
      <c r="M149" s="4">
        <v>3</v>
      </c>
      <c r="N149" s="4" t="s">
        <v>3</v>
      </c>
      <c r="O149" s="4">
        <v>0</v>
      </c>
      <c r="P149" s="4"/>
      <c r="Q149" s="4"/>
      <c r="R149" s="4"/>
      <c r="S149" s="4"/>
      <c r="T149" s="4"/>
      <c r="U149" s="4"/>
      <c r="V149" s="4"/>
      <c r="W149" s="4">
        <v>0</v>
      </c>
      <c r="X149" s="4">
        <v>1</v>
      </c>
      <c r="Y149" s="4">
        <v>0</v>
      </c>
      <c r="Z149" s="4"/>
      <c r="AA149" s="4"/>
      <c r="AB149" s="4"/>
    </row>
    <row r="150" spans="1:28" x14ac:dyDescent="0.25">
      <c r="A150" s="4">
        <v>50</v>
      </c>
      <c r="B150" s="4">
        <v>0</v>
      </c>
      <c r="C150" s="4">
        <v>0</v>
      </c>
      <c r="D150" s="4">
        <v>1</v>
      </c>
      <c r="E150" s="4">
        <v>217</v>
      </c>
      <c r="F150" s="4">
        <f>ROUND(Source!AU131,O150)</f>
        <v>0</v>
      </c>
      <c r="G150" s="4" t="s">
        <v>84</v>
      </c>
      <c r="H150" s="4" t="s">
        <v>85</v>
      </c>
      <c r="I150" s="4"/>
      <c r="J150" s="4"/>
      <c r="K150" s="4">
        <v>217</v>
      </c>
      <c r="L150" s="4">
        <v>18</v>
      </c>
      <c r="M150" s="4">
        <v>3</v>
      </c>
      <c r="N150" s="4" t="s">
        <v>3</v>
      </c>
      <c r="O150" s="4">
        <v>0</v>
      </c>
      <c r="P150" s="4"/>
      <c r="Q150" s="4"/>
      <c r="R150" s="4"/>
      <c r="S150" s="4"/>
      <c r="T150" s="4"/>
      <c r="U150" s="4"/>
      <c r="V150" s="4"/>
      <c r="W150" s="4">
        <v>0</v>
      </c>
      <c r="X150" s="4">
        <v>1</v>
      </c>
      <c r="Y150" s="4">
        <v>0</v>
      </c>
      <c r="Z150" s="4"/>
      <c r="AA150" s="4"/>
      <c r="AB150" s="4"/>
    </row>
    <row r="151" spans="1:28" x14ac:dyDescent="0.25">
      <c r="A151" s="4">
        <v>50</v>
      </c>
      <c r="B151" s="4">
        <v>0</v>
      </c>
      <c r="C151" s="4">
        <v>0</v>
      </c>
      <c r="D151" s="4">
        <v>1</v>
      </c>
      <c r="E151" s="4">
        <v>230</v>
      </c>
      <c r="F151" s="4">
        <f>ROUND(Source!BA131,O151)</f>
        <v>0</v>
      </c>
      <c r="G151" s="4" t="s">
        <v>86</v>
      </c>
      <c r="H151" s="4" t="s">
        <v>87</v>
      </c>
      <c r="I151" s="4"/>
      <c r="J151" s="4"/>
      <c r="K151" s="4">
        <v>230</v>
      </c>
      <c r="L151" s="4">
        <v>19</v>
      </c>
      <c r="M151" s="4">
        <v>3</v>
      </c>
      <c r="N151" s="4" t="s">
        <v>3</v>
      </c>
      <c r="O151" s="4">
        <v>0</v>
      </c>
      <c r="P151" s="4"/>
      <c r="Q151" s="4"/>
      <c r="R151" s="4"/>
      <c r="S151" s="4"/>
      <c r="T151" s="4"/>
      <c r="U151" s="4"/>
      <c r="V151" s="4"/>
      <c r="W151" s="4">
        <v>0</v>
      </c>
      <c r="X151" s="4">
        <v>1</v>
      </c>
      <c r="Y151" s="4">
        <v>0</v>
      </c>
      <c r="Z151" s="4"/>
      <c r="AA151" s="4"/>
      <c r="AB151" s="4"/>
    </row>
    <row r="152" spans="1:28" x14ac:dyDescent="0.25">
      <c r="A152" s="4">
        <v>50</v>
      </c>
      <c r="B152" s="4">
        <v>0</v>
      </c>
      <c r="C152" s="4">
        <v>0</v>
      </c>
      <c r="D152" s="4">
        <v>1</v>
      </c>
      <c r="E152" s="4">
        <v>206</v>
      </c>
      <c r="F152" s="4">
        <f>ROUND(Source!T131,O152)</f>
        <v>0</v>
      </c>
      <c r="G152" s="4" t="s">
        <v>88</v>
      </c>
      <c r="H152" s="4" t="s">
        <v>89</v>
      </c>
      <c r="I152" s="4"/>
      <c r="J152" s="4"/>
      <c r="K152" s="4">
        <v>206</v>
      </c>
      <c r="L152" s="4">
        <v>20</v>
      </c>
      <c r="M152" s="4">
        <v>3</v>
      </c>
      <c r="N152" s="4" t="s">
        <v>3</v>
      </c>
      <c r="O152" s="4">
        <v>0</v>
      </c>
      <c r="P152" s="4"/>
      <c r="Q152" s="4"/>
      <c r="R152" s="4"/>
      <c r="S152" s="4"/>
      <c r="T152" s="4"/>
      <c r="U152" s="4"/>
      <c r="V152" s="4"/>
      <c r="W152" s="4">
        <v>0</v>
      </c>
      <c r="X152" s="4">
        <v>1</v>
      </c>
      <c r="Y152" s="4">
        <v>0</v>
      </c>
      <c r="Z152" s="4"/>
      <c r="AA152" s="4"/>
      <c r="AB152" s="4"/>
    </row>
    <row r="153" spans="1:28" x14ac:dyDescent="0.25">
      <c r="A153" s="4">
        <v>50</v>
      </c>
      <c r="B153" s="4">
        <v>0</v>
      </c>
      <c r="C153" s="4">
        <v>0</v>
      </c>
      <c r="D153" s="4">
        <v>1</v>
      </c>
      <c r="E153" s="4">
        <v>207</v>
      </c>
      <c r="F153" s="4">
        <f>Source!U131</f>
        <v>137.215125</v>
      </c>
      <c r="G153" s="4" t="s">
        <v>90</v>
      </c>
      <c r="H153" s="4" t="s">
        <v>91</v>
      </c>
      <c r="I153" s="4"/>
      <c r="J153" s="4"/>
      <c r="K153" s="4">
        <v>207</v>
      </c>
      <c r="L153" s="4">
        <v>21</v>
      </c>
      <c r="M153" s="4">
        <v>3</v>
      </c>
      <c r="N153" s="4" t="s">
        <v>3</v>
      </c>
      <c r="O153" s="4">
        <v>-1</v>
      </c>
      <c r="P153" s="4"/>
      <c r="Q153" s="4"/>
      <c r="R153" s="4"/>
      <c r="S153" s="4"/>
      <c r="T153" s="4"/>
      <c r="U153" s="4"/>
      <c r="V153" s="4"/>
      <c r="W153" s="4">
        <v>137.21512499999997</v>
      </c>
      <c r="X153" s="4">
        <v>1</v>
      </c>
      <c r="Y153" s="4">
        <v>137.21512499999997</v>
      </c>
      <c r="Z153" s="4"/>
      <c r="AA153" s="4"/>
      <c r="AB153" s="4"/>
    </row>
    <row r="154" spans="1:28" x14ac:dyDescent="0.25">
      <c r="A154" s="4">
        <v>50</v>
      </c>
      <c r="B154" s="4">
        <v>0</v>
      </c>
      <c r="C154" s="4">
        <v>0</v>
      </c>
      <c r="D154" s="4">
        <v>1</v>
      </c>
      <c r="E154" s="4">
        <v>208</v>
      </c>
      <c r="F154" s="4">
        <f>Source!V131</f>
        <v>1.6691250000000002</v>
      </c>
      <c r="G154" s="4" t="s">
        <v>92</v>
      </c>
      <c r="H154" s="4" t="s">
        <v>93</v>
      </c>
      <c r="I154" s="4"/>
      <c r="J154" s="4"/>
      <c r="K154" s="4">
        <v>208</v>
      </c>
      <c r="L154" s="4">
        <v>22</v>
      </c>
      <c r="M154" s="4">
        <v>3</v>
      </c>
      <c r="N154" s="4" t="s">
        <v>3</v>
      </c>
      <c r="O154" s="4">
        <v>-1</v>
      </c>
      <c r="P154" s="4"/>
      <c r="Q154" s="4"/>
      <c r="R154" s="4"/>
      <c r="S154" s="4"/>
      <c r="T154" s="4"/>
      <c r="U154" s="4"/>
      <c r="V154" s="4"/>
      <c r="W154" s="4">
        <v>1.6691250000000002</v>
      </c>
      <c r="X154" s="4">
        <v>1</v>
      </c>
      <c r="Y154" s="4">
        <v>1.6691250000000002</v>
      </c>
      <c r="Z154" s="4"/>
      <c r="AA154" s="4"/>
      <c r="AB154" s="4"/>
    </row>
    <row r="155" spans="1:28" x14ac:dyDescent="0.25">
      <c r="A155" s="4">
        <v>50</v>
      </c>
      <c r="B155" s="4">
        <v>0</v>
      </c>
      <c r="C155" s="4">
        <v>0</v>
      </c>
      <c r="D155" s="4">
        <v>1</v>
      </c>
      <c r="E155" s="4">
        <v>209</v>
      </c>
      <c r="F155" s="4">
        <f>ROUND(Source!W131,O155)</f>
        <v>0</v>
      </c>
      <c r="G155" s="4" t="s">
        <v>94</v>
      </c>
      <c r="H155" s="4" t="s">
        <v>95</v>
      </c>
      <c r="I155" s="4"/>
      <c r="J155" s="4"/>
      <c r="K155" s="4">
        <v>209</v>
      </c>
      <c r="L155" s="4">
        <v>23</v>
      </c>
      <c r="M155" s="4">
        <v>3</v>
      </c>
      <c r="N155" s="4" t="s">
        <v>3</v>
      </c>
      <c r="O155" s="4">
        <v>0</v>
      </c>
      <c r="P155" s="4"/>
      <c r="Q155" s="4"/>
      <c r="R155" s="4"/>
      <c r="S155" s="4"/>
      <c r="T155" s="4"/>
      <c r="U155" s="4"/>
      <c r="V155" s="4"/>
      <c r="W155" s="4">
        <v>0</v>
      </c>
      <c r="X155" s="4">
        <v>1</v>
      </c>
      <c r="Y155" s="4">
        <v>0</v>
      </c>
      <c r="Z155" s="4"/>
      <c r="AA155" s="4"/>
      <c r="AB155" s="4"/>
    </row>
    <row r="156" spans="1:28" x14ac:dyDescent="0.25">
      <c r="A156" s="4">
        <v>50</v>
      </c>
      <c r="B156" s="4">
        <v>0</v>
      </c>
      <c r="C156" s="4">
        <v>0</v>
      </c>
      <c r="D156" s="4">
        <v>1</v>
      </c>
      <c r="E156" s="4">
        <v>233</v>
      </c>
      <c r="F156" s="4">
        <f>ROUND(Source!BD131,O156)</f>
        <v>0</v>
      </c>
      <c r="G156" s="4" t="s">
        <v>96</v>
      </c>
      <c r="H156" s="4" t="s">
        <v>97</v>
      </c>
      <c r="I156" s="4"/>
      <c r="J156" s="4"/>
      <c r="K156" s="4">
        <v>233</v>
      </c>
      <c r="L156" s="4">
        <v>24</v>
      </c>
      <c r="M156" s="4">
        <v>3</v>
      </c>
      <c r="N156" s="4" t="s">
        <v>3</v>
      </c>
      <c r="O156" s="4">
        <v>0</v>
      </c>
      <c r="P156" s="4"/>
      <c r="Q156" s="4"/>
      <c r="R156" s="4"/>
      <c r="S156" s="4"/>
      <c r="T156" s="4"/>
      <c r="U156" s="4"/>
      <c r="V156" s="4"/>
      <c r="W156" s="4">
        <v>0</v>
      </c>
      <c r="X156" s="4">
        <v>1</v>
      </c>
      <c r="Y156" s="4">
        <v>0</v>
      </c>
      <c r="Z156" s="4"/>
      <c r="AA156" s="4"/>
      <c r="AB156" s="4"/>
    </row>
    <row r="157" spans="1:28" x14ac:dyDescent="0.25">
      <c r="A157" s="4">
        <v>50</v>
      </c>
      <c r="B157" s="4">
        <v>0</v>
      </c>
      <c r="C157" s="4">
        <v>0</v>
      </c>
      <c r="D157" s="4">
        <v>1</v>
      </c>
      <c r="E157" s="4">
        <v>210</v>
      </c>
      <c r="F157" s="4">
        <f>ROUND(Source!X131,O157)</f>
        <v>43476</v>
      </c>
      <c r="G157" s="4" t="s">
        <v>98</v>
      </c>
      <c r="H157" s="4" t="s">
        <v>99</v>
      </c>
      <c r="I157" s="4"/>
      <c r="J157" s="4"/>
      <c r="K157" s="4">
        <v>210</v>
      </c>
      <c r="L157" s="4">
        <v>25</v>
      </c>
      <c r="M157" s="4">
        <v>3</v>
      </c>
      <c r="N157" s="4" t="s">
        <v>3</v>
      </c>
      <c r="O157" s="4">
        <v>0</v>
      </c>
      <c r="P157" s="4"/>
      <c r="Q157" s="4"/>
      <c r="R157" s="4"/>
      <c r="S157" s="4"/>
      <c r="T157" s="4"/>
      <c r="U157" s="4"/>
      <c r="V157" s="4"/>
      <c r="W157" s="4">
        <v>43476</v>
      </c>
      <c r="X157" s="4">
        <v>1</v>
      </c>
      <c r="Y157" s="4">
        <v>43476</v>
      </c>
      <c r="Z157" s="4"/>
      <c r="AA157" s="4"/>
      <c r="AB157" s="4"/>
    </row>
    <row r="158" spans="1:28" x14ac:dyDescent="0.25">
      <c r="A158" s="4">
        <v>50</v>
      </c>
      <c r="B158" s="4">
        <v>0</v>
      </c>
      <c r="C158" s="4">
        <v>0</v>
      </c>
      <c r="D158" s="4">
        <v>1</v>
      </c>
      <c r="E158" s="4">
        <v>211</v>
      </c>
      <c r="F158" s="4">
        <f>ROUND(Source!Y131,O158)</f>
        <v>23709</v>
      </c>
      <c r="G158" s="4" t="s">
        <v>100</v>
      </c>
      <c r="H158" s="4" t="s">
        <v>101</v>
      </c>
      <c r="I158" s="4"/>
      <c r="J158" s="4"/>
      <c r="K158" s="4">
        <v>211</v>
      </c>
      <c r="L158" s="4">
        <v>26</v>
      </c>
      <c r="M158" s="4">
        <v>3</v>
      </c>
      <c r="N158" s="4" t="s">
        <v>3</v>
      </c>
      <c r="O158" s="4">
        <v>0</v>
      </c>
      <c r="P158" s="4"/>
      <c r="Q158" s="4"/>
      <c r="R158" s="4"/>
      <c r="S158" s="4"/>
      <c r="T158" s="4"/>
      <c r="U158" s="4"/>
      <c r="V158" s="4"/>
      <c r="W158" s="4">
        <v>23709</v>
      </c>
      <c r="X158" s="4">
        <v>1</v>
      </c>
      <c r="Y158" s="4">
        <v>23709</v>
      </c>
      <c r="Z158" s="4"/>
      <c r="AA158" s="4"/>
      <c r="AB158" s="4"/>
    </row>
    <row r="159" spans="1:28" x14ac:dyDescent="0.25">
      <c r="A159" s="4">
        <v>50</v>
      </c>
      <c r="B159" s="4">
        <v>0</v>
      </c>
      <c r="C159" s="4">
        <v>0</v>
      </c>
      <c r="D159" s="4">
        <v>1</v>
      </c>
      <c r="E159" s="4">
        <v>224</v>
      </c>
      <c r="F159" s="4">
        <f>ROUND(Source!AR131,O159)</f>
        <v>107325</v>
      </c>
      <c r="G159" s="4" t="s">
        <v>102</v>
      </c>
      <c r="H159" s="4" t="s">
        <v>103</v>
      </c>
      <c r="I159" s="4"/>
      <c r="J159" s="4"/>
      <c r="K159" s="4">
        <v>224</v>
      </c>
      <c r="L159" s="4">
        <v>27</v>
      </c>
      <c r="M159" s="4">
        <v>3</v>
      </c>
      <c r="N159" s="4" t="s">
        <v>3</v>
      </c>
      <c r="O159" s="4">
        <v>0</v>
      </c>
      <c r="P159" s="4"/>
      <c r="Q159" s="4"/>
      <c r="R159" s="4"/>
      <c r="S159" s="4"/>
      <c r="T159" s="4"/>
      <c r="U159" s="4"/>
      <c r="V159" s="4"/>
      <c r="W159" s="4">
        <v>107325</v>
      </c>
      <c r="X159" s="4">
        <v>1</v>
      </c>
      <c r="Y159" s="4">
        <v>107325</v>
      </c>
      <c r="Z159" s="4"/>
      <c r="AA159" s="4"/>
      <c r="AB159" s="4"/>
    </row>
    <row r="162" spans="1:16" x14ac:dyDescent="0.25">
      <c r="A162">
        <v>70</v>
      </c>
      <c r="B162">
        <v>1</v>
      </c>
      <c r="D162">
        <v>1</v>
      </c>
      <c r="E162" t="s">
        <v>107</v>
      </c>
      <c r="F162" t="s">
        <v>108</v>
      </c>
      <c r="G162">
        <v>1</v>
      </c>
      <c r="H162">
        <v>0</v>
      </c>
      <c r="I162" t="s">
        <v>3</v>
      </c>
      <c r="J162">
        <v>1</v>
      </c>
      <c r="K162">
        <v>0</v>
      </c>
      <c r="L162" t="s">
        <v>3</v>
      </c>
      <c r="M162" t="s">
        <v>3</v>
      </c>
      <c r="N162">
        <v>0</v>
      </c>
      <c r="P162" t="s">
        <v>109</v>
      </c>
    </row>
    <row r="163" spans="1:16" x14ac:dyDescent="0.25">
      <c r="A163">
        <v>70</v>
      </c>
      <c r="B163">
        <v>1</v>
      </c>
      <c r="D163">
        <v>2</v>
      </c>
      <c r="E163" t="s">
        <v>110</v>
      </c>
      <c r="F163" t="s">
        <v>111</v>
      </c>
      <c r="G163">
        <v>0</v>
      </c>
      <c r="H163">
        <v>0</v>
      </c>
      <c r="I163" t="s">
        <v>3</v>
      </c>
      <c r="J163">
        <v>1</v>
      </c>
      <c r="K163">
        <v>0</v>
      </c>
      <c r="L163" t="s">
        <v>3</v>
      </c>
      <c r="M163" t="s">
        <v>3</v>
      </c>
      <c r="N163">
        <v>0</v>
      </c>
      <c r="P163" t="s">
        <v>112</v>
      </c>
    </row>
    <row r="164" spans="1:16" x14ac:dyDescent="0.25">
      <c r="A164">
        <v>70</v>
      </c>
      <c r="B164">
        <v>1</v>
      </c>
      <c r="D164">
        <v>3</v>
      </c>
      <c r="E164" t="s">
        <v>113</v>
      </c>
      <c r="F164" t="s">
        <v>114</v>
      </c>
      <c r="G164">
        <v>0</v>
      </c>
      <c r="H164">
        <v>0</v>
      </c>
      <c r="I164" t="s">
        <v>3</v>
      </c>
      <c r="J164">
        <v>1</v>
      </c>
      <c r="K164">
        <v>0</v>
      </c>
      <c r="L164" t="s">
        <v>3</v>
      </c>
      <c r="M164" t="s">
        <v>3</v>
      </c>
      <c r="N164">
        <v>0</v>
      </c>
      <c r="P164" t="s">
        <v>115</v>
      </c>
    </row>
    <row r="165" spans="1:16" x14ac:dyDescent="0.25">
      <c r="A165">
        <v>70</v>
      </c>
      <c r="B165">
        <v>1</v>
      </c>
      <c r="D165">
        <v>4</v>
      </c>
      <c r="E165" t="s">
        <v>116</v>
      </c>
      <c r="F165" t="s">
        <v>117</v>
      </c>
      <c r="G165">
        <v>1</v>
      </c>
      <c r="H165">
        <v>0</v>
      </c>
      <c r="I165" t="s">
        <v>3</v>
      </c>
      <c r="J165">
        <v>2</v>
      </c>
      <c r="K165">
        <v>0</v>
      </c>
      <c r="L165" t="s">
        <v>3</v>
      </c>
      <c r="M165" t="s">
        <v>3</v>
      </c>
      <c r="N165">
        <v>0</v>
      </c>
      <c r="P165" t="s">
        <v>3</v>
      </c>
    </row>
    <row r="166" spans="1:16" x14ac:dyDescent="0.25">
      <c r="A166">
        <v>70</v>
      </c>
      <c r="B166">
        <v>1</v>
      </c>
      <c r="D166">
        <v>5</v>
      </c>
      <c r="E166" t="s">
        <v>118</v>
      </c>
      <c r="F166" t="s">
        <v>119</v>
      </c>
      <c r="G166">
        <v>0</v>
      </c>
      <c r="H166">
        <v>0</v>
      </c>
      <c r="I166" t="s">
        <v>3</v>
      </c>
      <c r="J166">
        <v>2</v>
      </c>
      <c r="K166">
        <v>0</v>
      </c>
      <c r="L166" t="s">
        <v>3</v>
      </c>
      <c r="M166" t="s">
        <v>3</v>
      </c>
      <c r="N166">
        <v>0</v>
      </c>
      <c r="P166" t="s">
        <v>3</v>
      </c>
    </row>
    <row r="167" spans="1:16" x14ac:dyDescent="0.25">
      <c r="A167">
        <v>70</v>
      </c>
      <c r="B167">
        <v>1</v>
      </c>
      <c r="D167">
        <v>6</v>
      </c>
      <c r="E167" t="s">
        <v>120</v>
      </c>
      <c r="F167" t="s">
        <v>121</v>
      </c>
      <c r="G167">
        <v>0</v>
      </c>
      <c r="H167">
        <v>0</v>
      </c>
      <c r="I167" t="s">
        <v>3</v>
      </c>
      <c r="J167">
        <v>2</v>
      </c>
      <c r="K167">
        <v>0</v>
      </c>
      <c r="L167" t="s">
        <v>3</v>
      </c>
      <c r="M167" t="s">
        <v>3</v>
      </c>
      <c r="N167">
        <v>0</v>
      </c>
      <c r="P167" t="s">
        <v>3</v>
      </c>
    </row>
    <row r="168" spans="1:16" x14ac:dyDescent="0.25">
      <c r="A168">
        <v>70</v>
      </c>
      <c r="B168">
        <v>1</v>
      </c>
      <c r="D168">
        <v>7</v>
      </c>
      <c r="E168" t="s">
        <v>122</v>
      </c>
      <c r="F168" t="s">
        <v>123</v>
      </c>
      <c r="G168">
        <v>0</v>
      </c>
      <c r="H168">
        <v>0</v>
      </c>
      <c r="I168" t="s">
        <v>124</v>
      </c>
      <c r="J168">
        <v>0</v>
      </c>
      <c r="K168">
        <v>0</v>
      </c>
      <c r="L168" t="s">
        <v>3</v>
      </c>
      <c r="M168" t="s">
        <v>3</v>
      </c>
      <c r="N168">
        <v>0</v>
      </c>
      <c r="P168" t="s">
        <v>125</v>
      </c>
    </row>
    <row r="169" spans="1:16" x14ac:dyDescent="0.25">
      <c r="A169">
        <v>70</v>
      </c>
      <c r="B169">
        <v>1</v>
      </c>
      <c r="D169">
        <v>8</v>
      </c>
      <c r="E169" t="s">
        <v>126</v>
      </c>
      <c r="F169" t="s">
        <v>127</v>
      </c>
      <c r="G169">
        <v>0</v>
      </c>
      <c r="H169">
        <v>0</v>
      </c>
      <c r="I169" t="s">
        <v>128</v>
      </c>
      <c r="J169">
        <v>0</v>
      </c>
      <c r="K169">
        <v>0</v>
      </c>
      <c r="L169" t="s">
        <v>3</v>
      </c>
      <c r="M169" t="s">
        <v>3</v>
      </c>
      <c r="N169">
        <v>0</v>
      </c>
      <c r="P169" t="s">
        <v>129</v>
      </c>
    </row>
    <row r="170" spans="1:16" x14ac:dyDescent="0.25">
      <c r="A170">
        <v>70</v>
      </c>
      <c r="B170">
        <v>1</v>
      </c>
      <c r="D170">
        <v>9</v>
      </c>
      <c r="E170" t="s">
        <v>130</v>
      </c>
      <c r="F170" t="s">
        <v>131</v>
      </c>
      <c r="G170">
        <v>0</v>
      </c>
      <c r="H170">
        <v>0</v>
      </c>
      <c r="I170" t="s">
        <v>132</v>
      </c>
      <c r="J170">
        <v>0</v>
      </c>
      <c r="K170">
        <v>0</v>
      </c>
      <c r="L170" t="s">
        <v>3</v>
      </c>
      <c r="M170" t="s">
        <v>3</v>
      </c>
      <c r="N170">
        <v>0</v>
      </c>
      <c r="P170" t="s">
        <v>133</v>
      </c>
    </row>
    <row r="171" spans="1:16" x14ac:dyDescent="0.25">
      <c r="A171">
        <v>70</v>
      </c>
      <c r="B171">
        <v>1</v>
      </c>
      <c r="D171">
        <v>10</v>
      </c>
      <c r="E171" t="s">
        <v>134</v>
      </c>
      <c r="F171" t="s">
        <v>135</v>
      </c>
      <c r="G171">
        <v>1</v>
      </c>
      <c r="H171">
        <v>0</v>
      </c>
      <c r="I171" t="s">
        <v>3</v>
      </c>
      <c r="J171">
        <v>0</v>
      </c>
      <c r="K171">
        <v>0</v>
      </c>
      <c r="L171" t="s">
        <v>3</v>
      </c>
      <c r="M171" t="s">
        <v>3</v>
      </c>
      <c r="N171">
        <v>0</v>
      </c>
      <c r="P171" t="s">
        <v>136</v>
      </c>
    </row>
    <row r="172" spans="1:16" x14ac:dyDescent="0.25">
      <c r="A172">
        <v>70</v>
      </c>
      <c r="B172">
        <v>1</v>
      </c>
      <c r="D172">
        <v>11</v>
      </c>
      <c r="E172" t="s">
        <v>137</v>
      </c>
      <c r="F172" t="s">
        <v>138</v>
      </c>
      <c r="G172">
        <v>0</v>
      </c>
      <c r="H172">
        <v>0</v>
      </c>
      <c r="I172" t="s">
        <v>139</v>
      </c>
      <c r="J172">
        <v>0</v>
      </c>
      <c r="K172">
        <v>0</v>
      </c>
      <c r="L172" t="s">
        <v>3</v>
      </c>
      <c r="M172" t="s">
        <v>3</v>
      </c>
      <c r="N172">
        <v>0</v>
      </c>
      <c r="P172" t="s">
        <v>140</v>
      </c>
    </row>
    <row r="173" spans="1:16" x14ac:dyDescent="0.25">
      <c r="A173">
        <v>70</v>
      </c>
      <c r="B173">
        <v>1</v>
      </c>
      <c r="D173">
        <v>12</v>
      </c>
      <c r="E173" t="s">
        <v>141</v>
      </c>
      <c r="F173" t="s">
        <v>142</v>
      </c>
      <c r="G173">
        <v>0</v>
      </c>
      <c r="H173">
        <v>0</v>
      </c>
      <c r="I173" t="s">
        <v>143</v>
      </c>
      <c r="J173">
        <v>0</v>
      </c>
      <c r="K173">
        <v>0</v>
      </c>
      <c r="L173" t="s">
        <v>3</v>
      </c>
      <c r="M173" t="s">
        <v>3</v>
      </c>
      <c r="N173">
        <v>0</v>
      </c>
      <c r="P173" t="s">
        <v>144</v>
      </c>
    </row>
    <row r="174" spans="1:16" x14ac:dyDescent="0.25">
      <c r="A174">
        <v>70</v>
      </c>
      <c r="B174">
        <v>1</v>
      </c>
      <c r="D174">
        <v>13</v>
      </c>
      <c r="E174" t="s">
        <v>145</v>
      </c>
      <c r="F174" t="s">
        <v>146</v>
      </c>
      <c r="G174">
        <v>0</v>
      </c>
      <c r="H174">
        <v>0</v>
      </c>
      <c r="I174" t="s">
        <v>147</v>
      </c>
      <c r="J174">
        <v>0</v>
      </c>
      <c r="K174">
        <v>0</v>
      </c>
      <c r="L174" t="s">
        <v>3</v>
      </c>
      <c r="M174" t="s">
        <v>3</v>
      </c>
      <c r="N174">
        <v>0</v>
      </c>
      <c r="P174" t="s">
        <v>148</v>
      </c>
    </row>
    <row r="175" spans="1:16" x14ac:dyDescent="0.25">
      <c r="A175">
        <v>70</v>
      </c>
      <c r="B175">
        <v>1</v>
      </c>
      <c r="D175">
        <v>14</v>
      </c>
      <c r="E175" t="s">
        <v>149</v>
      </c>
      <c r="F175" t="s">
        <v>150</v>
      </c>
      <c r="G175">
        <v>0</v>
      </c>
      <c r="H175">
        <v>0</v>
      </c>
      <c r="I175" t="s">
        <v>151</v>
      </c>
      <c r="J175">
        <v>0</v>
      </c>
      <c r="K175">
        <v>0</v>
      </c>
      <c r="L175" t="s">
        <v>3</v>
      </c>
      <c r="M175" t="s">
        <v>3</v>
      </c>
      <c r="N175">
        <v>0</v>
      </c>
      <c r="P175" t="s">
        <v>152</v>
      </c>
    </row>
    <row r="176" spans="1:16" x14ac:dyDescent="0.25">
      <c r="A176">
        <v>70</v>
      </c>
      <c r="B176">
        <v>1</v>
      </c>
      <c r="D176">
        <v>15</v>
      </c>
      <c r="E176" t="s">
        <v>153</v>
      </c>
      <c r="F176" t="s">
        <v>154</v>
      </c>
      <c r="G176">
        <v>0</v>
      </c>
      <c r="H176">
        <v>0</v>
      </c>
      <c r="I176" t="s">
        <v>3</v>
      </c>
      <c r="J176">
        <v>0</v>
      </c>
      <c r="K176">
        <v>0</v>
      </c>
      <c r="L176" t="s">
        <v>3</v>
      </c>
      <c r="M176" t="s">
        <v>3</v>
      </c>
      <c r="N176">
        <v>0</v>
      </c>
      <c r="P176" t="s">
        <v>3</v>
      </c>
    </row>
    <row r="177" spans="1:16" x14ac:dyDescent="0.25">
      <c r="A177">
        <v>70</v>
      </c>
      <c r="B177">
        <v>1</v>
      </c>
      <c r="D177">
        <v>1</v>
      </c>
      <c r="E177" t="s">
        <v>155</v>
      </c>
      <c r="F177" t="s">
        <v>156</v>
      </c>
      <c r="G177">
        <v>0.9</v>
      </c>
      <c r="H177">
        <v>1</v>
      </c>
      <c r="I177" t="s">
        <v>157</v>
      </c>
      <c r="J177">
        <v>0</v>
      </c>
      <c r="K177">
        <v>0</v>
      </c>
      <c r="L177" t="s">
        <v>3</v>
      </c>
      <c r="M177" t="s">
        <v>3</v>
      </c>
      <c r="N177">
        <v>0</v>
      </c>
      <c r="P177" t="s">
        <v>3</v>
      </c>
    </row>
    <row r="178" spans="1:16" x14ac:dyDescent="0.25">
      <c r="A178">
        <v>70</v>
      </c>
      <c r="B178">
        <v>1</v>
      </c>
      <c r="D178">
        <v>2</v>
      </c>
      <c r="E178" t="s">
        <v>158</v>
      </c>
      <c r="F178" t="s">
        <v>159</v>
      </c>
      <c r="G178">
        <v>0.85</v>
      </c>
      <c r="H178">
        <v>1</v>
      </c>
      <c r="I178" t="s">
        <v>160</v>
      </c>
      <c r="J178">
        <v>0</v>
      </c>
      <c r="K178">
        <v>0</v>
      </c>
      <c r="L178" t="s">
        <v>3</v>
      </c>
      <c r="M178" t="s">
        <v>3</v>
      </c>
      <c r="N178">
        <v>0</v>
      </c>
      <c r="P178" t="s">
        <v>3</v>
      </c>
    </row>
    <row r="179" spans="1:16" x14ac:dyDescent="0.25">
      <c r="A179">
        <v>70</v>
      </c>
      <c r="B179">
        <v>1</v>
      </c>
      <c r="D179">
        <v>3</v>
      </c>
      <c r="E179" t="s">
        <v>161</v>
      </c>
      <c r="F179" t="s">
        <v>162</v>
      </c>
      <c r="G179">
        <v>1</v>
      </c>
      <c r="H179">
        <v>0.85</v>
      </c>
      <c r="I179" t="s">
        <v>163</v>
      </c>
      <c r="J179">
        <v>0</v>
      </c>
      <c r="K179">
        <v>0</v>
      </c>
      <c r="L179" t="s">
        <v>3</v>
      </c>
      <c r="M179" t="s">
        <v>3</v>
      </c>
      <c r="N179">
        <v>0</v>
      </c>
      <c r="P179" t="s">
        <v>3</v>
      </c>
    </row>
    <row r="180" spans="1:16" x14ac:dyDescent="0.25">
      <c r="A180">
        <v>70</v>
      </c>
      <c r="B180">
        <v>1</v>
      </c>
      <c r="D180">
        <v>4</v>
      </c>
      <c r="E180" t="s">
        <v>164</v>
      </c>
      <c r="F180" t="s">
        <v>165</v>
      </c>
      <c r="G180">
        <v>1</v>
      </c>
      <c r="H180">
        <v>0</v>
      </c>
      <c r="I180" t="s">
        <v>3</v>
      </c>
      <c r="J180">
        <v>0</v>
      </c>
      <c r="K180">
        <v>0</v>
      </c>
      <c r="L180" t="s">
        <v>3</v>
      </c>
      <c r="M180" t="s">
        <v>3</v>
      </c>
      <c r="N180">
        <v>0</v>
      </c>
      <c r="P180" t="s">
        <v>3</v>
      </c>
    </row>
    <row r="181" spans="1:16" x14ac:dyDescent="0.25">
      <c r="A181">
        <v>70</v>
      </c>
      <c r="B181">
        <v>1</v>
      </c>
      <c r="D181">
        <v>5</v>
      </c>
      <c r="E181" t="s">
        <v>166</v>
      </c>
      <c r="F181" t="s">
        <v>167</v>
      </c>
      <c r="G181">
        <v>1</v>
      </c>
      <c r="H181">
        <v>0.8</v>
      </c>
      <c r="I181" t="s">
        <v>168</v>
      </c>
      <c r="J181">
        <v>0</v>
      </c>
      <c r="K181">
        <v>0</v>
      </c>
      <c r="L181" t="s">
        <v>3</v>
      </c>
      <c r="M181" t="s">
        <v>3</v>
      </c>
      <c r="N181">
        <v>0</v>
      </c>
      <c r="P181" t="s">
        <v>3</v>
      </c>
    </row>
    <row r="182" spans="1:16" x14ac:dyDescent="0.25">
      <c r="A182">
        <v>70</v>
      </c>
      <c r="B182">
        <v>1</v>
      </c>
      <c r="D182">
        <v>6</v>
      </c>
      <c r="E182" t="s">
        <v>169</v>
      </c>
      <c r="F182" t="s">
        <v>170</v>
      </c>
      <c r="G182">
        <v>1</v>
      </c>
      <c r="H182">
        <v>0</v>
      </c>
      <c r="I182" t="s">
        <v>3</v>
      </c>
      <c r="J182">
        <v>0</v>
      </c>
      <c r="K182">
        <v>0</v>
      </c>
      <c r="L182" t="s">
        <v>3</v>
      </c>
      <c r="M182" t="s">
        <v>3</v>
      </c>
      <c r="N182">
        <v>0</v>
      </c>
      <c r="P182" t="s">
        <v>3</v>
      </c>
    </row>
    <row r="183" spans="1:16" x14ac:dyDescent="0.25">
      <c r="A183">
        <v>70</v>
      </c>
      <c r="B183">
        <v>1</v>
      </c>
      <c r="D183">
        <v>7</v>
      </c>
      <c r="E183" t="s">
        <v>171</v>
      </c>
      <c r="F183" t="s">
        <v>172</v>
      </c>
      <c r="G183">
        <v>1</v>
      </c>
      <c r="H183">
        <v>0</v>
      </c>
      <c r="I183" t="s">
        <v>3</v>
      </c>
      <c r="J183">
        <v>0</v>
      </c>
      <c r="K183">
        <v>0</v>
      </c>
      <c r="L183" t="s">
        <v>3</v>
      </c>
      <c r="M183" t="s">
        <v>3</v>
      </c>
      <c r="N183">
        <v>0</v>
      </c>
      <c r="P183" t="s">
        <v>3</v>
      </c>
    </row>
    <row r="184" spans="1:16" x14ac:dyDescent="0.25">
      <c r="A184">
        <v>70</v>
      </c>
      <c r="B184">
        <v>1</v>
      </c>
      <c r="D184">
        <v>8</v>
      </c>
      <c r="E184" t="s">
        <v>173</v>
      </c>
      <c r="F184" t="s">
        <v>174</v>
      </c>
      <c r="G184">
        <v>0.7</v>
      </c>
      <c r="H184">
        <v>0</v>
      </c>
      <c r="I184" t="s">
        <v>3</v>
      </c>
      <c r="J184">
        <v>0</v>
      </c>
      <c r="K184">
        <v>0</v>
      </c>
      <c r="L184" t="s">
        <v>3</v>
      </c>
      <c r="M184" t="s">
        <v>3</v>
      </c>
      <c r="N184">
        <v>0</v>
      </c>
      <c r="P184" t="s">
        <v>3</v>
      </c>
    </row>
    <row r="185" spans="1:16" x14ac:dyDescent="0.25">
      <c r="A185">
        <v>70</v>
      </c>
      <c r="B185">
        <v>1</v>
      </c>
      <c r="D185">
        <v>9</v>
      </c>
      <c r="E185" t="s">
        <v>175</v>
      </c>
      <c r="F185" t="s">
        <v>176</v>
      </c>
      <c r="G185">
        <v>0.9</v>
      </c>
      <c r="H185">
        <v>0</v>
      </c>
      <c r="I185" t="s">
        <v>3</v>
      </c>
      <c r="J185">
        <v>0</v>
      </c>
      <c r="K185">
        <v>0</v>
      </c>
      <c r="L185" t="s">
        <v>3</v>
      </c>
      <c r="M185" t="s">
        <v>3</v>
      </c>
      <c r="N185">
        <v>0</v>
      </c>
      <c r="P185" t="s">
        <v>3</v>
      </c>
    </row>
    <row r="186" spans="1:16" x14ac:dyDescent="0.25">
      <c r="A186">
        <v>70</v>
      </c>
      <c r="B186">
        <v>1</v>
      </c>
      <c r="D186">
        <v>10</v>
      </c>
      <c r="E186" t="s">
        <v>177</v>
      </c>
      <c r="F186" t="s">
        <v>178</v>
      </c>
      <c r="G186">
        <v>0.6</v>
      </c>
      <c r="H186">
        <v>0</v>
      </c>
      <c r="I186" t="s">
        <v>3</v>
      </c>
      <c r="J186">
        <v>0</v>
      </c>
      <c r="K186">
        <v>0</v>
      </c>
      <c r="L186" t="s">
        <v>3</v>
      </c>
      <c r="M186" t="s">
        <v>3</v>
      </c>
      <c r="N186">
        <v>0</v>
      </c>
      <c r="P186" t="s">
        <v>3</v>
      </c>
    </row>
    <row r="187" spans="1:16" x14ac:dyDescent="0.25">
      <c r="A187">
        <v>70</v>
      </c>
      <c r="B187">
        <v>1</v>
      </c>
      <c r="D187">
        <v>11</v>
      </c>
      <c r="E187" t="s">
        <v>179</v>
      </c>
      <c r="F187" t="s">
        <v>180</v>
      </c>
      <c r="G187">
        <v>1.2</v>
      </c>
      <c r="H187">
        <v>0</v>
      </c>
      <c r="I187" t="s">
        <v>3</v>
      </c>
      <c r="J187">
        <v>0</v>
      </c>
      <c r="K187">
        <v>0</v>
      </c>
      <c r="L187" t="s">
        <v>3</v>
      </c>
      <c r="M187" t="s">
        <v>3</v>
      </c>
      <c r="N187">
        <v>0</v>
      </c>
      <c r="P187" t="s">
        <v>3</v>
      </c>
    </row>
    <row r="188" spans="1:16" x14ac:dyDescent="0.25">
      <c r="A188">
        <v>70</v>
      </c>
      <c r="B188">
        <v>1</v>
      </c>
      <c r="D188">
        <v>12</v>
      </c>
      <c r="E188" t="s">
        <v>181</v>
      </c>
      <c r="F188" t="s">
        <v>182</v>
      </c>
      <c r="G188">
        <v>2</v>
      </c>
      <c r="H188">
        <v>0</v>
      </c>
      <c r="I188" t="s">
        <v>3</v>
      </c>
      <c r="J188">
        <v>0</v>
      </c>
      <c r="K188">
        <v>0</v>
      </c>
      <c r="L188" t="s">
        <v>3</v>
      </c>
      <c r="M188" t="s">
        <v>3</v>
      </c>
      <c r="N188">
        <v>0</v>
      </c>
      <c r="P188" t="s">
        <v>3</v>
      </c>
    </row>
    <row r="189" spans="1:16" x14ac:dyDescent="0.25">
      <c r="A189">
        <v>70</v>
      </c>
      <c r="B189">
        <v>1</v>
      </c>
      <c r="D189">
        <v>13</v>
      </c>
      <c r="E189" t="s">
        <v>183</v>
      </c>
      <c r="F189" t="s">
        <v>184</v>
      </c>
      <c r="G189">
        <v>1</v>
      </c>
      <c r="H189">
        <v>0</v>
      </c>
      <c r="I189" t="s">
        <v>3</v>
      </c>
      <c r="J189">
        <v>0</v>
      </c>
      <c r="K189">
        <v>0</v>
      </c>
      <c r="L189" t="s">
        <v>3</v>
      </c>
      <c r="M189" t="s">
        <v>3</v>
      </c>
      <c r="N189">
        <v>0</v>
      </c>
      <c r="P189" t="s">
        <v>3</v>
      </c>
    </row>
    <row r="190" spans="1:16" x14ac:dyDescent="0.25">
      <c r="A190">
        <v>70</v>
      </c>
      <c r="B190">
        <v>1</v>
      </c>
      <c r="D190">
        <v>14</v>
      </c>
      <c r="E190" t="s">
        <v>185</v>
      </c>
      <c r="F190" t="s">
        <v>3</v>
      </c>
      <c r="G190">
        <v>1</v>
      </c>
      <c r="H190">
        <v>0</v>
      </c>
      <c r="I190" t="s">
        <v>3</v>
      </c>
      <c r="J190">
        <v>0</v>
      </c>
      <c r="K190">
        <v>0</v>
      </c>
      <c r="L190" t="s">
        <v>3</v>
      </c>
      <c r="M190" t="s">
        <v>3</v>
      </c>
      <c r="N190">
        <v>0</v>
      </c>
      <c r="P190" t="s">
        <v>3</v>
      </c>
    </row>
    <row r="192" spans="1:16" x14ac:dyDescent="0.25">
      <c r="A192">
        <v>-1</v>
      </c>
    </row>
    <row r="194" spans="1:40" x14ac:dyDescent="0.25">
      <c r="A194" s="3">
        <v>75</v>
      </c>
      <c r="B194" s="3" t="s">
        <v>186</v>
      </c>
      <c r="C194" s="3">
        <v>2000</v>
      </c>
      <c r="D194" s="3">
        <v>0</v>
      </c>
      <c r="E194" s="3">
        <v>1</v>
      </c>
      <c r="F194" s="3">
        <v>0</v>
      </c>
      <c r="G194" s="3">
        <v>0</v>
      </c>
      <c r="H194" s="3">
        <v>1</v>
      </c>
      <c r="I194" s="3">
        <v>0</v>
      </c>
      <c r="J194" s="3">
        <v>3</v>
      </c>
      <c r="K194" s="3">
        <v>0</v>
      </c>
      <c r="L194" s="3">
        <v>0</v>
      </c>
      <c r="M194" s="3">
        <v>0</v>
      </c>
      <c r="N194" s="3">
        <v>46567972</v>
      </c>
      <c r="O194" s="3">
        <v>1</v>
      </c>
    </row>
    <row r="195" spans="1:40" x14ac:dyDescent="0.25">
      <c r="A195" s="5">
        <v>3</v>
      </c>
      <c r="B195" s="5" t="s">
        <v>187</v>
      </c>
      <c r="C195" s="5">
        <v>1</v>
      </c>
      <c r="D195" s="5">
        <v>8.82</v>
      </c>
      <c r="E195" s="5">
        <v>11.55</v>
      </c>
      <c r="F195" s="5">
        <v>31.51</v>
      </c>
      <c r="G195" s="5">
        <v>31.51</v>
      </c>
      <c r="H195" s="5">
        <v>1</v>
      </c>
      <c r="I195" s="5">
        <v>1</v>
      </c>
      <c r="J195" s="5">
        <v>2</v>
      </c>
      <c r="K195" s="5">
        <v>1</v>
      </c>
      <c r="L195" s="5">
        <v>1</v>
      </c>
      <c r="M195" s="5">
        <v>1</v>
      </c>
      <c r="N195" s="5">
        <v>8.82</v>
      </c>
      <c r="O195" s="5">
        <v>1</v>
      </c>
      <c r="P195" s="5">
        <v>1</v>
      </c>
      <c r="Q195" s="5">
        <v>1</v>
      </c>
      <c r="R195" s="5">
        <v>1</v>
      </c>
      <c r="S195" s="5" t="s">
        <v>3</v>
      </c>
      <c r="T195" s="5" t="s">
        <v>3</v>
      </c>
      <c r="U195" s="5" t="s">
        <v>3</v>
      </c>
      <c r="V195" s="5" t="s">
        <v>3</v>
      </c>
      <c r="W195" s="5" t="s">
        <v>3</v>
      </c>
      <c r="X195" s="5" t="s">
        <v>3</v>
      </c>
      <c r="Y195" s="5" t="s">
        <v>3</v>
      </c>
      <c r="Z195" s="5" t="s">
        <v>3</v>
      </c>
      <c r="AA195" s="5" t="s">
        <v>3</v>
      </c>
      <c r="AB195" s="5" t="s">
        <v>3</v>
      </c>
      <c r="AC195" s="5" t="s">
        <v>3</v>
      </c>
      <c r="AD195" s="5" t="s">
        <v>3</v>
      </c>
      <c r="AE195" s="5" t="s">
        <v>3</v>
      </c>
      <c r="AF195" s="5" t="s">
        <v>3</v>
      </c>
      <c r="AG195" s="5" t="s">
        <v>3</v>
      </c>
      <c r="AH195" s="5" t="s">
        <v>3</v>
      </c>
      <c r="AI195" s="5"/>
      <c r="AJ195" s="5"/>
      <c r="AK195" s="5"/>
      <c r="AL195" s="5"/>
      <c r="AM195" s="5"/>
      <c r="AN195" s="5">
        <v>46567987</v>
      </c>
    </row>
    <row r="199" spans="1:40" x14ac:dyDescent="0.25">
      <c r="A199">
        <v>65</v>
      </c>
      <c r="C199">
        <v>1</v>
      </c>
      <c r="D199">
        <v>0</v>
      </c>
      <c r="E199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2"/>
  <sheetViews>
    <sheetView workbookViewId="0"/>
  </sheetViews>
  <sheetFormatPr defaultColWidth="9.109375" defaultRowHeight="13.2" x14ac:dyDescent="0.25"/>
  <cols>
    <col min="1" max="256" width="9.109375" customWidth="1"/>
  </cols>
  <sheetData>
    <row r="1" spans="1:133" x14ac:dyDescent="0.25">
      <c r="A1">
        <v>0</v>
      </c>
      <c r="B1" t="s">
        <v>0</v>
      </c>
      <c r="D1" t="s">
        <v>188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57140</v>
      </c>
      <c r="M1">
        <v>11</v>
      </c>
      <c r="N1">
        <v>11</v>
      </c>
      <c r="O1">
        <v>4</v>
      </c>
      <c r="P1">
        <v>1</v>
      </c>
      <c r="Q1">
        <v>4</v>
      </c>
    </row>
    <row r="12" spans="1:133" x14ac:dyDescent="0.25">
      <c r="A12" s="1">
        <v>1</v>
      </c>
      <c r="B12" s="1">
        <v>51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0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524296</v>
      </c>
      <c r="CI12" s="1" t="s">
        <v>3</v>
      </c>
      <c r="CJ12" s="1" t="s">
        <v>3</v>
      </c>
      <c r="CK12" s="1">
        <v>8</v>
      </c>
      <c r="CL12" s="1"/>
      <c r="CM12" s="1"/>
      <c r="CN12" s="1"/>
      <c r="CO12" s="1"/>
      <c r="CP12" s="1"/>
      <c r="CQ12" s="1" t="s">
        <v>273</v>
      </c>
      <c r="CR12" s="1" t="s">
        <v>189</v>
      </c>
      <c r="CS12" s="1">
        <v>44484</v>
      </c>
      <c r="CT12" s="1">
        <v>389</v>
      </c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5">
      <c r="A14" s="1">
        <v>22</v>
      </c>
      <c r="B14" s="1">
        <v>0</v>
      </c>
      <c r="C14" s="1">
        <v>0</v>
      </c>
      <c r="D14" s="1">
        <v>46567972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5">
      <c r="A16" s="6">
        <v>3</v>
      </c>
      <c r="B16" s="6">
        <v>1</v>
      </c>
      <c r="C16" s="6" t="s">
        <v>12</v>
      </c>
      <c r="D16" s="6" t="s">
        <v>12</v>
      </c>
      <c r="E16" s="7">
        <f>(Source!F118)/1000</f>
        <v>107.325</v>
      </c>
      <c r="F16" s="7">
        <f>(Source!F119)/1000</f>
        <v>0</v>
      </c>
      <c r="G16" s="7">
        <f>(Source!F110)/1000</f>
        <v>0</v>
      </c>
      <c r="H16" s="7">
        <f>(Source!F120)/1000+(Source!F121)/1000</f>
        <v>0</v>
      </c>
      <c r="I16" s="7">
        <f>E16+F16+G16+H16</f>
        <v>107.325</v>
      </c>
      <c r="J16" s="7">
        <f>(Source!F116)/1000</f>
        <v>39.29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40140</v>
      </c>
      <c r="AU16" s="7">
        <v>0</v>
      </c>
      <c r="AV16" s="7">
        <v>0</v>
      </c>
      <c r="AW16" s="7">
        <v>0</v>
      </c>
      <c r="AX16" s="7">
        <v>0</v>
      </c>
      <c r="AY16" s="7">
        <v>850</v>
      </c>
      <c r="AZ16" s="7">
        <v>599</v>
      </c>
      <c r="BA16" s="7">
        <v>39290</v>
      </c>
      <c r="BB16" s="7">
        <v>107325</v>
      </c>
      <c r="BC16" s="7">
        <v>0</v>
      </c>
      <c r="BD16" s="7">
        <v>0</v>
      </c>
      <c r="BE16" s="7">
        <v>0</v>
      </c>
      <c r="BF16" s="7">
        <v>137.21512499999997</v>
      </c>
      <c r="BG16" s="7">
        <v>1.6691250000000002</v>
      </c>
      <c r="BH16" s="7">
        <v>0</v>
      </c>
      <c r="BI16" s="7">
        <v>43476</v>
      </c>
      <c r="BJ16" s="7">
        <v>23709</v>
      </c>
      <c r="BK16" s="7">
        <v>107325</v>
      </c>
    </row>
    <row r="18" spans="1:19" x14ac:dyDescent="0.25">
      <c r="A18">
        <v>51</v>
      </c>
      <c r="E18" s="8">
        <f>SUMIF(A16:A17,3,E16:E17)</f>
        <v>107.325</v>
      </c>
      <c r="F18" s="8">
        <f>SUMIF(A16:A17,3,F16:F17)</f>
        <v>0</v>
      </c>
      <c r="G18" s="8">
        <f>SUMIF(A16:A17,3,G16:G17)</f>
        <v>0</v>
      </c>
      <c r="H18" s="8">
        <f>SUMIF(A16:A17,3,H16:H17)</f>
        <v>0</v>
      </c>
      <c r="I18" s="8">
        <f>SUMIF(A16:A17,3,I16:I17)</f>
        <v>107.325</v>
      </c>
      <c r="J18" s="8">
        <f>SUMIF(A16:A17,3,J16:J17)</f>
        <v>39.29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5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40140</v>
      </c>
      <c r="G20" s="4" t="s">
        <v>50</v>
      </c>
      <c r="H20" s="4" t="s">
        <v>51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0</v>
      </c>
      <c r="P20" s="4"/>
    </row>
    <row r="21" spans="1:19" x14ac:dyDescent="0.25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0</v>
      </c>
      <c r="G21" s="4" t="s">
        <v>52</v>
      </c>
      <c r="H21" s="4" t="s">
        <v>53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0</v>
      </c>
      <c r="P21" s="4"/>
    </row>
    <row r="22" spans="1:19" x14ac:dyDescent="0.25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54</v>
      </c>
      <c r="H22" s="4" t="s">
        <v>55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0</v>
      </c>
      <c r="P22" s="4"/>
    </row>
    <row r="23" spans="1:19" x14ac:dyDescent="0.25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0</v>
      </c>
      <c r="G23" s="4" t="s">
        <v>56</v>
      </c>
      <c r="H23" s="4" t="s">
        <v>57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0</v>
      </c>
      <c r="P23" s="4"/>
    </row>
    <row r="24" spans="1:19" x14ac:dyDescent="0.25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0</v>
      </c>
      <c r="G24" s="4" t="s">
        <v>58</v>
      </c>
      <c r="H24" s="4" t="s">
        <v>59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0</v>
      </c>
      <c r="P24" s="4"/>
    </row>
    <row r="25" spans="1:19" x14ac:dyDescent="0.25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60</v>
      </c>
      <c r="H25" s="4" t="s">
        <v>61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0</v>
      </c>
      <c r="P25" s="4"/>
    </row>
    <row r="26" spans="1:19" x14ac:dyDescent="0.25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0</v>
      </c>
      <c r="G26" s="4" t="s">
        <v>62</v>
      </c>
      <c r="H26" s="4" t="s">
        <v>63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0</v>
      </c>
      <c r="P26" s="4"/>
    </row>
    <row r="27" spans="1:19" x14ac:dyDescent="0.25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64</v>
      </c>
      <c r="H27" s="4" t="s">
        <v>65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0</v>
      </c>
      <c r="P27" s="4"/>
    </row>
    <row r="28" spans="1:19" x14ac:dyDescent="0.25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66</v>
      </c>
      <c r="H28" s="4" t="s">
        <v>67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0</v>
      </c>
      <c r="P28" s="4"/>
    </row>
    <row r="29" spans="1:19" x14ac:dyDescent="0.25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68</v>
      </c>
      <c r="H29" s="4" t="s">
        <v>69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0</v>
      </c>
      <c r="P29" s="4"/>
    </row>
    <row r="30" spans="1:19" x14ac:dyDescent="0.25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850</v>
      </c>
      <c r="G30" s="4" t="s">
        <v>70</v>
      </c>
      <c r="H30" s="4" t="s">
        <v>71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0</v>
      </c>
      <c r="P30" s="4"/>
    </row>
    <row r="31" spans="1:19" x14ac:dyDescent="0.25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72</v>
      </c>
      <c r="H31" s="4" t="s">
        <v>73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0</v>
      </c>
      <c r="P31" s="4"/>
    </row>
    <row r="32" spans="1:19" x14ac:dyDescent="0.25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599</v>
      </c>
      <c r="G32" s="4" t="s">
        <v>74</v>
      </c>
      <c r="H32" s="4" t="s">
        <v>75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0</v>
      </c>
      <c r="P32" s="4"/>
    </row>
    <row r="33" spans="1:16" x14ac:dyDescent="0.25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39290</v>
      </c>
      <c r="G33" s="4" t="s">
        <v>76</v>
      </c>
      <c r="H33" s="4" t="s">
        <v>77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0</v>
      </c>
      <c r="P33" s="4"/>
    </row>
    <row r="34" spans="1:16" x14ac:dyDescent="0.25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78</v>
      </c>
      <c r="H34" s="4" t="s">
        <v>79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0</v>
      </c>
      <c r="P34" s="4"/>
    </row>
    <row r="35" spans="1:16" x14ac:dyDescent="0.25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107325</v>
      </c>
      <c r="G35" s="4" t="s">
        <v>80</v>
      </c>
      <c r="H35" s="4" t="s">
        <v>81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0</v>
      </c>
      <c r="P35" s="4"/>
    </row>
    <row r="36" spans="1:16" x14ac:dyDescent="0.25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82</v>
      </c>
      <c r="H36" s="4" t="s">
        <v>83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0</v>
      </c>
      <c r="P36" s="4"/>
    </row>
    <row r="37" spans="1:16" x14ac:dyDescent="0.25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84</v>
      </c>
      <c r="H37" s="4" t="s">
        <v>85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0</v>
      </c>
      <c r="P37" s="4"/>
    </row>
    <row r="38" spans="1:16" x14ac:dyDescent="0.25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86</v>
      </c>
      <c r="H38" s="4" t="s">
        <v>87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0</v>
      </c>
      <c r="P38" s="4"/>
    </row>
    <row r="39" spans="1:16" x14ac:dyDescent="0.25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88</v>
      </c>
      <c r="H39" s="4" t="s">
        <v>89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0</v>
      </c>
      <c r="P39" s="4"/>
    </row>
    <row r="40" spans="1:16" x14ac:dyDescent="0.25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137.21512499999997</v>
      </c>
      <c r="G40" s="4" t="s">
        <v>90</v>
      </c>
      <c r="H40" s="4" t="s">
        <v>91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5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1.6691250000000002</v>
      </c>
      <c r="G41" s="4" t="s">
        <v>92</v>
      </c>
      <c r="H41" s="4" t="s">
        <v>93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5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94</v>
      </c>
      <c r="H42" s="4" t="s">
        <v>95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0</v>
      </c>
      <c r="P42" s="4"/>
    </row>
    <row r="43" spans="1:16" x14ac:dyDescent="0.25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96</v>
      </c>
      <c r="H43" s="4" t="s">
        <v>97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0</v>
      </c>
      <c r="P43" s="4"/>
    </row>
    <row r="44" spans="1:16" x14ac:dyDescent="0.25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43476</v>
      </c>
      <c r="G44" s="4" t="s">
        <v>98</v>
      </c>
      <c r="H44" s="4" t="s">
        <v>99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0</v>
      </c>
      <c r="P44" s="4"/>
    </row>
    <row r="45" spans="1:16" x14ac:dyDescent="0.25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23709</v>
      </c>
      <c r="G45" s="4" t="s">
        <v>100</v>
      </c>
      <c r="H45" s="4" t="s">
        <v>101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0</v>
      </c>
      <c r="P45" s="4"/>
    </row>
    <row r="46" spans="1:16" x14ac:dyDescent="0.25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107325</v>
      </c>
      <c r="G46" s="4" t="s">
        <v>102</v>
      </c>
      <c r="H46" s="4" t="s">
        <v>103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0</v>
      </c>
      <c r="P46" s="4"/>
    </row>
    <row r="48" spans="1:16" x14ac:dyDescent="0.25">
      <c r="A48">
        <v>-1</v>
      </c>
    </row>
    <row r="51" spans="1:40" x14ac:dyDescent="0.25">
      <c r="A51" s="3">
        <v>75</v>
      </c>
      <c r="B51" s="3" t="s">
        <v>186</v>
      </c>
      <c r="C51" s="3">
        <v>2000</v>
      </c>
      <c r="D51" s="3">
        <v>0</v>
      </c>
      <c r="E51" s="3">
        <v>1</v>
      </c>
      <c r="F51" s="3">
        <v>0</v>
      </c>
      <c r="G51" s="3">
        <v>0</v>
      </c>
      <c r="H51" s="3">
        <v>1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46567972</v>
      </c>
      <c r="O51" s="3">
        <v>1</v>
      </c>
    </row>
    <row r="52" spans="1:40" x14ac:dyDescent="0.25">
      <c r="A52" s="5">
        <v>3</v>
      </c>
      <c r="B52" s="5" t="s">
        <v>187</v>
      </c>
      <c r="C52" s="5">
        <v>1</v>
      </c>
      <c r="D52" s="5">
        <v>8.82</v>
      </c>
      <c r="E52" s="5">
        <v>11.55</v>
      </c>
      <c r="F52" s="5">
        <v>31.51</v>
      </c>
      <c r="G52" s="5">
        <v>31.51</v>
      </c>
      <c r="H52" s="5">
        <v>1</v>
      </c>
      <c r="I52" s="5">
        <v>1</v>
      </c>
      <c r="J52" s="5">
        <v>2</v>
      </c>
      <c r="K52" s="5">
        <v>1</v>
      </c>
      <c r="L52" s="5">
        <v>1</v>
      </c>
      <c r="M52" s="5">
        <v>1</v>
      </c>
      <c r="N52" s="5">
        <v>8.82</v>
      </c>
      <c r="O52" s="5">
        <v>1</v>
      </c>
      <c r="P52" s="5">
        <v>1</v>
      </c>
      <c r="Q52" s="5">
        <v>1</v>
      </c>
      <c r="R52" s="5">
        <v>1</v>
      </c>
      <c r="S52" s="5" t="s">
        <v>3</v>
      </c>
      <c r="T52" s="5" t="s">
        <v>3</v>
      </c>
      <c r="U52" s="5" t="s">
        <v>3</v>
      </c>
      <c r="V52" s="5" t="s">
        <v>3</v>
      </c>
      <c r="W52" s="5" t="s">
        <v>3</v>
      </c>
      <c r="X52" s="5" t="s">
        <v>3</v>
      </c>
      <c r="Y52" s="5" t="s">
        <v>3</v>
      </c>
      <c r="Z52" s="5" t="s">
        <v>3</v>
      </c>
      <c r="AA52" s="5" t="s">
        <v>3</v>
      </c>
      <c r="AB52" s="5" t="s">
        <v>3</v>
      </c>
      <c r="AC52" s="5" t="s">
        <v>3</v>
      </c>
      <c r="AD52" s="5" t="s">
        <v>3</v>
      </c>
      <c r="AE52" s="5" t="s">
        <v>3</v>
      </c>
      <c r="AF52" s="5" t="s">
        <v>3</v>
      </c>
      <c r="AG52" s="5" t="s">
        <v>3</v>
      </c>
      <c r="AH52" s="5" t="s">
        <v>3</v>
      </c>
      <c r="AI52" s="5"/>
      <c r="AJ52" s="5"/>
      <c r="AK52" s="5"/>
      <c r="AL52" s="5"/>
      <c r="AM52" s="5"/>
      <c r="AN52" s="5">
        <v>46567987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57"/>
  <sheetViews>
    <sheetView workbookViewId="0"/>
  </sheetViews>
  <sheetFormatPr defaultColWidth="9.109375" defaultRowHeight="13.2" x14ac:dyDescent="0.25"/>
  <cols>
    <col min="1" max="256" width="9.109375" customWidth="1"/>
  </cols>
  <sheetData>
    <row r="1" spans="1:107" x14ac:dyDescent="0.25">
      <c r="A1">
        <f>ROW(Source!A28)</f>
        <v>28</v>
      </c>
      <c r="B1">
        <v>46567972</v>
      </c>
      <c r="C1">
        <v>46568049</v>
      </c>
      <c r="D1">
        <v>44321785</v>
      </c>
      <c r="E1">
        <v>68</v>
      </c>
      <c r="F1">
        <v>1</v>
      </c>
      <c r="G1">
        <v>1</v>
      </c>
      <c r="H1">
        <v>1</v>
      </c>
      <c r="I1" t="s">
        <v>190</v>
      </c>
      <c r="J1" t="s">
        <v>3</v>
      </c>
      <c r="K1" t="s">
        <v>191</v>
      </c>
      <c r="L1">
        <v>1191</v>
      </c>
      <c r="N1">
        <v>1013</v>
      </c>
      <c r="O1" t="s">
        <v>192</v>
      </c>
      <c r="P1" t="s">
        <v>192</v>
      </c>
      <c r="Q1">
        <v>1</v>
      </c>
      <c r="W1">
        <v>0</v>
      </c>
      <c r="X1">
        <v>784619160</v>
      </c>
      <c r="Y1">
        <v>206.62049999999999</v>
      </c>
      <c r="AA1">
        <v>0</v>
      </c>
      <c r="AB1">
        <v>0</v>
      </c>
      <c r="AC1">
        <v>0</v>
      </c>
      <c r="AD1">
        <v>275.39999999999998</v>
      </c>
      <c r="AE1">
        <v>0</v>
      </c>
      <c r="AF1">
        <v>0</v>
      </c>
      <c r="AG1">
        <v>0</v>
      </c>
      <c r="AH1">
        <v>8.74</v>
      </c>
      <c r="AI1">
        <v>1</v>
      </c>
      <c r="AJ1">
        <v>1</v>
      </c>
      <c r="AK1">
        <v>1</v>
      </c>
      <c r="AL1">
        <v>31.51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119.78</v>
      </c>
      <c r="AU1" t="s">
        <v>22</v>
      </c>
      <c r="AV1">
        <v>1</v>
      </c>
      <c r="AW1">
        <v>2</v>
      </c>
      <c r="AX1">
        <v>46568050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22.728255000000001</v>
      </c>
      <c r="CY1">
        <f>AD1</f>
        <v>275.39999999999998</v>
      </c>
      <c r="CZ1">
        <f>AH1</f>
        <v>8.74</v>
      </c>
      <c r="DA1">
        <f>AL1</f>
        <v>31.51</v>
      </c>
      <c r="DB1">
        <f>ROUND((ROUND(AT1*CZ1,2)*1.15*1.5),2)</f>
        <v>1805.87</v>
      </c>
      <c r="DC1">
        <f>ROUND((ROUND(AT1*AG1,2)*1.15*1.5),2)</f>
        <v>0</v>
      </c>
    </row>
    <row r="2" spans="1:107" x14ac:dyDescent="0.25">
      <c r="A2">
        <f>ROW(Source!A28)</f>
        <v>28</v>
      </c>
      <c r="B2">
        <v>46567972</v>
      </c>
      <c r="C2">
        <v>46568049</v>
      </c>
      <c r="D2">
        <v>44322049</v>
      </c>
      <c r="E2">
        <v>68</v>
      </c>
      <c r="F2">
        <v>1</v>
      </c>
      <c r="G2">
        <v>1</v>
      </c>
      <c r="H2">
        <v>1</v>
      </c>
      <c r="I2" t="s">
        <v>193</v>
      </c>
      <c r="J2" t="s">
        <v>3</v>
      </c>
      <c r="K2" t="s">
        <v>194</v>
      </c>
      <c r="L2">
        <v>1191</v>
      </c>
      <c r="N2">
        <v>1013</v>
      </c>
      <c r="O2" t="s">
        <v>192</v>
      </c>
      <c r="P2" t="s">
        <v>192</v>
      </c>
      <c r="Q2">
        <v>1</v>
      </c>
      <c r="W2">
        <v>0</v>
      </c>
      <c r="X2">
        <v>-1417349443</v>
      </c>
      <c r="Y2">
        <v>5.625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31.51</v>
      </c>
      <c r="AL2">
        <v>1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4.5</v>
      </c>
      <c r="AU2" t="s">
        <v>21</v>
      </c>
      <c r="AV2">
        <v>2</v>
      </c>
      <c r="AW2">
        <v>2</v>
      </c>
      <c r="AX2">
        <v>46568051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0.61875000000000002</v>
      </c>
      <c r="CY2">
        <f>AD2</f>
        <v>0</v>
      </c>
      <c r="CZ2">
        <f>AH2</f>
        <v>0</v>
      </c>
      <c r="DA2">
        <f>AL2</f>
        <v>1</v>
      </c>
      <c r="DB2">
        <f>ROUND((ROUND(AT2*CZ2,2)*1.25),2)</f>
        <v>0</v>
      </c>
      <c r="DC2">
        <f>ROUND((ROUND(AT2*AG2,2)*1.25),2)</f>
        <v>0</v>
      </c>
    </row>
    <row r="3" spans="1:107" x14ac:dyDescent="0.25">
      <c r="A3">
        <f>ROW(Source!A28)</f>
        <v>28</v>
      </c>
      <c r="B3">
        <v>46567972</v>
      </c>
      <c r="C3">
        <v>46568049</v>
      </c>
      <c r="D3">
        <v>44537801</v>
      </c>
      <c r="E3">
        <v>1</v>
      </c>
      <c r="F3">
        <v>1</v>
      </c>
      <c r="G3">
        <v>1</v>
      </c>
      <c r="H3">
        <v>2</v>
      </c>
      <c r="I3" t="s">
        <v>195</v>
      </c>
      <c r="J3" t="s">
        <v>196</v>
      </c>
      <c r="K3" t="s">
        <v>197</v>
      </c>
      <c r="L3">
        <v>1367</v>
      </c>
      <c r="N3">
        <v>1011</v>
      </c>
      <c r="O3" t="s">
        <v>198</v>
      </c>
      <c r="P3" t="s">
        <v>198</v>
      </c>
      <c r="Q3">
        <v>1</v>
      </c>
      <c r="W3">
        <v>0</v>
      </c>
      <c r="X3">
        <v>2073521694</v>
      </c>
      <c r="Y3">
        <v>0.44999999999999996</v>
      </c>
      <c r="AA3">
        <v>0</v>
      </c>
      <c r="AB3">
        <v>1039.3800000000001</v>
      </c>
      <c r="AC3">
        <v>316.99</v>
      </c>
      <c r="AD3">
        <v>0</v>
      </c>
      <c r="AE3">
        <v>0</v>
      </c>
      <c r="AF3">
        <v>89.99</v>
      </c>
      <c r="AG3">
        <v>10.06</v>
      </c>
      <c r="AH3">
        <v>0</v>
      </c>
      <c r="AI3">
        <v>1</v>
      </c>
      <c r="AJ3">
        <v>11.55</v>
      </c>
      <c r="AK3">
        <v>31.51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0.36</v>
      </c>
      <c r="AU3" t="s">
        <v>21</v>
      </c>
      <c r="AV3">
        <v>0</v>
      </c>
      <c r="AW3">
        <v>2</v>
      </c>
      <c r="AX3">
        <v>46568052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4.9499999999999995E-2</v>
      </c>
      <c r="CY3">
        <f>AB3</f>
        <v>1039.3800000000001</v>
      </c>
      <c r="CZ3">
        <f>AF3</f>
        <v>89.99</v>
      </c>
      <c r="DA3">
        <f>AJ3</f>
        <v>11.55</v>
      </c>
      <c r="DB3">
        <f>ROUND((ROUND(AT3*CZ3,2)*1.25),2)</f>
        <v>40.5</v>
      </c>
      <c r="DC3">
        <f>ROUND((ROUND(AT3*AG3,2)*1.25),2)</f>
        <v>4.53</v>
      </c>
    </row>
    <row r="4" spans="1:107" x14ac:dyDescent="0.25">
      <c r="A4">
        <f>ROW(Source!A28)</f>
        <v>28</v>
      </c>
      <c r="B4">
        <v>46567972</v>
      </c>
      <c r="C4">
        <v>46568049</v>
      </c>
      <c r="D4">
        <v>44537855</v>
      </c>
      <c r="E4">
        <v>1</v>
      </c>
      <c r="F4">
        <v>1</v>
      </c>
      <c r="G4">
        <v>1</v>
      </c>
      <c r="H4">
        <v>2</v>
      </c>
      <c r="I4" t="s">
        <v>199</v>
      </c>
      <c r="J4" t="s">
        <v>200</v>
      </c>
      <c r="K4" t="s">
        <v>201</v>
      </c>
      <c r="L4">
        <v>1367</v>
      </c>
      <c r="N4">
        <v>1011</v>
      </c>
      <c r="O4" t="s">
        <v>198</v>
      </c>
      <c r="P4" t="s">
        <v>198</v>
      </c>
      <c r="Q4">
        <v>1</v>
      </c>
      <c r="W4">
        <v>0</v>
      </c>
      <c r="X4">
        <v>1098214667</v>
      </c>
      <c r="Y4">
        <v>2.875</v>
      </c>
      <c r="AA4">
        <v>0</v>
      </c>
      <c r="AB4">
        <v>361.05</v>
      </c>
      <c r="AC4">
        <v>425.39</v>
      </c>
      <c r="AD4">
        <v>0</v>
      </c>
      <c r="AE4">
        <v>0</v>
      </c>
      <c r="AF4">
        <v>31.26</v>
      </c>
      <c r="AG4">
        <v>13.5</v>
      </c>
      <c r="AH4">
        <v>0</v>
      </c>
      <c r="AI4">
        <v>1</v>
      </c>
      <c r="AJ4">
        <v>11.55</v>
      </c>
      <c r="AK4">
        <v>31.51</v>
      </c>
      <c r="AL4">
        <v>1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2.2999999999999998</v>
      </c>
      <c r="AU4" t="s">
        <v>21</v>
      </c>
      <c r="AV4">
        <v>0</v>
      </c>
      <c r="AW4">
        <v>2</v>
      </c>
      <c r="AX4">
        <v>46568053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Y4*Source!I28</f>
        <v>0.31624999999999998</v>
      </c>
      <c r="CY4">
        <f>AB4</f>
        <v>361.05</v>
      </c>
      <c r="CZ4">
        <f>AF4</f>
        <v>31.26</v>
      </c>
      <c r="DA4">
        <f>AJ4</f>
        <v>11.55</v>
      </c>
      <c r="DB4">
        <f>ROUND((ROUND(AT4*CZ4,2)*1.25),2)</f>
        <v>89.88</v>
      </c>
      <c r="DC4">
        <f>ROUND((ROUND(AT4*AG4,2)*1.25),2)</f>
        <v>38.81</v>
      </c>
    </row>
    <row r="5" spans="1:107" x14ac:dyDescent="0.25">
      <c r="A5">
        <f>ROW(Source!A28)</f>
        <v>28</v>
      </c>
      <c r="B5">
        <v>46567972</v>
      </c>
      <c r="C5">
        <v>46568049</v>
      </c>
      <c r="D5">
        <v>44538010</v>
      </c>
      <c r="E5">
        <v>1</v>
      </c>
      <c r="F5">
        <v>1</v>
      </c>
      <c r="G5">
        <v>1</v>
      </c>
      <c r="H5">
        <v>2</v>
      </c>
      <c r="I5" t="s">
        <v>202</v>
      </c>
      <c r="J5" t="s">
        <v>203</v>
      </c>
      <c r="K5" t="s">
        <v>204</v>
      </c>
      <c r="L5">
        <v>1367</v>
      </c>
      <c r="N5">
        <v>1011</v>
      </c>
      <c r="O5" t="s">
        <v>198</v>
      </c>
      <c r="P5" t="s">
        <v>198</v>
      </c>
      <c r="Q5">
        <v>1</v>
      </c>
      <c r="W5">
        <v>0</v>
      </c>
      <c r="X5">
        <v>999127525</v>
      </c>
      <c r="Y5">
        <v>1.9500000000000002</v>
      </c>
      <c r="AA5">
        <v>0</v>
      </c>
      <c r="AB5">
        <v>143.1</v>
      </c>
      <c r="AC5">
        <v>316.99</v>
      </c>
      <c r="AD5">
        <v>0</v>
      </c>
      <c r="AE5">
        <v>0</v>
      </c>
      <c r="AF5">
        <v>12.39</v>
      </c>
      <c r="AG5">
        <v>10.06</v>
      </c>
      <c r="AH5">
        <v>0</v>
      </c>
      <c r="AI5">
        <v>1</v>
      </c>
      <c r="AJ5">
        <v>11.55</v>
      </c>
      <c r="AK5">
        <v>31.51</v>
      </c>
      <c r="AL5">
        <v>1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1.56</v>
      </c>
      <c r="AU5" t="s">
        <v>21</v>
      </c>
      <c r="AV5">
        <v>0</v>
      </c>
      <c r="AW5">
        <v>2</v>
      </c>
      <c r="AX5">
        <v>46568054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Y5*Source!I28</f>
        <v>0.21450000000000002</v>
      </c>
      <c r="CY5">
        <f>AB5</f>
        <v>143.1</v>
      </c>
      <c r="CZ5">
        <f>AF5</f>
        <v>12.39</v>
      </c>
      <c r="DA5">
        <f>AJ5</f>
        <v>11.55</v>
      </c>
      <c r="DB5">
        <f>ROUND((ROUND(AT5*CZ5,2)*1.25),2)</f>
        <v>24.16</v>
      </c>
      <c r="DC5">
        <f>ROUND((ROUND(AT5*AG5,2)*1.25),2)</f>
        <v>19.61</v>
      </c>
    </row>
    <row r="6" spans="1:107" x14ac:dyDescent="0.25">
      <c r="A6">
        <f>ROW(Source!A28)</f>
        <v>28</v>
      </c>
      <c r="B6">
        <v>46567972</v>
      </c>
      <c r="C6">
        <v>46568049</v>
      </c>
      <c r="D6">
        <v>44538839</v>
      </c>
      <c r="E6">
        <v>1</v>
      </c>
      <c r="F6">
        <v>1</v>
      </c>
      <c r="G6">
        <v>1</v>
      </c>
      <c r="H6">
        <v>2</v>
      </c>
      <c r="I6" t="s">
        <v>205</v>
      </c>
      <c r="J6" t="s">
        <v>206</v>
      </c>
      <c r="K6" t="s">
        <v>207</v>
      </c>
      <c r="L6">
        <v>1367</v>
      </c>
      <c r="N6">
        <v>1011</v>
      </c>
      <c r="O6" t="s">
        <v>198</v>
      </c>
      <c r="P6" t="s">
        <v>198</v>
      </c>
      <c r="Q6">
        <v>1</v>
      </c>
      <c r="W6">
        <v>0</v>
      </c>
      <c r="X6">
        <v>2001246382</v>
      </c>
      <c r="Y6">
        <v>0.35000000000000003</v>
      </c>
      <c r="AA6">
        <v>0</v>
      </c>
      <c r="AB6">
        <v>758.95</v>
      </c>
      <c r="AC6">
        <v>365.52</v>
      </c>
      <c r="AD6">
        <v>0</v>
      </c>
      <c r="AE6">
        <v>0</v>
      </c>
      <c r="AF6">
        <v>65.709999999999994</v>
      </c>
      <c r="AG6">
        <v>11.6</v>
      </c>
      <c r="AH6">
        <v>0</v>
      </c>
      <c r="AI6">
        <v>1</v>
      </c>
      <c r="AJ6">
        <v>11.55</v>
      </c>
      <c r="AK6">
        <v>31.51</v>
      </c>
      <c r="AL6">
        <v>1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0.28000000000000003</v>
      </c>
      <c r="AU6" t="s">
        <v>21</v>
      </c>
      <c r="AV6">
        <v>0</v>
      </c>
      <c r="AW6">
        <v>2</v>
      </c>
      <c r="AX6">
        <v>46568055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Y6*Source!I28</f>
        <v>3.8500000000000006E-2</v>
      </c>
      <c r="CY6">
        <f>AB6</f>
        <v>758.95</v>
      </c>
      <c r="CZ6">
        <f>AF6</f>
        <v>65.709999999999994</v>
      </c>
      <c r="DA6">
        <f>AJ6</f>
        <v>11.55</v>
      </c>
      <c r="DB6">
        <f>ROUND((ROUND(AT6*CZ6,2)*1.25),2)</f>
        <v>23</v>
      </c>
      <c r="DC6">
        <f>ROUND((ROUND(AT6*AG6,2)*1.25),2)</f>
        <v>4.0599999999999996</v>
      </c>
    </row>
    <row r="7" spans="1:107" x14ac:dyDescent="0.25">
      <c r="A7">
        <f>ROW(Source!A28)</f>
        <v>28</v>
      </c>
      <c r="B7">
        <v>46567972</v>
      </c>
      <c r="C7">
        <v>46568049</v>
      </c>
      <c r="D7">
        <v>44336161</v>
      </c>
      <c r="E7">
        <v>1</v>
      </c>
      <c r="F7">
        <v>1</v>
      </c>
      <c r="G7">
        <v>1</v>
      </c>
      <c r="H7">
        <v>3</v>
      </c>
      <c r="I7" t="s">
        <v>208</v>
      </c>
      <c r="J7" t="s">
        <v>209</v>
      </c>
      <c r="K7" t="s">
        <v>210</v>
      </c>
      <c r="L7">
        <v>1339</v>
      </c>
      <c r="N7">
        <v>1007</v>
      </c>
      <c r="O7" t="s">
        <v>211</v>
      </c>
      <c r="P7" t="s">
        <v>211</v>
      </c>
      <c r="Q7">
        <v>1</v>
      </c>
      <c r="W7">
        <v>0</v>
      </c>
      <c r="X7">
        <v>929815444</v>
      </c>
      <c r="Y7">
        <v>0</v>
      </c>
      <c r="AA7">
        <v>21.52</v>
      </c>
      <c r="AB7">
        <v>0</v>
      </c>
      <c r="AC7">
        <v>0</v>
      </c>
      <c r="AD7">
        <v>0</v>
      </c>
      <c r="AE7">
        <v>2.44</v>
      </c>
      <c r="AF7">
        <v>0</v>
      </c>
      <c r="AG7">
        <v>0</v>
      </c>
      <c r="AH7">
        <v>0</v>
      </c>
      <c r="AI7">
        <v>8.82</v>
      </c>
      <c r="AJ7">
        <v>1</v>
      </c>
      <c r="AK7">
        <v>1</v>
      </c>
      <c r="AL7">
        <v>1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</v>
      </c>
      <c r="AT7">
        <v>0.1</v>
      </c>
      <c r="AU7" t="s">
        <v>20</v>
      </c>
      <c r="AV7">
        <v>0</v>
      </c>
      <c r="AW7">
        <v>2</v>
      </c>
      <c r="AX7">
        <v>46568056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Y7*Source!I28</f>
        <v>0</v>
      </c>
      <c r="CY7">
        <f>AA7</f>
        <v>21.52</v>
      </c>
      <c r="CZ7">
        <f>AE7</f>
        <v>2.44</v>
      </c>
      <c r="DA7">
        <f>AI7</f>
        <v>8.82</v>
      </c>
      <c r="DB7">
        <f>ROUND((ROUND(AT7*CZ7,2)*0),2)</f>
        <v>0</v>
      </c>
      <c r="DC7">
        <f>ROUND((ROUND(AT7*AG7,2)*0),2)</f>
        <v>0</v>
      </c>
    </row>
    <row r="8" spans="1:107" x14ac:dyDescent="0.25">
      <c r="A8">
        <f>ROW(Source!A28)</f>
        <v>28</v>
      </c>
      <c r="B8">
        <v>46567972</v>
      </c>
      <c r="C8">
        <v>46568049</v>
      </c>
      <c r="D8">
        <v>44341905</v>
      </c>
      <c r="E8">
        <v>1</v>
      </c>
      <c r="F8">
        <v>1</v>
      </c>
      <c r="G8">
        <v>1</v>
      </c>
      <c r="H8">
        <v>3</v>
      </c>
      <c r="I8" t="s">
        <v>212</v>
      </c>
      <c r="J8" t="s">
        <v>213</v>
      </c>
      <c r="K8" t="s">
        <v>214</v>
      </c>
      <c r="L8">
        <v>1346</v>
      </c>
      <c r="N8">
        <v>1009</v>
      </c>
      <c r="O8" t="s">
        <v>215</v>
      </c>
      <c r="P8" t="s">
        <v>215</v>
      </c>
      <c r="Q8">
        <v>1</v>
      </c>
      <c r="W8">
        <v>0</v>
      </c>
      <c r="X8">
        <v>-1647809537</v>
      </c>
      <c r="Y8">
        <v>0</v>
      </c>
      <c r="AA8">
        <v>16.05</v>
      </c>
      <c r="AB8">
        <v>0</v>
      </c>
      <c r="AC8">
        <v>0</v>
      </c>
      <c r="AD8">
        <v>0</v>
      </c>
      <c r="AE8">
        <v>1.82</v>
      </c>
      <c r="AF8">
        <v>0</v>
      </c>
      <c r="AG8">
        <v>0</v>
      </c>
      <c r="AH8">
        <v>0</v>
      </c>
      <c r="AI8">
        <v>8.82</v>
      </c>
      <c r="AJ8">
        <v>1</v>
      </c>
      <c r="AK8">
        <v>1</v>
      </c>
      <c r="AL8">
        <v>1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0.5</v>
      </c>
      <c r="AU8" t="s">
        <v>20</v>
      </c>
      <c r="AV8">
        <v>0</v>
      </c>
      <c r="AW8">
        <v>2</v>
      </c>
      <c r="AX8">
        <v>46568057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Y8*Source!I28</f>
        <v>0</v>
      </c>
      <c r="CY8">
        <f>AA8</f>
        <v>16.05</v>
      </c>
      <c r="CZ8">
        <f>AE8</f>
        <v>1.82</v>
      </c>
      <c r="DA8">
        <f>AI8</f>
        <v>8.82</v>
      </c>
      <c r="DB8">
        <f>ROUND((ROUND(AT8*CZ8,2)*0),2)</f>
        <v>0</v>
      </c>
      <c r="DC8">
        <f>ROUND((ROUND(AT8*AG8,2)*0),2)</f>
        <v>0</v>
      </c>
    </row>
    <row r="9" spans="1:107" x14ac:dyDescent="0.25">
      <c r="A9">
        <f>ROW(Source!A28)</f>
        <v>28</v>
      </c>
      <c r="B9">
        <v>46567972</v>
      </c>
      <c r="C9">
        <v>46568049</v>
      </c>
      <c r="D9">
        <v>44345078</v>
      </c>
      <c r="E9">
        <v>1</v>
      </c>
      <c r="F9">
        <v>1</v>
      </c>
      <c r="G9">
        <v>1</v>
      </c>
      <c r="H9">
        <v>3</v>
      </c>
      <c r="I9" t="s">
        <v>216</v>
      </c>
      <c r="J9" t="s">
        <v>217</v>
      </c>
      <c r="K9" t="s">
        <v>218</v>
      </c>
      <c r="L9">
        <v>1348</v>
      </c>
      <c r="N9">
        <v>1009</v>
      </c>
      <c r="O9" t="s">
        <v>219</v>
      </c>
      <c r="P9" t="s">
        <v>219</v>
      </c>
      <c r="Q9">
        <v>1000</v>
      </c>
      <c r="W9">
        <v>0</v>
      </c>
      <c r="X9">
        <v>-903093951</v>
      </c>
      <c r="Y9">
        <v>0</v>
      </c>
      <c r="AA9">
        <v>57444.66</v>
      </c>
      <c r="AB9">
        <v>0</v>
      </c>
      <c r="AC9">
        <v>0</v>
      </c>
      <c r="AD9">
        <v>0</v>
      </c>
      <c r="AE9">
        <v>6513</v>
      </c>
      <c r="AF9">
        <v>0</v>
      </c>
      <c r="AG9">
        <v>0</v>
      </c>
      <c r="AH9">
        <v>0</v>
      </c>
      <c r="AI9">
        <v>8.82</v>
      </c>
      <c r="AJ9">
        <v>1</v>
      </c>
      <c r="AK9">
        <v>1</v>
      </c>
      <c r="AL9">
        <v>1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0.05</v>
      </c>
      <c r="AU9" t="s">
        <v>20</v>
      </c>
      <c r="AV9">
        <v>0</v>
      </c>
      <c r="AW9">
        <v>2</v>
      </c>
      <c r="AX9">
        <v>46568058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Y9*Source!I28</f>
        <v>0</v>
      </c>
      <c r="CY9">
        <f>AA9</f>
        <v>57444.66</v>
      </c>
      <c r="CZ9">
        <f>AE9</f>
        <v>6513</v>
      </c>
      <c r="DA9">
        <f>AI9</f>
        <v>8.82</v>
      </c>
      <c r="DB9">
        <f>ROUND((ROUND(AT9*CZ9,2)*0),2)</f>
        <v>0</v>
      </c>
      <c r="DC9">
        <f>ROUND((ROUND(AT9*AG9,2)*0),2)</f>
        <v>0</v>
      </c>
    </row>
    <row r="10" spans="1:107" x14ac:dyDescent="0.25">
      <c r="A10">
        <f>ROW(Source!A28)</f>
        <v>28</v>
      </c>
      <c r="B10">
        <v>46567972</v>
      </c>
      <c r="C10">
        <v>46568049</v>
      </c>
      <c r="D10">
        <v>44363679</v>
      </c>
      <c r="E10">
        <v>1</v>
      </c>
      <c r="F10">
        <v>1</v>
      </c>
      <c r="G10">
        <v>1</v>
      </c>
      <c r="H10">
        <v>3</v>
      </c>
      <c r="I10" t="s">
        <v>220</v>
      </c>
      <c r="J10" t="s">
        <v>221</v>
      </c>
      <c r="K10" t="s">
        <v>222</v>
      </c>
      <c r="L10">
        <v>1327</v>
      </c>
      <c r="N10">
        <v>1005</v>
      </c>
      <c r="O10" t="s">
        <v>223</v>
      </c>
      <c r="P10" t="s">
        <v>223</v>
      </c>
      <c r="Q10">
        <v>1</v>
      </c>
      <c r="W10">
        <v>0</v>
      </c>
      <c r="X10">
        <v>1297416989</v>
      </c>
      <c r="Y10">
        <v>0</v>
      </c>
      <c r="AA10">
        <v>727.65</v>
      </c>
      <c r="AB10">
        <v>0</v>
      </c>
      <c r="AC10">
        <v>0</v>
      </c>
      <c r="AD10">
        <v>0</v>
      </c>
      <c r="AE10">
        <v>82.5</v>
      </c>
      <c r="AF10">
        <v>0</v>
      </c>
      <c r="AG10">
        <v>0</v>
      </c>
      <c r="AH10">
        <v>0</v>
      </c>
      <c r="AI10">
        <v>8.82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102</v>
      </c>
      <c r="AU10" t="s">
        <v>20</v>
      </c>
      <c r="AV10">
        <v>0</v>
      </c>
      <c r="AW10">
        <v>2</v>
      </c>
      <c r="AX10">
        <v>46568059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Y10*Source!I28</f>
        <v>0</v>
      </c>
      <c r="CY10">
        <f>AA10</f>
        <v>727.65</v>
      </c>
      <c r="CZ10">
        <f>AE10</f>
        <v>82.5</v>
      </c>
      <c r="DA10">
        <f>AI10</f>
        <v>8.82</v>
      </c>
      <c r="DB10">
        <f>ROUND((ROUND(AT10*CZ10,2)*0),2)</f>
        <v>0</v>
      </c>
      <c r="DC10">
        <f>ROUND((ROUND(AT10*AG10,2)*0),2)</f>
        <v>0</v>
      </c>
    </row>
    <row r="11" spans="1:107" x14ac:dyDescent="0.25">
      <c r="A11">
        <f>ROW(Source!A28)</f>
        <v>28</v>
      </c>
      <c r="B11">
        <v>46567972</v>
      </c>
      <c r="C11">
        <v>46568049</v>
      </c>
      <c r="D11">
        <v>44388786</v>
      </c>
      <c r="E11">
        <v>1</v>
      </c>
      <c r="F11">
        <v>1</v>
      </c>
      <c r="G11">
        <v>1</v>
      </c>
      <c r="H11">
        <v>3</v>
      </c>
      <c r="I11" t="s">
        <v>224</v>
      </c>
      <c r="J11" t="s">
        <v>225</v>
      </c>
      <c r="K11" t="s">
        <v>226</v>
      </c>
      <c r="L11">
        <v>1346</v>
      </c>
      <c r="N11">
        <v>1009</v>
      </c>
      <c r="O11" t="s">
        <v>215</v>
      </c>
      <c r="P11" t="s">
        <v>215</v>
      </c>
      <c r="Q11">
        <v>1</v>
      </c>
      <c r="W11">
        <v>0</v>
      </c>
      <c r="X11">
        <v>1584014708</v>
      </c>
      <c r="Y11">
        <v>0</v>
      </c>
      <c r="AA11">
        <v>12.08</v>
      </c>
      <c r="AB11">
        <v>0</v>
      </c>
      <c r="AC11">
        <v>0</v>
      </c>
      <c r="AD11">
        <v>0</v>
      </c>
      <c r="AE11">
        <v>1.37</v>
      </c>
      <c r="AF11">
        <v>0</v>
      </c>
      <c r="AG11">
        <v>0</v>
      </c>
      <c r="AH11">
        <v>0</v>
      </c>
      <c r="AI11">
        <v>8.82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450</v>
      </c>
      <c r="AU11" t="s">
        <v>20</v>
      </c>
      <c r="AV11">
        <v>0</v>
      </c>
      <c r="AW11">
        <v>2</v>
      </c>
      <c r="AX11">
        <v>46568060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Y11*Source!I28</f>
        <v>0</v>
      </c>
      <c r="CY11">
        <f>AA11</f>
        <v>12.08</v>
      </c>
      <c r="CZ11">
        <f>AE11</f>
        <v>1.37</v>
      </c>
      <c r="DA11">
        <f>AI11</f>
        <v>8.82</v>
      </c>
      <c r="DB11">
        <f>ROUND((ROUND(AT11*CZ11,2)*0),2)</f>
        <v>0</v>
      </c>
      <c r="DC11">
        <f>ROUND((ROUND(AT11*AG11,2)*0),2)</f>
        <v>0</v>
      </c>
    </row>
    <row r="12" spans="1:107" x14ac:dyDescent="0.25">
      <c r="A12">
        <f>ROW(Source!A29)</f>
        <v>29</v>
      </c>
      <c r="B12">
        <v>46567972</v>
      </c>
      <c r="C12">
        <v>46568062</v>
      </c>
      <c r="D12">
        <v>44321809</v>
      </c>
      <c r="E12">
        <v>68</v>
      </c>
      <c r="F12">
        <v>1</v>
      </c>
      <c r="G12">
        <v>1</v>
      </c>
      <c r="H12">
        <v>1</v>
      </c>
      <c r="I12" t="s">
        <v>227</v>
      </c>
      <c r="J12" t="s">
        <v>3</v>
      </c>
      <c r="K12" t="s">
        <v>228</v>
      </c>
      <c r="L12">
        <v>1191</v>
      </c>
      <c r="N12">
        <v>1013</v>
      </c>
      <c r="O12" t="s">
        <v>192</v>
      </c>
      <c r="P12" t="s">
        <v>192</v>
      </c>
      <c r="Q12">
        <v>1</v>
      </c>
      <c r="W12">
        <v>0</v>
      </c>
      <c r="X12">
        <v>-1810713292</v>
      </c>
      <c r="Y12">
        <v>198.82350000000002</v>
      </c>
      <c r="AA12">
        <v>0</v>
      </c>
      <c r="AB12">
        <v>0</v>
      </c>
      <c r="AC12">
        <v>0</v>
      </c>
      <c r="AD12">
        <v>289.26</v>
      </c>
      <c r="AE12">
        <v>0</v>
      </c>
      <c r="AF12">
        <v>0</v>
      </c>
      <c r="AG12">
        <v>0</v>
      </c>
      <c r="AH12">
        <v>9.18</v>
      </c>
      <c r="AI12">
        <v>1</v>
      </c>
      <c r="AJ12">
        <v>1</v>
      </c>
      <c r="AK12">
        <v>1</v>
      </c>
      <c r="AL12">
        <v>31.51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115.26</v>
      </c>
      <c r="AU12" t="s">
        <v>22</v>
      </c>
      <c r="AV12">
        <v>1</v>
      </c>
      <c r="AW12">
        <v>2</v>
      </c>
      <c r="AX12">
        <v>46568063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Y12*Source!I29</f>
        <v>39.764700000000005</v>
      </c>
      <c r="CY12">
        <f>AD12</f>
        <v>289.26</v>
      </c>
      <c r="CZ12">
        <f>AH12</f>
        <v>9.18</v>
      </c>
      <c r="DA12">
        <f>AL12</f>
        <v>31.51</v>
      </c>
      <c r="DB12">
        <f>ROUND((ROUND(AT12*CZ12,2)*1.15*1.5),2)</f>
        <v>1825.21</v>
      </c>
      <c r="DC12">
        <f>ROUND((ROUND(AT12*AG12,2)*1.15*1.5),2)</f>
        <v>0</v>
      </c>
    </row>
    <row r="13" spans="1:107" x14ac:dyDescent="0.25">
      <c r="A13">
        <f>ROW(Source!A29)</f>
        <v>29</v>
      </c>
      <c r="B13">
        <v>46567972</v>
      </c>
      <c r="C13">
        <v>46568062</v>
      </c>
      <c r="D13">
        <v>44322049</v>
      </c>
      <c r="E13">
        <v>68</v>
      </c>
      <c r="F13">
        <v>1</v>
      </c>
      <c r="G13">
        <v>1</v>
      </c>
      <c r="H13">
        <v>1</v>
      </c>
      <c r="I13" t="s">
        <v>193</v>
      </c>
      <c r="J13" t="s">
        <v>3</v>
      </c>
      <c r="K13" t="s">
        <v>194</v>
      </c>
      <c r="L13">
        <v>1191</v>
      </c>
      <c r="N13">
        <v>1013</v>
      </c>
      <c r="O13" t="s">
        <v>192</v>
      </c>
      <c r="P13" t="s">
        <v>192</v>
      </c>
      <c r="Q13">
        <v>1</v>
      </c>
      <c r="W13">
        <v>0</v>
      </c>
      <c r="X13">
        <v>-1417349443</v>
      </c>
      <c r="Y13">
        <v>2.0625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</v>
      </c>
      <c r="AJ13">
        <v>1</v>
      </c>
      <c r="AK13">
        <v>31.51</v>
      </c>
      <c r="AL13">
        <v>1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1.65</v>
      </c>
      <c r="AU13" t="s">
        <v>21</v>
      </c>
      <c r="AV13">
        <v>2</v>
      </c>
      <c r="AW13">
        <v>2</v>
      </c>
      <c r="AX13">
        <v>46568064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Y13*Source!I29</f>
        <v>0.41250000000000003</v>
      </c>
      <c r="CY13">
        <f>AD13</f>
        <v>0</v>
      </c>
      <c r="CZ13">
        <f>AH13</f>
        <v>0</v>
      </c>
      <c r="DA13">
        <f>AL13</f>
        <v>1</v>
      </c>
      <c r="DB13">
        <f>ROUND((ROUND(AT13*CZ13,2)*1.25),2)</f>
        <v>0</v>
      </c>
      <c r="DC13">
        <f>ROUND((ROUND(AT13*AG13,2)*1.25),2)</f>
        <v>0</v>
      </c>
    </row>
    <row r="14" spans="1:107" x14ac:dyDescent="0.25">
      <c r="A14">
        <f>ROW(Source!A29)</f>
        <v>29</v>
      </c>
      <c r="B14">
        <v>46567972</v>
      </c>
      <c r="C14">
        <v>46568062</v>
      </c>
      <c r="D14">
        <v>44537801</v>
      </c>
      <c r="E14">
        <v>1</v>
      </c>
      <c r="F14">
        <v>1</v>
      </c>
      <c r="G14">
        <v>1</v>
      </c>
      <c r="H14">
        <v>2</v>
      </c>
      <c r="I14" t="s">
        <v>195</v>
      </c>
      <c r="J14" t="s">
        <v>196</v>
      </c>
      <c r="K14" t="s">
        <v>197</v>
      </c>
      <c r="L14">
        <v>1367</v>
      </c>
      <c r="N14">
        <v>1011</v>
      </c>
      <c r="O14" t="s">
        <v>198</v>
      </c>
      <c r="P14" t="s">
        <v>198</v>
      </c>
      <c r="Q14">
        <v>1</v>
      </c>
      <c r="W14">
        <v>0</v>
      </c>
      <c r="X14">
        <v>2073521694</v>
      </c>
      <c r="Y14">
        <v>0.1</v>
      </c>
      <c r="AA14">
        <v>0</v>
      </c>
      <c r="AB14">
        <v>1039.3800000000001</v>
      </c>
      <c r="AC14">
        <v>316.99</v>
      </c>
      <c r="AD14">
        <v>0</v>
      </c>
      <c r="AE14">
        <v>0</v>
      </c>
      <c r="AF14">
        <v>89.99</v>
      </c>
      <c r="AG14">
        <v>10.06</v>
      </c>
      <c r="AH14">
        <v>0</v>
      </c>
      <c r="AI14">
        <v>1</v>
      </c>
      <c r="AJ14">
        <v>11.55</v>
      </c>
      <c r="AK14">
        <v>31.51</v>
      </c>
      <c r="AL14">
        <v>1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0.08</v>
      </c>
      <c r="AU14" t="s">
        <v>21</v>
      </c>
      <c r="AV14">
        <v>0</v>
      </c>
      <c r="AW14">
        <v>2</v>
      </c>
      <c r="AX14">
        <v>46568065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Y14*Source!I29</f>
        <v>2.0000000000000004E-2</v>
      </c>
      <c r="CY14">
        <f>AB14</f>
        <v>1039.3800000000001</v>
      </c>
      <c r="CZ14">
        <f>AF14</f>
        <v>89.99</v>
      </c>
      <c r="DA14">
        <f>AJ14</f>
        <v>11.55</v>
      </c>
      <c r="DB14">
        <f>ROUND((ROUND(AT14*CZ14,2)*1.25),2)</f>
        <v>9</v>
      </c>
      <c r="DC14">
        <f>ROUND((ROUND(AT14*AG14,2)*1.25),2)</f>
        <v>1</v>
      </c>
    </row>
    <row r="15" spans="1:107" x14ac:dyDescent="0.25">
      <c r="A15">
        <f>ROW(Source!A29)</f>
        <v>29</v>
      </c>
      <c r="B15">
        <v>46567972</v>
      </c>
      <c r="C15">
        <v>46568062</v>
      </c>
      <c r="D15">
        <v>44537855</v>
      </c>
      <c r="E15">
        <v>1</v>
      </c>
      <c r="F15">
        <v>1</v>
      </c>
      <c r="G15">
        <v>1</v>
      </c>
      <c r="H15">
        <v>2</v>
      </c>
      <c r="I15" t="s">
        <v>199</v>
      </c>
      <c r="J15" t="s">
        <v>200</v>
      </c>
      <c r="K15" t="s">
        <v>201</v>
      </c>
      <c r="L15">
        <v>1367</v>
      </c>
      <c r="N15">
        <v>1011</v>
      </c>
      <c r="O15" t="s">
        <v>198</v>
      </c>
      <c r="P15" t="s">
        <v>198</v>
      </c>
      <c r="Q15">
        <v>1</v>
      </c>
      <c r="W15">
        <v>0</v>
      </c>
      <c r="X15">
        <v>1098214667</v>
      </c>
      <c r="Y15">
        <v>0.33750000000000002</v>
      </c>
      <c r="AA15">
        <v>0</v>
      </c>
      <c r="AB15">
        <v>361.05</v>
      </c>
      <c r="AC15">
        <v>425.39</v>
      </c>
      <c r="AD15">
        <v>0</v>
      </c>
      <c r="AE15">
        <v>0</v>
      </c>
      <c r="AF15">
        <v>31.26</v>
      </c>
      <c r="AG15">
        <v>13.5</v>
      </c>
      <c r="AH15">
        <v>0</v>
      </c>
      <c r="AI15">
        <v>1</v>
      </c>
      <c r="AJ15">
        <v>11.55</v>
      </c>
      <c r="AK15">
        <v>31.51</v>
      </c>
      <c r="AL15">
        <v>1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0.27</v>
      </c>
      <c r="AU15" t="s">
        <v>21</v>
      </c>
      <c r="AV15">
        <v>0</v>
      </c>
      <c r="AW15">
        <v>2</v>
      </c>
      <c r="AX15">
        <v>46568066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Y15*Source!I29</f>
        <v>6.7500000000000004E-2</v>
      </c>
      <c r="CY15">
        <f>AB15</f>
        <v>361.05</v>
      </c>
      <c r="CZ15">
        <f>AF15</f>
        <v>31.26</v>
      </c>
      <c r="DA15">
        <f>AJ15</f>
        <v>11.55</v>
      </c>
      <c r="DB15">
        <f>ROUND((ROUND(AT15*CZ15,2)*1.25),2)</f>
        <v>10.55</v>
      </c>
      <c r="DC15">
        <f>ROUND((ROUND(AT15*AG15,2)*1.25),2)</f>
        <v>4.5599999999999996</v>
      </c>
    </row>
    <row r="16" spans="1:107" x14ac:dyDescent="0.25">
      <c r="A16">
        <f>ROW(Source!A29)</f>
        <v>29</v>
      </c>
      <c r="B16">
        <v>46567972</v>
      </c>
      <c r="C16">
        <v>46568062</v>
      </c>
      <c r="D16">
        <v>44538010</v>
      </c>
      <c r="E16">
        <v>1</v>
      </c>
      <c r="F16">
        <v>1</v>
      </c>
      <c r="G16">
        <v>1</v>
      </c>
      <c r="H16">
        <v>2</v>
      </c>
      <c r="I16" t="s">
        <v>202</v>
      </c>
      <c r="J16" t="s">
        <v>203</v>
      </c>
      <c r="K16" t="s">
        <v>204</v>
      </c>
      <c r="L16">
        <v>1367</v>
      </c>
      <c r="N16">
        <v>1011</v>
      </c>
      <c r="O16" t="s">
        <v>198</v>
      </c>
      <c r="P16" t="s">
        <v>198</v>
      </c>
      <c r="Q16">
        <v>1</v>
      </c>
      <c r="W16">
        <v>0</v>
      </c>
      <c r="X16">
        <v>999127525</v>
      </c>
      <c r="Y16">
        <v>1.625</v>
      </c>
      <c r="AA16">
        <v>0</v>
      </c>
      <c r="AB16">
        <v>143.1</v>
      </c>
      <c r="AC16">
        <v>316.99</v>
      </c>
      <c r="AD16">
        <v>0</v>
      </c>
      <c r="AE16">
        <v>0</v>
      </c>
      <c r="AF16">
        <v>12.39</v>
      </c>
      <c r="AG16">
        <v>10.06</v>
      </c>
      <c r="AH16">
        <v>0</v>
      </c>
      <c r="AI16">
        <v>1</v>
      </c>
      <c r="AJ16">
        <v>11.55</v>
      </c>
      <c r="AK16">
        <v>31.51</v>
      </c>
      <c r="AL16">
        <v>1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1.3</v>
      </c>
      <c r="AU16" t="s">
        <v>21</v>
      </c>
      <c r="AV16">
        <v>0</v>
      </c>
      <c r="AW16">
        <v>2</v>
      </c>
      <c r="AX16">
        <v>46568067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Y16*Source!I29</f>
        <v>0.32500000000000001</v>
      </c>
      <c r="CY16">
        <f>AB16</f>
        <v>143.1</v>
      </c>
      <c r="CZ16">
        <f>AF16</f>
        <v>12.39</v>
      </c>
      <c r="DA16">
        <f>AJ16</f>
        <v>11.55</v>
      </c>
      <c r="DB16">
        <f>ROUND((ROUND(AT16*CZ16,2)*1.25),2)</f>
        <v>20.14</v>
      </c>
      <c r="DC16">
        <f>ROUND((ROUND(AT16*AG16,2)*1.25),2)</f>
        <v>16.350000000000001</v>
      </c>
    </row>
    <row r="17" spans="1:107" x14ac:dyDescent="0.25">
      <c r="A17">
        <f>ROW(Source!A29)</f>
        <v>29</v>
      </c>
      <c r="B17">
        <v>46567972</v>
      </c>
      <c r="C17">
        <v>46568062</v>
      </c>
      <c r="D17">
        <v>44336161</v>
      </c>
      <c r="E17">
        <v>1</v>
      </c>
      <c r="F17">
        <v>1</v>
      </c>
      <c r="G17">
        <v>1</v>
      </c>
      <c r="H17">
        <v>3</v>
      </c>
      <c r="I17" t="s">
        <v>208</v>
      </c>
      <c r="J17" t="s">
        <v>209</v>
      </c>
      <c r="K17" t="s">
        <v>210</v>
      </c>
      <c r="L17">
        <v>1339</v>
      </c>
      <c r="N17">
        <v>1007</v>
      </c>
      <c r="O17" t="s">
        <v>211</v>
      </c>
      <c r="P17" t="s">
        <v>211</v>
      </c>
      <c r="Q17">
        <v>1</v>
      </c>
      <c r="W17">
        <v>0</v>
      </c>
      <c r="X17">
        <v>929815444</v>
      </c>
      <c r="Y17">
        <v>0</v>
      </c>
      <c r="AA17">
        <v>21.52</v>
      </c>
      <c r="AB17">
        <v>0</v>
      </c>
      <c r="AC17">
        <v>0</v>
      </c>
      <c r="AD17">
        <v>0</v>
      </c>
      <c r="AE17">
        <v>2.44</v>
      </c>
      <c r="AF17">
        <v>0</v>
      </c>
      <c r="AG17">
        <v>0</v>
      </c>
      <c r="AH17">
        <v>0</v>
      </c>
      <c r="AI17">
        <v>8.82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</v>
      </c>
      <c r="AT17">
        <v>8.5000000000000006E-2</v>
      </c>
      <c r="AU17" t="s">
        <v>20</v>
      </c>
      <c r="AV17">
        <v>0</v>
      </c>
      <c r="AW17">
        <v>2</v>
      </c>
      <c r="AX17">
        <v>46568068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Y17*Source!I29</f>
        <v>0</v>
      </c>
      <c r="CY17">
        <f>AA17</f>
        <v>21.52</v>
      </c>
      <c r="CZ17">
        <f>AE17</f>
        <v>2.44</v>
      </c>
      <c r="DA17">
        <f>AI17</f>
        <v>8.82</v>
      </c>
      <c r="DB17">
        <f>ROUND((ROUND(AT17*CZ17,2)*0),2)</f>
        <v>0</v>
      </c>
      <c r="DC17">
        <f>ROUND((ROUND(AT17*AG17,2)*0),2)</f>
        <v>0</v>
      </c>
    </row>
    <row r="18" spans="1:107" x14ac:dyDescent="0.25">
      <c r="A18">
        <f>ROW(Source!A29)</f>
        <v>29</v>
      </c>
      <c r="B18">
        <v>46567972</v>
      </c>
      <c r="C18">
        <v>46568062</v>
      </c>
      <c r="D18">
        <v>44341905</v>
      </c>
      <c r="E18">
        <v>1</v>
      </c>
      <c r="F18">
        <v>1</v>
      </c>
      <c r="G18">
        <v>1</v>
      </c>
      <c r="H18">
        <v>3</v>
      </c>
      <c r="I18" t="s">
        <v>212</v>
      </c>
      <c r="J18" t="s">
        <v>213</v>
      </c>
      <c r="K18" t="s">
        <v>214</v>
      </c>
      <c r="L18">
        <v>1346</v>
      </c>
      <c r="N18">
        <v>1009</v>
      </c>
      <c r="O18" t="s">
        <v>215</v>
      </c>
      <c r="P18" t="s">
        <v>215</v>
      </c>
      <c r="Q18">
        <v>1</v>
      </c>
      <c r="W18">
        <v>0</v>
      </c>
      <c r="X18">
        <v>-1647809537</v>
      </c>
      <c r="Y18">
        <v>0</v>
      </c>
      <c r="AA18">
        <v>16.05</v>
      </c>
      <c r="AB18">
        <v>0</v>
      </c>
      <c r="AC18">
        <v>0</v>
      </c>
      <c r="AD18">
        <v>0</v>
      </c>
      <c r="AE18">
        <v>1.82</v>
      </c>
      <c r="AF18">
        <v>0</v>
      </c>
      <c r="AG18">
        <v>0</v>
      </c>
      <c r="AH18">
        <v>0</v>
      </c>
      <c r="AI18">
        <v>8.82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0.5</v>
      </c>
      <c r="AU18" t="s">
        <v>20</v>
      </c>
      <c r="AV18">
        <v>0</v>
      </c>
      <c r="AW18">
        <v>2</v>
      </c>
      <c r="AX18">
        <v>46568069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Y18*Source!I29</f>
        <v>0</v>
      </c>
      <c r="CY18">
        <f>AA18</f>
        <v>16.05</v>
      </c>
      <c r="CZ18">
        <f>AE18</f>
        <v>1.82</v>
      </c>
      <c r="DA18">
        <f>AI18</f>
        <v>8.82</v>
      </c>
      <c r="DB18">
        <f>ROUND((ROUND(AT18*CZ18,2)*0),2)</f>
        <v>0</v>
      </c>
      <c r="DC18">
        <f>ROUND((ROUND(AT18*AG18,2)*0),2)</f>
        <v>0</v>
      </c>
    </row>
    <row r="19" spans="1:107" x14ac:dyDescent="0.25">
      <c r="A19">
        <f>ROW(Source!A30)</f>
        <v>30</v>
      </c>
      <c r="B19">
        <v>46567972</v>
      </c>
      <c r="C19">
        <v>46568077</v>
      </c>
      <c r="D19">
        <v>44321824</v>
      </c>
      <c r="E19">
        <v>68</v>
      </c>
      <c r="F19">
        <v>1</v>
      </c>
      <c r="G19">
        <v>1</v>
      </c>
      <c r="H19">
        <v>1</v>
      </c>
      <c r="I19" t="s">
        <v>229</v>
      </c>
      <c r="J19" t="s">
        <v>3</v>
      </c>
      <c r="K19" t="s">
        <v>230</v>
      </c>
      <c r="L19">
        <v>1191</v>
      </c>
      <c r="N19">
        <v>1013</v>
      </c>
      <c r="O19" t="s">
        <v>192</v>
      </c>
      <c r="P19" t="s">
        <v>192</v>
      </c>
      <c r="Q19">
        <v>1</v>
      </c>
      <c r="W19">
        <v>0</v>
      </c>
      <c r="X19">
        <v>-2012709214</v>
      </c>
      <c r="Y19">
        <v>186.92099999999999</v>
      </c>
      <c r="AA19">
        <v>0</v>
      </c>
      <c r="AB19">
        <v>0</v>
      </c>
      <c r="AC19">
        <v>0</v>
      </c>
      <c r="AD19">
        <v>296.19</v>
      </c>
      <c r="AE19">
        <v>0</v>
      </c>
      <c r="AF19">
        <v>0</v>
      </c>
      <c r="AG19">
        <v>0</v>
      </c>
      <c r="AH19">
        <v>9.4</v>
      </c>
      <c r="AI19">
        <v>1</v>
      </c>
      <c r="AJ19">
        <v>1</v>
      </c>
      <c r="AK19">
        <v>1</v>
      </c>
      <c r="AL19">
        <v>31.51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108.36</v>
      </c>
      <c r="AU19" t="s">
        <v>22</v>
      </c>
      <c r="AV19">
        <v>1</v>
      </c>
      <c r="AW19">
        <v>2</v>
      </c>
      <c r="AX19">
        <v>46568078</v>
      </c>
      <c r="AY19">
        <v>1</v>
      </c>
      <c r="AZ19">
        <v>0</v>
      </c>
      <c r="BA19">
        <v>22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Y19*Source!I30</f>
        <v>31.77657</v>
      </c>
      <c r="CY19">
        <f>AD19</f>
        <v>296.19</v>
      </c>
      <c r="CZ19">
        <f>AH19</f>
        <v>9.4</v>
      </c>
      <c r="DA19">
        <f>AL19</f>
        <v>31.51</v>
      </c>
      <c r="DB19">
        <f>ROUND((ROUND(AT19*CZ19,2)*1.15*1.5),2)</f>
        <v>1757.05</v>
      </c>
      <c r="DC19">
        <f>ROUND((ROUND(AT19*AG19,2)*1.15*1.5),2)</f>
        <v>0</v>
      </c>
    </row>
    <row r="20" spans="1:107" x14ac:dyDescent="0.25">
      <c r="A20">
        <f>ROW(Source!A30)</f>
        <v>30</v>
      </c>
      <c r="B20">
        <v>46567972</v>
      </c>
      <c r="C20">
        <v>46568077</v>
      </c>
      <c r="D20">
        <v>44322049</v>
      </c>
      <c r="E20">
        <v>68</v>
      </c>
      <c r="F20">
        <v>1</v>
      </c>
      <c r="G20">
        <v>1</v>
      </c>
      <c r="H20">
        <v>1</v>
      </c>
      <c r="I20" t="s">
        <v>193</v>
      </c>
      <c r="J20" t="s">
        <v>3</v>
      </c>
      <c r="K20" t="s">
        <v>194</v>
      </c>
      <c r="L20">
        <v>1191</v>
      </c>
      <c r="N20">
        <v>1013</v>
      </c>
      <c r="O20" t="s">
        <v>192</v>
      </c>
      <c r="P20" t="s">
        <v>192</v>
      </c>
      <c r="Q20">
        <v>1</v>
      </c>
      <c r="W20">
        <v>0</v>
      </c>
      <c r="X20">
        <v>-1417349443</v>
      </c>
      <c r="Y20">
        <v>0.48750000000000004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1</v>
      </c>
      <c r="AJ20">
        <v>1</v>
      </c>
      <c r="AK20">
        <v>31.51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0.39</v>
      </c>
      <c r="AU20" t="s">
        <v>21</v>
      </c>
      <c r="AV20">
        <v>2</v>
      </c>
      <c r="AW20">
        <v>2</v>
      </c>
      <c r="AX20">
        <v>46568079</v>
      </c>
      <c r="AY20">
        <v>1</v>
      </c>
      <c r="AZ20">
        <v>0</v>
      </c>
      <c r="BA20">
        <v>23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Y20*Source!I30</f>
        <v>8.2875000000000018E-2</v>
      </c>
      <c r="CY20">
        <f>AD20</f>
        <v>0</v>
      </c>
      <c r="CZ20">
        <f>AH20</f>
        <v>0</v>
      </c>
      <c r="DA20">
        <f>AL20</f>
        <v>1</v>
      </c>
      <c r="DB20">
        <f>ROUND((ROUND(AT20*CZ20,2)*1.25),2)</f>
        <v>0</v>
      </c>
      <c r="DC20">
        <f>ROUND((ROUND(AT20*AG20,2)*1.25),2)</f>
        <v>0</v>
      </c>
    </row>
    <row r="21" spans="1:107" x14ac:dyDescent="0.25">
      <c r="A21">
        <f>ROW(Source!A30)</f>
        <v>30</v>
      </c>
      <c r="B21">
        <v>46567972</v>
      </c>
      <c r="C21">
        <v>46568077</v>
      </c>
      <c r="D21">
        <v>44537607</v>
      </c>
      <c r="E21">
        <v>1</v>
      </c>
      <c r="F21">
        <v>1</v>
      </c>
      <c r="G21">
        <v>1</v>
      </c>
      <c r="H21">
        <v>2</v>
      </c>
      <c r="I21" t="s">
        <v>231</v>
      </c>
      <c r="J21" t="s">
        <v>232</v>
      </c>
      <c r="K21" t="s">
        <v>233</v>
      </c>
      <c r="L21">
        <v>1367</v>
      </c>
      <c r="N21">
        <v>1011</v>
      </c>
      <c r="O21" t="s">
        <v>198</v>
      </c>
      <c r="P21" t="s">
        <v>198</v>
      </c>
      <c r="Q21">
        <v>1</v>
      </c>
      <c r="W21">
        <v>0</v>
      </c>
      <c r="X21">
        <v>-296520070</v>
      </c>
      <c r="Y21">
        <v>0.3125</v>
      </c>
      <c r="AA21">
        <v>0</v>
      </c>
      <c r="AB21">
        <v>1332.87</v>
      </c>
      <c r="AC21">
        <v>425.39</v>
      </c>
      <c r="AD21">
        <v>0</v>
      </c>
      <c r="AE21">
        <v>0</v>
      </c>
      <c r="AF21">
        <v>115.4</v>
      </c>
      <c r="AG21">
        <v>13.5</v>
      </c>
      <c r="AH21">
        <v>0</v>
      </c>
      <c r="AI21">
        <v>1</v>
      </c>
      <c r="AJ21">
        <v>11.55</v>
      </c>
      <c r="AK21">
        <v>31.51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0.25</v>
      </c>
      <c r="AU21" t="s">
        <v>21</v>
      </c>
      <c r="AV21">
        <v>0</v>
      </c>
      <c r="AW21">
        <v>2</v>
      </c>
      <c r="AX21">
        <v>46568080</v>
      </c>
      <c r="AY21">
        <v>1</v>
      </c>
      <c r="AZ21">
        <v>0</v>
      </c>
      <c r="BA21">
        <v>24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Y21*Source!I30</f>
        <v>5.3125000000000006E-2</v>
      </c>
      <c r="CY21">
        <f>AB21</f>
        <v>1332.87</v>
      </c>
      <c r="CZ21">
        <f>AF21</f>
        <v>115.4</v>
      </c>
      <c r="DA21">
        <f>AJ21</f>
        <v>11.55</v>
      </c>
      <c r="DB21">
        <f>ROUND((ROUND(AT21*CZ21,2)*1.25),2)</f>
        <v>36.06</v>
      </c>
      <c r="DC21">
        <f>ROUND((ROUND(AT21*AG21,2)*1.25),2)</f>
        <v>4.2300000000000004</v>
      </c>
    </row>
    <row r="22" spans="1:107" x14ac:dyDescent="0.25">
      <c r="A22">
        <f>ROW(Source!A30)</f>
        <v>30</v>
      </c>
      <c r="B22">
        <v>46567972</v>
      </c>
      <c r="C22">
        <v>46568077</v>
      </c>
      <c r="D22">
        <v>44537774</v>
      </c>
      <c r="E22">
        <v>1</v>
      </c>
      <c r="F22">
        <v>1</v>
      </c>
      <c r="G22">
        <v>1</v>
      </c>
      <c r="H22">
        <v>2</v>
      </c>
      <c r="I22" t="s">
        <v>234</v>
      </c>
      <c r="J22" t="s">
        <v>235</v>
      </c>
      <c r="K22" t="s">
        <v>236</v>
      </c>
      <c r="L22">
        <v>1367</v>
      </c>
      <c r="N22">
        <v>1011</v>
      </c>
      <c r="O22" t="s">
        <v>198</v>
      </c>
      <c r="P22" t="s">
        <v>198</v>
      </c>
      <c r="Q22">
        <v>1</v>
      </c>
      <c r="W22">
        <v>0</v>
      </c>
      <c r="X22">
        <v>-516803300</v>
      </c>
      <c r="Y22">
        <v>20.25</v>
      </c>
      <c r="AA22">
        <v>0</v>
      </c>
      <c r="AB22">
        <v>79.7</v>
      </c>
      <c r="AC22">
        <v>0</v>
      </c>
      <c r="AD22">
        <v>0</v>
      </c>
      <c r="AE22">
        <v>0</v>
      </c>
      <c r="AF22">
        <v>6.9</v>
      </c>
      <c r="AG22">
        <v>0</v>
      </c>
      <c r="AH22">
        <v>0</v>
      </c>
      <c r="AI22">
        <v>1</v>
      </c>
      <c r="AJ22">
        <v>11.55</v>
      </c>
      <c r="AK22">
        <v>31.51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16.2</v>
      </c>
      <c r="AU22" t="s">
        <v>21</v>
      </c>
      <c r="AV22">
        <v>0</v>
      </c>
      <c r="AW22">
        <v>2</v>
      </c>
      <c r="AX22">
        <v>46568081</v>
      </c>
      <c r="AY22">
        <v>1</v>
      </c>
      <c r="AZ22">
        <v>0</v>
      </c>
      <c r="BA22">
        <v>25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Y22*Source!I30</f>
        <v>3.4425000000000003</v>
      </c>
      <c r="CY22">
        <f>AB22</f>
        <v>79.7</v>
      </c>
      <c r="CZ22">
        <f>AF22</f>
        <v>6.9</v>
      </c>
      <c r="DA22">
        <f>AJ22</f>
        <v>11.55</v>
      </c>
      <c r="DB22">
        <f>ROUND((ROUND(AT22*CZ22,2)*1.25),2)</f>
        <v>139.72999999999999</v>
      </c>
      <c r="DC22">
        <f>ROUND((ROUND(AT22*AG22,2)*1.25),2)</f>
        <v>0</v>
      </c>
    </row>
    <row r="23" spans="1:107" x14ac:dyDescent="0.25">
      <c r="A23">
        <f>ROW(Source!A30)</f>
        <v>30</v>
      </c>
      <c r="B23">
        <v>46567972</v>
      </c>
      <c r="C23">
        <v>46568077</v>
      </c>
      <c r="D23">
        <v>44538839</v>
      </c>
      <c r="E23">
        <v>1</v>
      </c>
      <c r="F23">
        <v>1</v>
      </c>
      <c r="G23">
        <v>1</v>
      </c>
      <c r="H23">
        <v>2</v>
      </c>
      <c r="I23" t="s">
        <v>205</v>
      </c>
      <c r="J23" t="s">
        <v>206</v>
      </c>
      <c r="K23" t="s">
        <v>207</v>
      </c>
      <c r="L23">
        <v>1367</v>
      </c>
      <c r="N23">
        <v>1011</v>
      </c>
      <c r="O23" t="s">
        <v>198</v>
      </c>
      <c r="P23" t="s">
        <v>198</v>
      </c>
      <c r="Q23">
        <v>1</v>
      </c>
      <c r="W23">
        <v>0</v>
      </c>
      <c r="X23">
        <v>2001246382</v>
      </c>
      <c r="Y23">
        <v>0.17500000000000002</v>
      </c>
      <c r="AA23">
        <v>0</v>
      </c>
      <c r="AB23">
        <v>758.95</v>
      </c>
      <c r="AC23">
        <v>365.52</v>
      </c>
      <c r="AD23">
        <v>0</v>
      </c>
      <c r="AE23">
        <v>0</v>
      </c>
      <c r="AF23">
        <v>65.709999999999994</v>
      </c>
      <c r="AG23">
        <v>11.6</v>
      </c>
      <c r="AH23">
        <v>0</v>
      </c>
      <c r="AI23">
        <v>1</v>
      </c>
      <c r="AJ23">
        <v>11.55</v>
      </c>
      <c r="AK23">
        <v>31.51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0.14000000000000001</v>
      </c>
      <c r="AU23" t="s">
        <v>21</v>
      </c>
      <c r="AV23">
        <v>0</v>
      </c>
      <c r="AW23">
        <v>2</v>
      </c>
      <c r="AX23">
        <v>46568082</v>
      </c>
      <c r="AY23">
        <v>1</v>
      </c>
      <c r="AZ23">
        <v>0</v>
      </c>
      <c r="BA23">
        <v>26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Y23*Source!I30</f>
        <v>2.9750000000000006E-2</v>
      </c>
      <c r="CY23">
        <f>AB23</f>
        <v>758.95</v>
      </c>
      <c r="CZ23">
        <f>AF23</f>
        <v>65.709999999999994</v>
      </c>
      <c r="DA23">
        <f>AJ23</f>
        <v>11.55</v>
      </c>
      <c r="DB23">
        <f>ROUND((ROUND(AT23*CZ23,2)*1.25),2)</f>
        <v>11.5</v>
      </c>
      <c r="DC23">
        <f>ROUND((ROUND(AT23*AG23,2)*1.25),2)</f>
        <v>2.0299999999999998</v>
      </c>
    </row>
    <row r="24" spans="1:107" x14ac:dyDescent="0.25">
      <c r="A24">
        <f>ROW(Source!A30)</f>
        <v>30</v>
      </c>
      <c r="B24">
        <v>46567972</v>
      </c>
      <c r="C24">
        <v>46568077</v>
      </c>
      <c r="D24">
        <v>44372237</v>
      </c>
      <c r="E24">
        <v>1</v>
      </c>
      <c r="F24">
        <v>1</v>
      </c>
      <c r="G24">
        <v>1</v>
      </c>
      <c r="H24">
        <v>3</v>
      </c>
      <c r="I24" t="s">
        <v>237</v>
      </c>
      <c r="J24" t="s">
        <v>238</v>
      </c>
      <c r="K24" t="s">
        <v>239</v>
      </c>
      <c r="L24">
        <v>1301</v>
      </c>
      <c r="N24">
        <v>1003</v>
      </c>
      <c r="O24" t="s">
        <v>240</v>
      </c>
      <c r="P24" t="s">
        <v>240</v>
      </c>
      <c r="Q24">
        <v>1</v>
      </c>
      <c r="W24">
        <v>0</v>
      </c>
      <c r="X24">
        <v>1105269143</v>
      </c>
      <c r="Y24">
        <v>0</v>
      </c>
      <c r="AA24">
        <v>180.55</v>
      </c>
      <c r="AB24">
        <v>0</v>
      </c>
      <c r="AC24">
        <v>0</v>
      </c>
      <c r="AD24">
        <v>0</v>
      </c>
      <c r="AE24">
        <v>20.47</v>
      </c>
      <c r="AF24">
        <v>0</v>
      </c>
      <c r="AG24">
        <v>0</v>
      </c>
      <c r="AH24">
        <v>0</v>
      </c>
      <c r="AI24">
        <v>8.82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100</v>
      </c>
      <c r="AU24" t="s">
        <v>20</v>
      </c>
      <c r="AV24">
        <v>0</v>
      </c>
      <c r="AW24">
        <v>2</v>
      </c>
      <c r="AX24">
        <v>46568083</v>
      </c>
      <c r="AY24">
        <v>1</v>
      </c>
      <c r="AZ24">
        <v>0</v>
      </c>
      <c r="BA24">
        <v>27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Y24*Source!I30</f>
        <v>0</v>
      </c>
      <c r="CY24">
        <f>AA24</f>
        <v>180.55</v>
      </c>
      <c r="CZ24">
        <f>AE24</f>
        <v>20.47</v>
      </c>
      <c r="DA24">
        <f>AI24</f>
        <v>8.82</v>
      </c>
      <c r="DB24">
        <f>ROUND((ROUND(AT24*CZ24,2)*0),2)</f>
        <v>0</v>
      </c>
      <c r="DC24">
        <f>ROUND((ROUND(AT24*AG24,2)*0),2)</f>
        <v>0</v>
      </c>
    </row>
    <row r="25" spans="1:107" x14ac:dyDescent="0.25">
      <c r="A25">
        <f>ROW(Source!A30)</f>
        <v>30</v>
      </c>
      <c r="B25">
        <v>46567972</v>
      </c>
      <c r="C25">
        <v>46568077</v>
      </c>
      <c r="D25">
        <v>44372244</v>
      </c>
      <c r="E25">
        <v>1</v>
      </c>
      <c r="F25">
        <v>1</v>
      </c>
      <c r="G25">
        <v>1</v>
      </c>
      <c r="H25">
        <v>3</v>
      </c>
      <c r="I25" t="s">
        <v>241</v>
      </c>
      <c r="J25" t="s">
        <v>242</v>
      </c>
      <c r="K25" t="s">
        <v>243</v>
      </c>
      <c r="L25">
        <v>1425</v>
      </c>
      <c r="N25">
        <v>1013</v>
      </c>
      <c r="O25" t="s">
        <v>244</v>
      </c>
      <c r="P25" t="s">
        <v>244</v>
      </c>
      <c r="Q25">
        <v>1</v>
      </c>
      <c r="W25">
        <v>0</v>
      </c>
      <c r="X25">
        <v>1791749907</v>
      </c>
      <c r="Y25">
        <v>0</v>
      </c>
      <c r="AA25">
        <v>3228.12</v>
      </c>
      <c r="AB25">
        <v>0</v>
      </c>
      <c r="AC25">
        <v>0</v>
      </c>
      <c r="AD25">
        <v>0</v>
      </c>
      <c r="AE25">
        <v>366</v>
      </c>
      <c r="AF25">
        <v>0</v>
      </c>
      <c r="AG25">
        <v>0</v>
      </c>
      <c r="AH25">
        <v>0</v>
      </c>
      <c r="AI25">
        <v>8.82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0.7</v>
      </c>
      <c r="AU25" t="s">
        <v>20</v>
      </c>
      <c r="AV25">
        <v>0</v>
      </c>
      <c r="AW25">
        <v>2</v>
      </c>
      <c r="AX25">
        <v>46568084</v>
      </c>
      <c r="AY25">
        <v>1</v>
      </c>
      <c r="AZ25">
        <v>0</v>
      </c>
      <c r="BA25">
        <v>28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Y25*Source!I30</f>
        <v>0</v>
      </c>
      <c r="CY25">
        <f>AA25</f>
        <v>3228.12</v>
      </c>
      <c r="CZ25">
        <f>AE25</f>
        <v>366</v>
      </c>
      <c r="DA25">
        <f>AI25</f>
        <v>8.82</v>
      </c>
      <c r="DB25">
        <f>ROUND((ROUND(AT25*CZ25,2)*0),2)</f>
        <v>0</v>
      </c>
      <c r="DC25">
        <f>ROUND((ROUND(AT25*AG25,2)*0),2)</f>
        <v>0</v>
      </c>
    </row>
    <row r="26" spans="1:107" x14ac:dyDescent="0.25">
      <c r="A26">
        <f>ROW(Source!A30)</f>
        <v>30</v>
      </c>
      <c r="B26">
        <v>46567972</v>
      </c>
      <c r="C26">
        <v>46568077</v>
      </c>
      <c r="D26">
        <v>44373261</v>
      </c>
      <c r="E26">
        <v>1</v>
      </c>
      <c r="F26">
        <v>1</v>
      </c>
      <c r="G26">
        <v>1</v>
      </c>
      <c r="H26">
        <v>3</v>
      </c>
      <c r="I26" t="s">
        <v>245</v>
      </c>
      <c r="J26" t="s">
        <v>246</v>
      </c>
      <c r="K26" t="s">
        <v>247</v>
      </c>
      <c r="L26">
        <v>1301</v>
      </c>
      <c r="N26">
        <v>1003</v>
      </c>
      <c r="O26" t="s">
        <v>240</v>
      </c>
      <c r="P26" t="s">
        <v>240</v>
      </c>
      <c r="Q26">
        <v>1</v>
      </c>
      <c r="W26">
        <v>0</v>
      </c>
      <c r="X26">
        <v>542205199</v>
      </c>
      <c r="Y26">
        <v>0</v>
      </c>
      <c r="AA26">
        <v>217.94</v>
      </c>
      <c r="AB26">
        <v>0</v>
      </c>
      <c r="AC26">
        <v>0</v>
      </c>
      <c r="AD26">
        <v>0</v>
      </c>
      <c r="AE26">
        <v>24.71</v>
      </c>
      <c r="AF26">
        <v>0</v>
      </c>
      <c r="AG26">
        <v>0</v>
      </c>
      <c r="AH26">
        <v>0</v>
      </c>
      <c r="AI26">
        <v>8.82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1050</v>
      </c>
      <c r="AU26" t="s">
        <v>20</v>
      </c>
      <c r="AV26">
        <v>0</v>
      </c>
      <c r="AW26">
        <v>2</v>
      </c>
      <c r="AX26">
        <v>46568086</v>
      </c>
      <c r="AY26">
        <v>1</v>
      </c>
      <c r="AZ26">
        <v>0</v>
      </c>
      <c r="BA26">
        <v>30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Y26*Source!I30</f>
        <v>0</v>
      </c>
      <c r="CY26">
        <f>AA26</f>
        <v>217.94</v>
      </c>
      <c r="CZ26">
        <f>AE26</f>
        <v>24.71</v>
      </c>
      <c r="DA26">
        <f>AI26</f>
        <v>8.82</v>
      </c>
      <c r="DB26">
        <f>ROUND((ROUND(AT26*CZ26,2)*0),2)</f>
        <v>0</v>
      </c>
      <c r="DC26">
        <f>ROUND((ROUND(AT26*AG26,2)*0),2)</f>
        <v>0</v>
      </c>
    </row>
    <row r="27" spans="1:107" x14ac:dyDescent="0.25">
      <c r="A27">
        <f>ROW(Source!A31)</f>
        <v>31</v>
      </c>
      <c r="B27">
        <v>46567972</v>
      </c>
      <c r="C27">
        <v>46568089</v>
      </c>
      <c r="D27">
        <v>44321779</v>
      </c>
      <c r="E27">
        <v>68</v>
      </c>
      <c r="F27">
        <v>1</v>
      </c>
      <c r="G27">
        <v>1</v>
      </c>
      <c r="H27">
        <v>1</v>
      </c>
      <c r="I27" t="s">
        <v>248</v>
      </c>
      <c r="J27" t="s">
        <v>3</v>
      </c>
      <c r="K27" t="s">
        <v>249</v>
      </c>
      <c r="L27">
        <v>1191</v>
      </c>
      <c r="N27">
        <v>1013</v>
      </c>
      <c r="O27" t="s">
        <v>192</v>
      </c>
      <c r="P27" t="s">
        <v>192</v>
      </c>
      <c r="Q27">
        <v>1</v>
      </c>
      <c r="W27">
        <v>0</v>
      </c>
      <c r="X27">
        <v>1049124552</v>
      </c>
      <c r="Y27">
        <v>74.727000000000004</v>
      </c>
      <c r="AA27">
        <v>0</v>
      </c>
      <c r="AB27">
        <v>0</v>
      </c>
      <c r="AC27">
        <v>0</v>
      </c>
      <c r="AD27">
        <v>268.77999999999997</v>
      </c>
      <c r="AE27">
        <v>0</v>
      </c>
      <c r="AF27">
        <v>0</v>
      </c>
      <c r="AG27">
        <v>0</v>
      </c>
      <c r="AH27">
        <v>8.5299999999999994</v>
      </c>
      <c r="AI27">
        <v>1</v>
      </c>
      <c r="AJ27">
        <v>1</v>
      </c>
      <c r="AK27">
        <v>1</v>
      </c>
      <c r="AL27">
        <v>31.51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</v>
      </c>
      <c r="AT27">
        <v>32.49</v>
      </c>
      <c r="AU27" t="s">
        <v>45</v>
      </c>
      <c r="AV27">
        <v>1</v>
      </c>
      <c r="AW27">
        <v>2</v>
      </c>
      <c r="AX27">
        <v>46568090</v>
      </c>
      <c r="AY27">
        <v>1</v>
      </c>
      <c r="AZ27">
        <v>0</v>
      </c>
      <c r="BA27">
        <v>31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Y27*Source!I31</f>
        <v>6.7254300000000002</v>
      </c>
      <c r="CY27">
        <f>AD27</f>
        <v>268.77999999999997</v>
      </c>
      <c r="CZ27">
        <f>AH27</f>
        <v>8.5299999999999994</v>
      </c>
      <c r="DA27">
        <f>AL27</f>
        <v>31.51</v>
      </c>
      <c r="DB27">
        <f>ROUND((ROUND(AT27*CZ27,2)*1.15*2),2)</f>
        <v>637.41999999999996</v>
      </c>
      <c r="DC27">
        <f>ROUND((ROUND(AT27*AG27,2)*1.15*2),2)</f>
        <v>0</v>
      </c>
    </row>
    <row r="28" spans="1:107" x14ac:dyDescent="0.25">
      <c r="A28">
        <f>ROW(Source!A31)</f>
        <v>31</v>
      </c>
      <c r="B28">
        <v>46567972</v>
      </c>
      <c r="C28">
        <v>46568089</v>
      </c>
      <c r="D28">
        <v>44322049</v>
      </c>
      <c r="E28">
        <v>68</v>
      </c>
      <c r="F28">
        <v>1</v>
      </c>
      <c r="G28">
        <v>1</v>
      </c>
      <c r="H28">
        <v>1</v>
      </c>
      <c r="I28" t="s">
        <v>193</v>
      </c>
      <c r="J28" t="s">
        <v>3</v>
      </c>
      <c r="K28" t="s">
        <v>194</v>
      </c>
      <c r="L28">
        <v>1191</v>
      </c>
      <c r="N28">
        <v>1013</v>
      </c>
      <c r="O28" t="s">
        <v>192</v>
      </c>
      <c r="P28" t="s">
        <v>192</v>
      </c>
      <c r="Q28">
        <v>1</v>
      </c>
      <c r="W28">
        <v>0</v>
      </c>
      <c r="X28">
        <v>-1417349443</v>
      </c>
      <c r="Y28">
        <v>1.1625000000000001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31.51</v>
      </c>
      <c r="AL28">
        <v>1</v>
      </c>
      <c r="AN28">
        <v>0</v>
      </c>
      <c r="AO28">
        <v>1</v>
      </c>
      <c r="AP28">
        <v>1</v>
      </c>
      <c r="AQ28">
        <v>0</v>
      </c>
      <c r="AR28">
        <v>0</v>
      </c>
      <c r="AS28" t="s">
        <v>3</v>
      </c>
      <c r="AT28">
        <v>0.93</v>
      </c>
      <c r="AU28" t="s">
        <v>21</v>
      </c>
      <c r="AV28">
        <v>2</v>
      </c>
      <c r="AW28">
        <v>2</v>
      </c>
      <c r="AX28">
        <v>46568091</v>
      </c>
      <c r="AY28">
        <v>1</v>
      </c>
      <c r="AZ28">
        <v>0</v>
      </c>
      <c r="BA28">
        <v>32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Y28*Source!I31</f>
        <v>0.10462500000000001</v>
      </c>
      <c r="CY28">
        <f>AD28</f>
        <v>0</v>
      </c>
      <c r="CZ28">
        <f>AH28</f>
        <v>0</v>
      </c>
      <c r="DA28">
        <f>AL28</f>
        <v>1</v>
      </c>
      <c r="DB28">
        <f>ROUND((ROUND(AT28*CZ28,2)*1.25),2)</f>
        <v>0</v>
      </c>
      <c r="DC28">
        <f>ROUND((ROUND(AT28*AG28,2)*1.25),2)</f>
        <v>0</v>
      </c>
    </row>
    <row r="29" spans="1:107" x14ac:dyDescent="0.25">
      <c r="A29">
        <f>ROW(Source!A31)</f>
        <v>31</v>
      </c>
      <c r="B29">
        <v>46567972</v>
      </c>
      <c r="C29">
        <v>46568089</v>
      </c>
      <c r="D29">
        <v>44537801</v>
      </c>
      <c r="E29">
        <v>1</v>
      </c>
      <c r="F29">
        <v>1</v>
      </c>
      <c r="G29">
        <v>1</v>
      </c>
      <c r="H29">
        <v>2</v>
      </c>
      <c r="I29" t="s">
        <v>195</v>
      </c>
      <c r="J29" t="s">
        <v>196</v>
      </c>
      <c r="K29" t="s">
        <v>197</v>
      </c>
      <c r="L29">
        <v>1367</v>
      </c>
      <c r="N29">
        <v>1011</v>
      </c>
      <c r="O29" t="s">
        <v>198</v>
      </c>
      <c r="P29" t="s">
        <v>198</v>
      </c>
      <c r="Q29">
        <v>1</v>
      </c>
      <c r="W29">
        <v>0</v>
      </c>
      <c r="X29">
        <v>2073521694</v>
      </c>
      <c r="Y29">
        <v>2.5000000000000001E-2</v>
      </c>
      <c r="AA29">
        <v>0</v>
      </c>
      <c r="AB29">
        <v>1039.3800000000001</v>
      </c>
      <c r="AC29">
        <v>316.99</v>
      </c>
      <c r="AD29">
        <v>0</v>
      </c>
      <c r="AE29">
        <v>0</v>
      </c>
      <c r="AF29">
        <v>89.99</v>
      </c>
      <c r="AG29">
        <v>10.06</v>
      </c>
      <c r="AH29">
        <v>0</v>
      </c>
      <c r="AI29">
        <v>1</v>
      </c>
      <c r="AJ29">
        <v>11.55</v>
      </c>
      <c r="AK29">
        <v>31.51</v>
      </c>
      <c r="AL29">
        <v>1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0.02</v>
      </c>
      <c r="AU29" t="s">
        <v>21</v>
      </c>
      <c r="AV29">
        <v>0</v>
      </c>
      <c r="AW29">
        <v>2</v>
      </c>
      <c r="AX29">
        <v>46568092</v>
      </c>
      <c r="AY29">
        <v>1</v>
      </c>
      <c r="AZ29">
        <v>0</v>
      </c>
      <c r="BA29">
        <v>33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Y29*Source!I31</f>
        <v>2.2499999999999998E-3</v>
      </c>
      <c r="CY29">
        <f>AB29</f>
        <v>1039.3800000000001</v>
      </c>
      <c r="CZ29">
        <f>AF29</f>
        <v>89.99</v>
      </c>
      <c r="DA29">
        <f>AJ29</f>
        <v>11.55</v>
      </c>
      <c r="DB29">
        <f>ROUND((ROUND(AT29*CZ29,2)*1.25),2)</f>
        <v>2.25</v>
      </c>
      <c r="DC29">
        <f>ROUND((ROUND(AT29*AG29,2)*1.25),2)</f>
        <v>0.25</v>
      </c>
    </row>
    <row r="30" spans="1:107" x14ac:dyDescent="0.25">
      <c r="A30">
        <f>ROW(Source!A31)</f>
        <v>31</v>
      </c>
      <c r="B30">
        <v>46567972</v>
      </c>
      <c r="C30">
        <v>46568089</v>
      </c>
      <c r="D30">
        <v>44537855</v>
      </c>
      <c r="E30">
        <v>1</v>
      </c>
      <c r="F30">
        <v>1</v>
      </c>
      <c r="G30">
        <v>1</v>
      </c>
      <c r="H30">
        <v>2</v>
      </c>
      <c r="I30" t="s">
        <v>199</v>
      </c>
      <c r="J30" t="s">
        <v>200</v>
      </c>
      <c r="K30" t="s">
        <v>201</v>
      </c>
      <c r="L30">
        <v>1367</v>
      </c>
      <c r="N30">
        <v>1011</v>
      </c>
      <c r="O30" t="s">
        <v>198</v>
      </c>
      <c r="P30" t="s">
        <v>198</v>
      </c>
      <c r="Q30">
        <v>1</v>
      </c>
      <c r="W30">
        <v>0</v>
      </c>
      <c r="X30">
        <v>1098214667</v>
      </c>
      <c r="Y30">
        <v>0.26250000000000001</v>
      </c>
      <c r="AA30">
        <v>0</v>
      </c>
      <c r="AB30">
        <v>361.05</v>
      </c>
      <c r="AC30">
        <v>425.39</v>
      </c>
      <c r="AD30">
        <v>0</v>
      </c>
      <c r="AE30">
        <v>0</v>
      </c>
      <c r="AF30">
        <v>31.26</v>
      </c>
      <c r="AG30">
        <v>13.5</v>
      </c>
      <c r="AH30">
        <v>0</v>
      </c>
      <c r="AI30">
        <v>1</v>
      </c>
      <c r="AJ30">
        <v>11.55</v>
      </c>
      <c r="AK30">
        <v>31.51</v>
      </c>
      <c r="AL30">
        <v>1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0.21</v>
      </c>
      <c r="AU30" t="s">
        <v>21</v>
      </c>
      <c r="AV30">
        <v>0</v>
      </c>
      <c r="AW30">
        <v>2</v>
      </c>
      <c r="AX30">
        <v>46568093</v>
      </c>
      <c r="AY30">
        <v>1</v>
      </c>
      <c r="AZ30">
        <v>0</v>
      </c>
      <c r="BA30">
        <v>34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Y30*Source!I31</f>
        <v>2.3625E-2</v>
      </c>
      <c r="CY30">
        <f>AB30</f>
        <v>361.05</v>
      </c>
      <c r="CZ30">
        <f>AF30</f>
        <v>31.26</v>
      </c>
      <c r="DA30">
        <f>AJ30</f>
        <v>11.55</v>
      </c>
      <c r="DB30">
        <f>ROUND((ROUND(AT30*CZ30,2)*1.25),2)</f>
        <v>8.1999999999999993</v>
      </c>
      <c r="DC30">
        <f>ROUND((ROUND(AT30*AG30,2)*1.25),2)</f>
        <v>3.55</v>
      </c>
    </row>
    <row r="31" spans="1:107" x14ac:dyDescent="0.25">
      <c r="A31">
        <f>ROW(Source!A31)</f>
        <v>31</v>
      </c>
      <c r="B31">
        <v>46567972</v>
      </c>
      <c r="C31">
        <v>46568089</v>
      </c>
      <c r="D31">
        <v>44538010</v>
      </c>
      <c r="E31">
        <v>1</v>
      </c>
      <c r="F31">
        <v>1</v>
      </c>
      <c r="G31">
        <v>1</v>
      </c>
      <c r="H31">
        <v>2</v>
      </c>
      <c r="I31" t="s">
        <v>202</v>
      </c>
      <c r="J31" t="s">
        <v>203</v>
      </c>
      <c r="K31" t="s">
        <v>204</v>
      </c>
      <c r="L31">
        <v>1367</v>
      </c>
      <c r="N31">
        <v>1011</v>
      </c>
      <c r="O31" t="s">
        <v>198</v>
      </c>
      <c r="P31" t="s">
        <v>198</v>
      </c>
      <c r="Q31">
        <v>1</v>
      </c>
      <c r="W31">
        <v>0</v>
      </c>
      <c r="X31">
        <v>999127525</v>
      </c>
      <c r="Y31">
        <v>0.875</v>
      </c>
      <c r="AA31">
        <v>0</v>
      </c>
      <c r="AB31">
        <v>143.1</v>
      </c>
      <c r="AC31">
        <v>316.99</v>
      </c>
      <c r="AD31">
        <v>0</v>
      </c>
      <c r="AE31">
        <v>0</v>
      </c>
      <c r="AF31">
        <v>12.39</v>
      </c>
      <c r="AG31">
        <v>10.06</v>
      </c>
      <c r="AH31">
        <v>0</v>
      </c>
      <c r="AI31">
        <v>1</v>
      </c>
      <c r="AJ31">
        <v>11.55</v>
      </c>
      <c r="AK31">
        <v>31.51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0.7</v>
      </c>
      <c r="AU31" t="s">
        <v>21</v>
      </c>
      <c r="AV31">
        <v>0</v>
      </c>
      <c r="AW31">
        <v>2</v>
      </c>
      <c r="AX31">
        <v>46568094</v>
      </c>
      <c r="AY31">
        <v>1</v>
      </c>
      <c r="AZ31">
        <v>0</v>
      </c>
      <c r="BA31">
        <v>35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Y31*Source!I31</f>
        <v>7.8750000000000001E-2</v>
      </c>
      <c r="CY31">
        <f>AB31</f>
        <v>143.1</v>
      </c>
      <c r="CZ31">
        <f>AF31</f>
        <v>12.39</v>
      </c>
      <c r="DA31">
        <f>AJ31</f>
        <v>11.55</v>
      </c>
      <c r="DB31">
        <f>ROUND((ROUND(AT31*CZ31,2)*1.25),2)</f>
        <v>10.84</v>
      </c>
      <c r="DC31">
        <f>ROUND((ROUND(AT31*AG31,2)*1.25),2)</f>
        <v>8.8000000000000007</v>
      </c>
    </row>
    <row r="32" spans="1:107" x14ac:dyDescent="0.25">
      <c r="A32">
        <f>ROW(Source!A31)</f>
        <v>31</v>
      </c>
      <c r="B32">
        <v>46567972</v>
      </c>
      <c r="C32">
        <v>46568089</v>
      </c>
      <c r="D32">
        <v>44336161</v>
      </c>
      <c r="E32">
        <v>1</v>
      </c>
      <c r="F32">
        <v>1</v>
      </c>
      <c r="G32">
        <v>1</v>
      </c>
      <c r="H32">
        <v>3</v>
      </c>
      <c r="I32" t="s">
        <v>208</v>
      </c>
      <c r="J32" t="s">
        <v>209</v>
      </c>
      <c r="K32" t="s">
        <v>210</v>
      </c>
      <c r="L32">
        <v>1339</v>
      </c>
      <c r="N32">
        <v>1007</v>
      </c>
      <c r="O32" t="s">
        <v>211</v>
      </c>
      <c r="P32" t="s">
        <v>211</v>
      </c>
      <c r="Q32">
        <v>1</v>
      </c>
      <c r="W32">
        <v>0</v>
      </c>
      <c r="X32">
        <v>929815444</v>
      </c>
      <c r="Y32">
        <v>0</v>
      </c>
      <c r="AA32">
        <v>21.52</v>
      </c>
      <c r="AB32">
        <v>0</v>
      </c>
      <c r="AC32">
        <v>0</v>
      </c>
      <c r="AD32">
        <v>0</v>
      </c>
      <c r="AE32">
        <v>2.44</v>
      </c>
      <c r="AF32">
        <v>0</v>
      </c>
      <c r="AG32">
        <v>0</v>
      </c>
      <c r="AH32">
        <v>0</v>
      </c>
      <c r="AI32">
        <v>8.82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0.51</v>
      </c>
      <c r="AU32" t="s">
        <v>20</v>
      </c>
      <c r="AV32">
        <v>0</v>
      </c>
      <c r="AW32">
        <v>2</v>
      </c>
      <c r="AX32">
        <v>46568095</v>
      </c>
      <c r="AY32">
        <v>1</v>
      </c>
      <c r="AZ32">
        <v>0</v>
      </c>
      <c r="BA32">
        <v>36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Y32*Source!I31</f>
        <v>0</v>
      </c>
      <c r="CY32">
        <f>AA32</f>
        <v>21.52</v>
      </c>
      <c r="CZ32">
        <f>AE32</f>
        <v>2.44</v>
      </c>
      <c r="DA32">
        <f>AI32</f>
        <v>8.82</v>
      </c>
      <c r="DB32">
        <f>ROUND((ROUND(AT32*CZ32,2)*0),2)</f>
        <v>0</v>
      </c>
      <c r="DC32">
        <f>ROUND((ROUND(AT32*AG32,2)*0),2)</f>
        <v>0</v>
      </c>
    </row>
    <row r="33" spans="1:107" x14ac:dyDescent="0.25">
      <c r="A33">
        <f>ROW(Source!A32)</f>
        <v>32</v>
      </c>
      <c r="B33">
        <v>46567972</v>
      </c>
      <c r="C33">
        <v>46568101</v>
      </c>
      <c r="D33">
        <v>44321792</v>
      </c>
      <c r="E33">
        <v>68</v>
      </c>
      <c r="F33">
        <v>1</v>
      </c>
      <c r="G33">
        <v>1</v>
      </c>
      <c r="H33">
        <v>1</v>
      </c>
      <c r="I33" t="s">
        <v>250</v>
      </c>
      <c r="J33" t="s">
        <v>3</v>
      </c>
      <c r="K33" t="s">
        <v>251</v>
      </c>
      <c r="L33">
        <v>1191</v>
      </c>
      <c r="N33">
        <v>1013</v>
      </c>
      <c r="O33" t="s">
        <v>192</v>
      </c>
      <c r="P33" t="s">
        <v>192</v>
      </c>
      <c r="Q33">
        <v>1</v>
      </c>
      <c r="W33">
        <v>0</v>
      </c>
      <c r="X33">
        <v>-112797078</v>
      </c>
      <c r="Y33">
        <v>89.699999999999989</v>
      </c>
      <c r="AA33">
        <v>0</v>
      </c>
      <c r="AB33">
        <v>0</v>
      </c>
      <c r="AC33">
        <v>0</v>
      </c>
      <c r="AD33">
        <v>282.64</v>
      </c>
      <c r="AE33">
        <v>0</v>
      </c>
      <c r="AF33">
        <v>0</v>
      </c>
      <c r="AG33">
        <v>0</v>
      </c>
      <c r="AH33">
        <v>8.9700000000000006</v>
      </c>
      <c r="AI33">
        <v>1</v>
      </c>
      <c r="AJ33">
        <v>1</v>
      </c>
      <c r="AK33">
        <v>1</v>
      </c>
      <c r="AL33">
        <v>31.51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39</v>
      </c>
      <c r="AU33" t="s">
        <v>45</v>
      </c>
      <c r="AV33">
        <v>1</v>
      </c>
      <c r="AW33">
        <v>2</v>
      </c>
      <c r="AX33">
        <v>46568102</v>
      </c>
      <c r="AY33">
        <v>1</v>
      </c>
      <c r="AZ33">
        <v>0</v>
      </c>
      <c r="BA33">
        <v>39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Y33*Source!I32</f>
        <v>8.0729999999999986</v>
      </c>
      <c r="CY33">
        <f>AD33</f>
        <v>282.64</v>
      </c>
      <c r="CZ33">
        <f>AH33</f>
        <v>8.9700000000000006</v>
      </c>
      <c r="DA33">
        <f>AL33</f>
        <v>31.51</v>
      </c>
      <c r="DB33">
        <f>ROUND((ROUND(AT33*CZ33,2)*1.15*2),2)</f>
        <v>804.61</v>
      </c>
      <c r="DC33">
        <f>ROUND((ROUND(AT33*AG33,2)*1.15*2),2)</f>
        <v>0</v>
      </c>
    </row>
    <row r="34" spans="1:107" x14ac:dyDescent="0.25">
      <c r="A34">
        <f>ROW(Source!A32)</f>
        <v>32</v>
      </c>
      <c r="B34">
        <v>46567972</v>
      </c>
      <c r="C34">
        <v>46568101</v>
      </c>
      <c r="D34">
        <v>44322049</v>
      </c>
      <c r="E34">
        <v>68</v>
      </c>
      <c r="F34">
        <v>1</v>
      </c>
      <c r="G34">
        <v>1</v>
      </c>
      <c r="H34">
        <v>1</v>
      </c>
      <c r="I34" t="s">
        <v>193</v>
      </c>
      <c r="J34" t="s">
        <v>3</v>
      </c>
      <c r="K34" t="s">
        <v>194</v>
      </c>
      <c r="L34">
        <v>1191</v>
      </c>
      <c r="N34">
        <v>1013</v>
      </c>
      <c r="O34" t="s">
        <v>192</v>
      </c>
      <c r="P34" t="s">
        <v>192</v>
      </c>
      <c r="Q34">
        <v>1</v>
      </c>
      <c r="W34">
        <v>0</v>
      </c>
      <c r="X34">
        <v>-1417349443</v>
      </c>
      <c r="Y34">
        <v>0.21250000000000002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1</v>
      </c>
      <c r="AK34">
        <v>31.51</v>
      </c>
      <c r="AL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0.17</v>
      </c>
      <c r="AU34" t="s">
        <v>21</v>
      </c>
      <c r="AV34">
        <v>2</v>
      </c>
      <c r="AW34">
        <v>2</v>
      </c>
      <c r="AX34">
        <v>46568103</v>
      </c>
      <c r="AY34">
        <v>1</v>
      </c>
      <c r="AZ34">
        <v>0</v>
      </c>
      <c r="BA34">
        <v>40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Y34*Source!I32</f>
        <v>1.9125E-2</v>
      </c>
      <c r="CY34">
        <f>AD34</f>
        <v>0</v>
      </c>
      <c r="CZ34">
        <f>AH34</f>
        <v>0</v>
      </c>
      <c r="DA34">
        <f>AL34</f>
        <v>1</v>
      </c>
      <c r="DB34">
        <f>ROUND((ROUND(AT34*CZ34,2)*1.25),2)</f>
        <v>0</v>
      </c>
      <c r="DC34">
        <f>ROUND((ROUND(AT34*AG34,2)*1.25),2)</f>
        <v>0</v>
      </c>
    </row>
    <row r="35" spans="1:107" x14ac:dyDescent="0.25">
      <c r="A35">
        <f>ROW(Source!A32)</f>
        <v>32</v>
      </c>
      <c r="B35">
        <v>46567972</v>
      </c>
      <c r="C35">
        <v>46568101</v>
      </c>
      <c r="D35">
        <v>44537855</v>
      </c>
      <c r="E35">
        <v>1</v>
      </c>
      <c r="F35">
        <v>1</v>
      </c>
      <c r="G35">
        <v>1</v>
      </c>
      <c r="H35">
        <v>2</v>
      </c>
      <c r="I35" t="s">
        <v>199</v>
      </c>
      <c r="J35" t="s">
        <v>200</v>
      </c>
      <c r="K35" t="s">
        <v>201</v>
      </c>
      <c r="L35">
        <v>1367</v>
      </c>
      <c r="N35">
        <v>1011</v>
      </c>
      <c r="O35" t="s">
        <v>198</v>
      </c>
      <c r="P35" t="s">
        <v>198</v>
      </c>
      <c r="Q35">
        <v>1</v>
      </c>
      <c r="W35">
        <v>0</v>
      </c>
      <c r="X35">
        <v>1098214667</v>
      </c>
      <c r="Y35">
        <v>2.5000000000000001E-2</v>
      </c>
      <c r="AA35">
        <v>0</v>
      </c>
      <c r="AB35">
        <v>361.05</v>
      </c>
      <c r="AC35">
        <v>425.39</v>
      </c>
      <c r="AD35">
        <v>0</v>
      </c>
      <c r="AE35">
        <v>0</v>
      </c>
      <c r="AF35">
        <v>31.26</v>
      </c>
      <c r="AG35">
        <v>13.5</v>
      </c>
      <c r="AH35">
        <v>0</v>
      </c>
      <c r="AI35">
        <v>1</v>
      </c>
      <c r="AJ35">
        <v>11.55</v>
      </c>
      <c r="AK35">
        <v>31.51</v>
      </c>
      <c r="AL35">
        <v>1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0.02</v>
      </c>
      <c r="AU35" t="s">
        <v>21</v>
      </c>
      <c r="AV35">
        <v>0</v>
      </c>
      <c r="AW35">
        <v>2</v>
      </c>
      <c r="AX35">
        <v>46568104</v>
      </c>
      <c r="AY35">
        <v>1</v>
      </c>
      <c r="AZ35">
        <v>0</v>
      </c>
      <c r="BA35">
        <v>41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Y35*Source!I32</f>
        <v>2.2499999999999998E-3</v>
      </c>
      <c r="CY35">
        <f>AB35</f>
        <v>361.05</v>
      </c>
      <c r="CZ35">
        <f>AF35</f>
        <v>31.26</v>
      </c>
      <c r="DA35">
        <f>AJ35</f>
        <v>11.55</v>
      </c>
      <c r="DB35">
        <f>ROUND((ROUND(AT35*CZ35,2)*1.25),2)</f>
        <v>0.79</v>
      </c>
      <c r="DC35">
        <f>ROUND((ROUND(AT35*AG35,2)*1.25),2)</f>
        <v>0.34</v>
      </c>
    </row>
    <row r="36" spans="1:107" x14ac:dyDescent="0.25">
      <c r="A36">
        <f>ROW(Source!A32)</f>
        <v>32</v>
      </c>
      <c r="B36">
        <v>46567972</v>
      </c>
      <c r="C36">
        <v>46568101</v>
      </c>
      <c r="D36">
        <v>44538839</v>
      </c>
      <c r="E36">
        <v>1</v>
      </c>
      <c r="F36">
        <v>1</v>
      </c>
      <c r="G36">
        <v>1</v>
      </c>
      <c r="H36">
        <v>2</v>
      </c>
      <c r="I36" t="s">
        <v>205</v>
      </c>
      <c r="J36" t="s">
        <v>206</v>
      </c>
      <c r="K36" t="s">
        <v>207</v>
      </c>
      <c r="L36">
        <v>1367</v>
      </c>
      <c r="N36">
        <v>1011</v>
      </c>
      <c r="O36" t="s">
        <v>198</v>
      </c>
      <c r="P36" t="s">
        <v>198</v>
      </c>
      <c r="Q36">
        <v>1</v>
      </c>
      <c r="W36">
        <v>0</v>
      </c>
      <c r="X36">
        <v>2001246382</v>
      </c>
      <c r="Y36">
        <v>0.1875</v>
      </c>
      <c r="AA36">
        <v>0</v>
      </c>
      <c r="AB36">
        <v>758.95</v>
      </c>
      <c r="AC36">
        <v>365.52</v>
      </c>
      <c r="AD36">
        <v>0</v>
      </c>
      <c r="AE36">
        <v>0</v>
      </c>
      <c r="AF36">
        <v>65.709999999999994</v>
      </c>
      <c r="AG36">
        <v>11.6</v>
      </c>
      <c r="AH36">
        <v>0</v>
      </c>
      <c r="AI36">
        <v>1</v>
      </c>
      <c r="AJ36">
        <v>11.55</v>
      </c>
      <c r="AK36">
        <v>31.51</v>
      </c>
      <c r="AL36">
        <v>1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</v>
      </c>
      <c r="AT36">
        <v>0.15</v>
      </c>
      <c r="AU36" t="s">
        <v>21</v>
      </c>
      <c r="AV36">
        <v>0</v>
      </c>
      <c r="AW36">
        <v>2</v>
      </c>
      <c r="AX36">
        <v>46568105</v>
      </c>
      <c r="AY36">
        <v>1</v>
      </c>
      <c r="AZ36">
        <v>0</v>
      </c>
      <c r="BA36">
        <v>42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Y36*Source!I32</f>
        <v>1.6875000000000001E-2</v>
      </c>
      <c r="CY36">
        <f>AB36</f>
        <v>758.95</v>
      </c>
      <c r="CZ36">
        <f>AF36</f>
        <v>65.709999999999994</v>
      </c>
      <c r="DA36">
        <f>AJ36</f>
        <v>11.55</v>
      </c>
      <c r="DB36">
        <f>ROUND((ROUND(AT36*CZ36,2)*1.25),2)</f>
        <v>12.33</v>
      </c>
      <c r="DC36">
        <f>ROUND((ROUND(AT36*AG36,2)*1.25),2)</f>
        <v>2.1800000000000002</v>
      </c>
    </row>
    <row r="37" spans="1:107" x14ac:dyDescent="0.25">
      <c r="A37">
        <f>ROW(Source!A32)</f>
        <v>32</v>
      </c>
      <c r="B37">
        <v>46567972</v>
      </c>
      <c r="C37">
        <v>46568101</v>
      </c>
      <c r="D37">
        <v>44341343</v>
      </c>
      <c r="E37">
        <v>1</v>
      </c>
      <c r="F37">
        <v>1</v>
      </c>
      <c r="G37">
        <v>1</v>
      </c>
      <c r="H37">
        <v>3</v>
      </c>
      <c r="I37" t="s">
        <v>252</v>
      </c>
      <c r="J37" t="s">
        <v>253</v>
      </c>
      <c r="K37" t="s">
        <v>254</v>
      </c>
      <c r="L37">
        <v>1327</v>
      </c>
      <c r="N37">
        <v>1005</v>
      </c>
      <c r="O37" t="s">
        <v>223</v>
      </c>
      <c r="P37" t="s">
        <v>223</v>
      </c>
      <c r="Q37">
        <v>1</v>
      </c>
      <c r="W37">
        <v>0</v>
      </c>
      <c r="X37">
        <v>-1522675294</v>
      </c>
      <c r="Y37">
        <v>0</v>
      </c>
      <c r="AA37">
        <v>637.86</v>
      </c>
      <c r="AB37">
        <v>0</v>
      </c>
      <c r="AC37">
        <v>0</v>
      </c>
      <c r="AD37">
        <v>0</v>
      </c>
      <c r="AE37">
        <v>72.319999999999993</v>
      </c>
      <c r="AF37">
        <v>0</v>
      </c>
      <c r="AG37">
        <v>0</v>
      </c>
      <c r="AH37">
        <v>0</v>
      </c>
      <c r="AI37">
        <v>8.82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</v>
      </c>
      <c r="AT37">
        <v>0.84</v>
      </c>
      <c r="AU37" t="s">
        <v>20</v>
      </c>
      <c r="AV37">
        <v>0</v>
      </c>
      <c r="AW37">
        <v>2</v>
      </c>
      <c r="AX37">
        <v>46568106</v>
      </c>
      <c r="AY37">
        <v>1</v>
      </c>
      <c r="AZ37">
        <v>0</v>
      </c>
      <c r="BA37">
        <v>43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Y37*Source!I32</f>
        <v>0</v>
      </c>
      <c r="CY37">
        <f>AA37</f>
        <v>637.86</v>
      </c>
      <c r="CZ37">
        <f>AE37</f>
        <v>72.319999999999993</v>
      </c>
      <c r="DA37">
        <f>AI37</f>
        <v>8.82</v>
      </c>
      <c r="DB37">
        <f>ROUND((ROUND(AT37*CZ37,2)*0),2)</f>
        <v>0</v>
      </c>
      <c r="DC37">
        <f>ROUND((ROUND(AT37*AG37,2)*0),2)</f>
        <v>0</v>
      </c>
    </row>
    <row r="38" spans="1:107" x14ac:dyDescent="0.25">
      <c r="A38">
        <f>ROW(Source!A32)</f>
        <v>32</v>
      </c>
      <c r="B38">
        <v>46567972</v>
      </c>
      <c r="C38">
        <v>46568101</v>
      </c>
      <c r="D38">
        <v>44341905</v>
      </c>
      <c r="E38">
        <v>1</v>
      </c>
      <c r="F38">
        <v>1</v>
      </c>
      <c r="G38">
        <v>1</v>
      </c>
      <c r="H38">
        <v>3</v>
      </c>
      <c r="I38" t="s">
        <v>212</v>
      </c>
      <c r="J38" t="s">
        <v>213</v>
      </c>
      <c r="K38" t="s">
        <v>214</v>
      </c>
      <c r="L38">
        <v>1346</v>
      </c>
      <c r="N38">
        <v>1009</v>
      </c>
      <c r="O38" t="s">
        <v>215</v>
      </c>
      <c r="P38" t="s">
        <v>215</v>
      </c>
      <c r="Q38">
        <v>1</v>
      </c>
      <c r="W38">
        <v>0</v>
      </c>
      <c r="X38">
        <v>-1647809537</v>
      </c>
      <c r="Y38">
        <v>0</v>
      </c>
      <c r="AA38">
        <v>16.05</v>
      </c>
      <c r="AB38">
        <v>0</v>
      </c>
      <c r="AC38">
        <v>0</v>
      </c>
      <c r="AD38">
        <v>0</v>
      </c>
      <c r="AE38">
        <v>1.82</v>
      </c>
      <c r="AF38">
        <v>0</v>
      </c>
      <c r="AG38">
        <v>0</v>
      </c>
      <c r="AH38">
        <v>0</v>
      </c>
      <c r="AI38">
        <v>8.82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0.31</v>
      </c>
      <c r="AU38" t="s">
        <v>20</v>
      </c>
      <c r="AV38">
        <v>0</v>
      </c>
      <c r="AW38">
        <v>2</v>
      </c>
      <c r="AX38">
        <v>46568107</v>
      </c>
      <c r="AY38">
        <v>1</v>
      </c>
      <c r="AZ38">
        <v>0</v>
      </c>
      <c r="BA38">
        <v>44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Y38*Source!I32</f>
        <v>0</v>
      </c>
      <c r="CY38">
        <f>AA38</f>
        <v>16.05</v>
      </c>
      <c r="CZ38">
        <f>AE38</f>
        <v>1.82</v>
      </c>
      <c r="DA38">
        <f>AI38</f>
        <v>8.82</v>
      </c>
      <c r="DB38">
        <f>ROUND((ROUND(AT38*CZ38,2)*0),2)</f>
        <v>0</v>
      </c>
      <c r="DC38">
        <f>ROUND((ROUND(AT38*AG38,2)*0),2)</f>
        <v>0</v>
      </c>
    </row>
    <row r="39" spans="1:107" x14ac:dyDescent="0.25">
      <c r="A39">
        <f>ROW(Source!A32)</f>
        <v>32</v>
      </c>
      <c r="B39">
        <v>46567972</v>
      </c>
      <c r="C39">
        <v>46568101</v>
      </c>
      <c r="D39">
        <v>44391683</v>
      </c>
      <c r="E39">
        <v>1</v>
      </c>
      <c r="F39">
        <v>1</v>
      </c>
      <c r="G39">
        <v>1</v>
      </c>
      <c r="H39">
        <v>3</v>
      </c>
      <c r="I39" t="s">
        <v>255</v>
      </c>
      <c r="J39" t="s">
        <v>256</v>
      </c>
      <c r="K39" t="s">
        <v>257</v>
      </c>
      <c r="L39">
        <v>1348</v>
      </c>
      <c r="N39">
        <v>1009</v>
      </c>
      <c r="O39" t="s">
        <v>219</v>
      </c>
      <c r="P39" t="s">
        <v>219</v>
      </c>
      <c r="Q39">
        <v>1000</v>
      </c>
      <c r="W39">
        <v>0</v>
      </c>
      <c r="X39">
        <v>91400492</v>
      </c>
      <c r="Y39">
        <v>0</v>
      </c>
      <c r="AA39">
        <v>37873.08</v>
      </c>
      <c r="AB39">
        <v>0</v>
      </c>
      <c r="AC39">
        <v>0</v>
      </c>
      <c r="AD39">
        <v>0</v>
      </c>
      <c r="AE39">
        <v>4294</v>
      </c>
      <c r="AF39">
        <v>0</v>
      </c>
      <c r="AG39">
        <v>0</v>
      </c>
      <c r="AH39">
        <v>0</v>
      </c>
      <c r="AI39">
        <v>8.82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5.0999999999999997E-2</v>
      </c>
      <c r="AU39" t="s">
        <v>20</v>
      </c>
      <c r="AV39">
        <v>0</v>
      </c>
      <c r="AW39">
        <v>2</v>
      </c>
      <c r="AX39">
        <v>46568109</v>
      </c>
      <c r="AY39">
        <v>1</v>
      </c>
      <c r="AZ39">
        <v>0</v>
      </c>
      <c r="BA39">
        <v>46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Y39*Source!I32</f>
        <v>0</v>
      </c>
      <c r="CY39">
        <f>AA39</f>
        <v>37873.08</v>
      </c>
      <c r="CZ39">
        <f>AE39</f>
        <v>4294</v>
      </c>
      <c r="DA39">
        <f>AI39</f>
        <v>8.82</v>
      </c>
      <c r="DB39">
        <f>ROUND((ROUND(AT39*CZ39,2)*0),2)</f>
        <v>0</v>
      </c>
      <c r="DC39">
        <f>ROUND((ROUND(AT39*AG39,2)*0),2)</f>
        <v>0</v>
      </c>
    </row>
    <row r="40" spans="1:107" x14ac:dyDescent="0.25">
      <c r="A40">
        <f>ROW(Source!A68)</f>
        <v>68</v>
      </c>
      <c r="B40">
        <v>46567972</v>
      </c>
      <c r="C40">
        <v>46568169</v>
      </c>
      <c r="D40">
        <v>37070495</v>
      </c>
      <c r="E40">
        <v>68</v>
      </c>
      <c r="F40">
        <v>1</v>
      </c>
      <c r="G40">
        <v>1</v>
      </c>
      <c r="H40">
        <v>1</v>
      </c>
      <c r="I40" t="s">
        <v>190</v>
      </c>
      <c r="J40" t="s">
        <v>3</v>
      </c>
      <c r="K40" t="s">
        <v>191</v>
      </c>
      <c r="L40">
        <v>1191</v>
      </c>
      <c r="N40">
        <v>1013</v>
      </c>
      <c r="O40" t="s">
        <v>192</v>
      </c>
      <c r="P40" t="s">
        <v>192</v>
      </c>
      <c r="Q40">
        <v>1</v>
      </c>
      <c r="W40">
        <v>0</v>
      </c>
      <c r="X40">
        <v>784619160</v>
      </c>
      <c r="Y40">
        <v>206.62049999999999</v>
      </c>
      <c r="AA40">
        <v>0</v>
      </c>
      <c r="AB40">
        <v>0</v>
      </c>
      <c r="AC40">
        <v>0</v>
      </c>
      <c r="AD40">
        <v>275.39999999999998</v>
      </c>
      <c r="AE40">
        <v>0</v>
      </c>
      <c r="AF40">
        <v>0</v>
      </c>
      <c r="AG40">
        <v>0</v>
      </c>
      <c r="AH40">
        <v>8.74</v>
      </c>
      <c r="AI40">
        <v>1</v>
      </c>
      <c r="AJ40">
        <v>1</v>
      </c>
      <c r="AK40">
        <v>1</v>
      </c>
      <c r="AL40">
        <v>31.51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119.78</v>
      </c>
      <c r="AU40" t="s">
        <v>22</v>
      </c>
      <c r="AV40">
        <v>1</v>
      </c>
      <c r="AW40">
        <v>2</v>
      </c>
      <c r="AX40">
        <v>46568181</v>
      </c>
      <c r="AY40">
        <v>1</v>
      </c>
      <c r="AZ40">
        <v>0</v>
      </c>
      <c r="BA40">
        <v>47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Y40*Source!I68</f>
        <v>8.2648200000000003</v>
      </c>
      <c r="CY40">
        <f>AD40</f>
        <v>275.39999999999998</v>
      </c>
      <c r="CZ40">
        <f>AH40</f>
        <v>8.74</v>
      </c>
      <c r="DA40">
        <f>AL40</f>
        <v>31.51</v>
      </c>
      <c r="DB40">
        <f>ROUND((ROUND(AT40*CZ40,2)*1.15*1.5),2)</f>
        <v>1805.87</v>
      </c>
      <c r="DC40">
        <f>ROUND((ROUND(AT40*AG40,2)*1.15*1.5),2)</f>
        <v>0</v>
      </c>
    </row>
    <row r="41" spans="1:107" x14ac:dyDescent="0.25">
      <c r="A41">
        <f>ROW(Source!A68)</f>
        <v>68</v>
      </c>
      <c r="B41">
        <v>46567972</v>
      </c>
      <c r="C41">
        <v>46568169</v>
      </c>
      <c r="D41">
        <v>37064876</v>
      </c>
      <c r="E41">
        <v>68</v>
      </c>
      <c r="F41">
        <v>1</v>
      </c>
      <c r="G41">
        <v>1</v>
      </c>
      <c r="H41">
        <v>1</v>
      </c>
      <c r="I41" t="s">
        <v>193</v>
      </c>
      <c r="J41" t="s">
        <v>3</v>
      </c>
      <c r="K41" t="s">
        <v>194</v>
      </c>
      <c r="L41">
        <v>1191</v>
      </c>
      <c r="N41">
        <v>1013</v>
      </c>
      <c r="O41" t="s">
        <v>192</v>
      </c>
      <c r="P41" t="s">
        <v>192</v>
      </c>
      <c r="Q41">
        <v>1</v>
      </c>
      <c r="W41">
        <v>0</v>
      </c>
      <c r="X41">
        <v>-1417349443</v>
      </c>
      <c r="Y41">
        <v>5.625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1</v>
      </c>
      <c r="AJ41">
        <v>1</v>
      </c>
      <c r="AK41">
        <v>31.51</v>
      </c>
      <c r="AL41">
        <v>1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4.5</v>
      </c>
      <c r="AU41" t="s">
        <v>21</v>
      </c>
      <c r="AV41">
        <v>2</v>
      </c>
      <c r="AW41">
        <v>2</v>
      </c>
      <c r="AX41">
        <v>46568182</v>
      </c>
      <c r="AY41">
        <v>1</v>
      </c>
      <c r="AZ41">
        <v>0</v>
      </c>
      <c r="BA41">
        <v>48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Y41*Source!I68</f>
        <v>0.22500000000000001</v>
      </c>
      <c r="CY41">
        <f>AD41</f>
        <v>0</v>
      </c>
      <c r="CZ41">
        <f>AH41</f>
        <v>0</v>
      </c>
      <c r="DA41">
        <f>AL41</f>
        <v>1</v>
      </c>
      <c r="DB41">
        <f>ROUND((ROUND(AT41*CZ41,2)*1.25),2)</f>
        <v>0</v>
      </c>
      <c r="DC41">
        <f>ROUND((ROUND(AT41*AG41,2)*1.25),2)</f>
        <v>0</v>
      </c>
    </row>
    <row r="42" spans="1:107" x14ac:dyDescent="0.25">
      <c r="A42">
        <f>ROW(Source!A68)</f>
        <v>68</v>
      </c>
      <c r="B42">
        <v>46567972</v>
      </c>
      <c r="C42">
        <v>46568169</v>
      </c>
      <c r="D42">
        <v>44537801</v>
      </c>
      <c r="E42">
        <v>1</v>
      </c>
      <c r="F42">
        <v>1</v>
      </c>
      <c r="G42">
        <v>1</v>
      </c>
      <c r="H42">
        <v>2</v>
      </c>
      <c r="I42" t="s">
        <v>195</v>
      </c>
      <c r="J42" t="s">
        <v>196</v>
      </c>
      <c r="K42" t="s">
        <v>197</v>
      </c>
      <c r="L42">
        <v>1367</v>
      </c>
      <c r="N42">
        <v>1011</v>
      </c>
      <c r="O42" t="s">
        <v>198</v>
      </c>
      <c r="P42" t="s">
        <v>198</v>
      </c>
      <c r="Q42">
        <v>1</v>
      </c>
      <c r="W42">
        <v>0</v>
      </c>
      <c r="X42">
        <v>2073521694</v>
      </c>
      <c r="Y42">
        <v>0.44999999999999996</v>
      </c>
      <c r="AA42">
        <v>0</v>
      </c>
      <c r="AB42">
        <v>1039.3800000000001</v>
      </c>
      <c r="AC42">
        <v>316.99</v>
      </c>
      <c r="AD42">
        <v>0</v>
      </c>
      <c r="AE42">
        <v>0</v>
      </c>
      <c r="AF42">
        <v>89.99</v>
      </c>
      <c r="AG42">
        <v>10.06</v>
      </c>
      <c r="AH42">
        <v>0</v>
      </c>
      <c r="AI42">
        <v>1</v>
      </c>
      <c r="AJ42">
        <v>11.55</v>
      </c>
      <c r="AK42">
        <v>31.51</v>
      </c>
      <c r="AL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0.36</v>
      </c>
      <c r="AU42" t="s">
        <v>21</v>
      </c>
      <c r="AV42">
        <v>0</v>
      </c>
      <c r="AW42">
        <v>2</v>
      </c>
      <c r="AX42">
        <v>46568183</v>
      </c>
      <c r="AY42">
        <v>1</v>
      </c>
      <c r="AZ42">
        <v>0</v>
      </c>
      <c r="BA42">
        <v>49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Y42*Source!I68</f>
        <v>1.7999999999999999E-2</v>
      </c>
      <c r="CY42">
        <f>AB42</f>
        <v>1039.3800000000001</v>
      </c>
      <c r="CZ42">
        <f>AF42</f>
        <v>89.99</v>
      </c>
      <c r="DA42">
        <f>AJ42</f>
        <v>11.55</v>
      </c>
      <c r="DB42">
        <f>ROUND((ROUND(AT42*CZ42,2)*1.25),2)</f>
        <v>40.5</v>
      </c>
      <c r="DC42">
        <f>ROUND((ROUND(AT42*AG42,2)*1.25),2)</f>
        <v>4.53</v>
      </c>
    </row>
    <row r="43" spans="1:107" x14ac:dyDescent="0.25">
      <c r="A43">
        <f>ROW(Source!A68)</f>
        <v>68</v>
      </c>
      <c r="B43">
        <v>46567972</v>
      </c>
      <c r="C43">
        <v>46568169</v>
      </c>
      <c r="D43">
        <v>44537855</v>
      </c>
      <c r="E43">
        <v>1</v>
      </c>
      <c r="F43">
        <v>1</v>
      </c>
      <c r="G43">
        <v>1</v>
      </c>
      <c r="H43">
        <v>2</v>
      </c>
      <c r="I43" t="s">
        <v>199</v>
      </c>
      <c r="J43" t="s">
        <v>200</v>
      </c>
      <c r="K43" t="s">
        <v>201</v>
      </c>
      <c r="L43">
        <v>1367</v>
      </c>
      <c r="N43">
        <v>1011</v>
      </c>
      <c r="O43" t="s">
        <v>198</v>
      </c>
      <c r="P43" t="s">
        <v>198</v>
      </c>
      <c r="Q43">
        <v>1</v>
      </c>
      <c r="W43">
        <v>0</v>
      </c>
      <c r="X43">
        <v>1098214667</v>
      </c>
      <c r="Y43">
        <v>2.875</v>
      </c>
      <c r="AA43">
        <v>0</v>
      </c>
      <c r="AB43">
        <v>361.05</v>
      </c>
      <c r="AC43">
        <v>425.39</v>
      </c>
      <c r="AD43">
        <v>0</v>
      </c>
      <c r="AE43">
        <v>0</v>
      </c>
      <c r="AF43">
        <v>31.26</v>
      </c>
      <c r="AG43">
        <v>13.5</v>
      </c>
      <c r="AH43">
        <v>0</v>
      </c>
      <c r="AI43">
        <v>1</v>
      </c>
      <c r="AJ43">
        <v>11.55</v>
      </c>
      <c r="AK43">
        <v>31.51</v>
      </c>
      <c r="AL43">
        <v>1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3</v>
      </c>
      <c r="AT43">
        <v>2.2999999999999998</v>
      </c>
      <c r="AU43" t="s">
        <v>21</v>
      </c>
      <c r="AV43">
        <v>0</v>
      </c>
      <c r="AW43">
        <v>2</v>
      </c>
      <c r="AX43">
        <v>46568184</v>
      </c>
      <c r="AY43">
        <v>1</v>
      </c>
      <c r="AZ43">
        <v>0</v>
      </c>
      <c r="BA43">
        <v>50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Y43*Source!I68</f>
        <v>0.115</v>
      </c>
      <c r="CY43">
        <f>AB43</f>
        <v>361.05</v>
      </c>
      <c r="CZ43">
        <f>AF43</f>
        <v>31.26</v>
      </c>
      <c r="DA43">
        <f>AJ43</f>
        <v>11.55</v>
      </c>
      <c r="DB43">
        <f>ROUND((ROUND(AT43*CZ43,2)*1.25),2)</f>
        <v>89.88</v>
      </c>
      <c r="DC43">
        <f>ROUND((ROUND(AT43*AG43,2)*1.25),2)</f>
        <v>38.81</v>
      </c>
    </row>
    <row r="44" spans="1:107" x14ac:dyDescent="0.25">
      <c r="A44">
        <f>ROW(Source!A68)</f>
        <v>68</v>
      </c>
      <c r="B44">
        <v>46567972</v>
      </c>
      <c r="C44">
        <v>46568169</v>
      </c>
      <c r="D44">
        <v>44538010</v>
      </c>
      <c r="E44">
        <v>1</v>
      </c>
      <c r="F44">
        <v>1</v>
      </c>
      <c r="G44">
        <v>1</v>
      </c>
      <c r="H44">
        <v>2</v>
      </c>
      <c r="I44" t="s">
        <v>202</v>
      </c>
      <c r="J44" t="s">
        <v>203</v>
      </c>
      <c r="K44" t="s">
        <v>204</v>
      </c>
      <c r="L44">
        <v>1367</v>
      </c>
      <c r="N44">
        <v>1011</v>
      </c>
      <c r="O44" t="s">
        <v>198</v>
      </c>
      <c r="P44" t="s">
        <v>198</v>
      </c>
      <c r="Q44">
        <v>1</v>
      </c>
      <c r="W44">
        <v>0</v>
      </c>
      <c r="X44">
        <v>999127525</v>
      </c>
      <c r="Y44">
        <v>1.9500000000000002</v>
      </c>
      <c r="AA44">
        <v>0</v>
      </c>
      <c r="AB44">
        <v>143.1</v>
      </c>
      <c r="AC44">
        <v>316.99</v>
      </c>
      <c r="AD44">
        <v>0</v>
      </c>
      <c r="AE44">
        <v>0</v>
      </c>
      <c r="AF44">
        <v>12.39</v>
      </c>
      <c r="AG44">
        <v>10.06</v>
      </c>
      <c r="AH44">
        <v>0</v>
      </c>
      <c r="AI44">
        <v>1</v>
      </c>
      <c r="AJ44">
        <v>11.55</v>
      </c>
      <c r="AK44">
        <v>31.51</v>
      </c>
      <c r="AL44">
        <v>1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3</v>
      </c>
      <c r="AT44">
        <v>1.56</v>
      </c>
      <c r="AU44" t="s">
        <v>21</v>
      </c>
      <c r="AV44">
        <v>0</v>
      </c>
      <c r="AW44">
        <v>2</v>
      </c>
      <c r="AX44">
        <v>46568185</v>
      </c>
      <c r="AY44">
        <v>1</v>
      </c>
      <c r="AZ44">
        <v>0</v>
      </c>
      <c r="BA44">
        <v>51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Y44*Source!I68</f>
        <v>7.8000000000000014E-2</v>
      </c>
      <c r="CY44">
        <f>AB44</f>
        <v>143.1</v>
      </c>
      <c r="CZ44">
        <f>AF44</f>
        <v>12.39</v>
      </c>
      <c r="DA44">
        <f>AJ44</f>
        <v>11.55</v>
      </c>
      <c r="DB44">
        <f>ROUND((ROUND(AT44*CZ44,2)*1.25),2)</f>
        <v>24.16</v>
      </c>
      <c r="DC44">
        <f>ROUND((ROUND(AT44*AG44,2)*1.25),2)</f>
        <v>19.61</v>
      </c>
    </row>
    <row r="45" spans="1:107" x14ac:dyDescent="0.25">
      <c r="A45">
        <f>ROW(Source!A68)</f>
        <v>68</v>
      </c>
      <c r="B45">
        <v>46567972</v>
      </c>
      <c r="C45">
        <v>46568169</v>
      </c>
      <c r="D45">
        <v>44538839</v>
      </c>
      <c r="E45">
        <v>1</v>
      </c>
      <c r="F45">
        <v>1</v>
      </c>
      <c r="G45">
        <v>1</v>
      </c>
      <c r="H45">
        <v>2</v>
      </c>
      <c r="I45" t="s">
        <v>205</v>
      </c>
      <c r="J45" t="s">
        <v>206</v>
      </c>
      <c r="K45" t="s">
        <v>207</v>
      </c>
      <c r="L45">
        <v>1367</v>
      </c>
      <c r="N45">
        <v>1011</v>
      </c>
      <c r="O45" t="s">
        <v>198</v>
      </c>
      <c r="P45" t="s">
        <v>198</v>
      </c>
      <c r="Q45">
        <v>1</v>
      </c>
      <c r="W45">
        <v>0</v>
      </c>
      <c r="X45">
        <v>2001246382</v>
      </c>
      <c r="Y45">
        <v>0.35000000000000003</v>
      </c>
      <c r="AA45">
        <v>0</v>
      </c>
      <c r="AB45">
        <v>758.95</v>
      </c>
      <c r="AC45">
        <v>365.52</v>
      </c>
      <c r="AD45">
        <v>0</v>
      </c>
      <c r="AE45">
        <v>0</v>
      </c>
      <c r="AF45">
        <v>65.709999999999994</v>
      </c>
      <c r="AG45">
        <v>11.6</v>
      </c>
      <c r="AH45">
        <v>0</v>
      </c>
      <c r="AI45">
        <v>1</v>
      </c>
      <c r="AJ45">
        <v>11.55</v>
      </c>
      <c r="AK45">
        <v>31.51</v>
      </c>
      <c r="AL45">
        <v>1</v>
      </c>
      <c r="AN45">
        <v>0</v>
      </c>
      <c r="AO45">
        <v>1</v>
      </c>
      <c r="AP45">
        <v>1</v>
      </c>
      <c r="AQ45">
        <v>0</v>
      </c>
      <c r="AR45">
        <v>0</v>
      </c>
      <c r="AS45" t="s">
        <v>3</v>
      </c>
      <c r="AT45">
        <v>0.28000000000000003</v>
      </c>
      <c r="AU45" t="s">
        <v>21</v>
      </c>
      <c r="AV45">
        <v>0</v>
      </c>
      <c r="AW45">
        <v>2</v>
      </c>
      <c r="AX45">
        <v>46568186</v>
      </c>
      <c r="AY45">
        <v>1</v>
      </c>
      <c r="AZ45">
        <v>0</v>
      </c>
      <c r="BA45">
        <v>52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Y45*Source!I68</f>
        <v>1.4000000000000002E-2</v>
      </c>
      <c r="CY45">
        <f>AB45</f>
        <v>758.95</v>
      </c>
      <c r="CZ45">
        <f>AF45</f>
        <v>65.709999999999994</v>
      </c>
      <c r="DA45">
        <f>AJ45</f>
        <v>11.55</v>
      </c>
      <c r="DB45">
        <f>ROUND((ROUND(AT45*CZ45,2)*1.25),2)</f>
        <v>23</v>
      </c>
      <c r="DC45">
        <f>ROUND((ROUND(AT45*AG45,2)*1.25),2)</f>
        <v>4.0599999999999996</v>
      </c>
    </row>
    <row r="46" spans="1:107" x14ac:dyDescent="0.25">
      <c r="A46">
        <f>ROW(Source!A68)</f>
        <v>68</v>
      </c>
      <c r="B46">
        <v>46567972</v>
      </c>
      <c r="C46">
        <v>46568169</v>
      </c>
      <c r="D46">
        <v>44336161</v>
      </c>
      <c r="E46">
        <v>1</v>
      </c>
      <c r="F46">
        <v>1</v>
      </c>
      <c r="G46">
        <v>1</v>
      </c>
      <c r="H46">
        <v>3</v>
      </c>
      <c r="I46" t="s">
        <v>208</v>
      </c>
      <c r="J46" t="s">
        <v>209</v>
      </c>
      <c r="K46" t="s">
        <v>210</v>
      </c>
      <c r="L46">
        <v>1339</v>
      </c>
      <c r="N46">
        <v>1007</v>
      </c>
      <c r="O46" t="s">
        <v>211</v>
      </c>
      <c r="P46" t="s">
        <v>211</v>
      </c>
      <c r="Q46">
        <v>1</v>
      </c>
      <c r="W46">
        <v>0</v>
      </c>
      <c r="X46">
        <v>929815444</v>
      </c>
      <c r="Y46">
        <v>0</v>
      </c>
      <c r="AA46">
        <v>21.52</v>
      </c>
      <c r="AB46">
        <v>0</v>
      </c>
      <c r="AC46">
        <v>0</v>
      </c>
      <c r="AD46">
        <v>0</v>
      </c>
      <c r="AE46">
        <v>2.44</v>
      </c>
      <c r="AF46">
        <v>0</v>
      </c>
      <c r="AG46">
        <v>0</v>
      </c>
      <c r="AH46">
        <v>0</v>
      </c>
      <c r="AI46">
        <v>8.82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</v>
      </c>
      <c r="AT46">
        <v>0.1</v>
      </c>
      <c r="AU46" t="s">
        <v>20</v>
      </c>
      <c r="AV46">
        <v>0</v>
      </c>
      <c r="AW46">
        <v>2</v>
      </c>
      <c r="AX46">
        <v>46568187</v>
      </c>
      <c r="AY46">
        <v>1</v>
      </c>
      <c r="AZ46">
        <v>0</v>
      </c>
      <c r="BA46">
        <v>53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Y46*Source!I68</f>
        <v>0</v>
      </c>
      <c r="CY46">
        <f>AA46</f>
        <v>21.52</v>
      </c>
      <c r="CZ46">
        <f>AE46</f>
        <v>2.44</v>
      </c>
      <c r="DA46">
        <f>AI46</f>
        <v>8.82</v>
      </c>
      <c r="DB46">
        <f>ROUND((ROUND(AT46*CZ46,2)*0),2)</f>
        <v>0</v>
      </c>
      <c r="DC46">
        <f>ROUND((ROUND(AT46*AG46,2)*0),2)</f>
        <v>0</v>
      </c>
    </row>
    <row r="47" spans="1:107" x14ac:dyDescent="0.25">
      <c r="A47">
        <f>ROW(Source!A68)</f>
        <v>68</v>
      </c>
      <c r="B47">
        <v>46567972</v>
      </c>
      <c r="C47">
        <v>46568169</v>
      </c>
      <c r="D47">
        <v>44341905</v>
      </c>
      <c r="E47">
        <v>1</v>
      </c>
      <c r="F47">
        <v>1</v>
      </c>
      <c r="G47">
        <v>1</v>
      </c>
      <c r="H47">
        <v>3</v>
      </c>
      <c r="I47" t="s">
        <v>212</v>
      </c>
      <c r="J47" t="s">
        <v>213</v>
      </c>
      <c r="K47" t="s">
        <v>214</v>
      </c>
      <c r="L47">
        <v>1346</v>
      </c>
      <c r="N47">
        <v>1009</v>
      </c>
      <c r="O47" t="s">
        <v>215</v>
      </c>
      <c r="P47" t="s">
        <v>215</v>
      </c>
      <c r="Q47">
        <v>1</v>
      </c>
      <c r="W47">
        <v>0</v>
      </c>
      <c r="X47">
        <v>-1647809537</v>
      </c>
      <c r="Y47">
        <v>0</v>
      </c>
      <c r="AA47">
        <v>16.05</v>
      </c>
      <c r="AB47">
        <v>0</v>
      </c>
      <c r="AC47">
        <v>0</v>
      </c>
      <c r="AD47">
        <v>0</v>
      </c>
      <c r="AE47">
        <v>1.82</v>
      </c>
      <c r="AF47">
        <v>0</v>
      </c>
      <c r="AG47">
        <v>0</v>
      </c>
      <c r="AH47">
        <v>0</v>
      </c>
      <c r="AI47">
        <v>8.82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0.5</v>
      </c>
      <c r="AU47" t="s">
        <v>20</v>
      </c>
      <c r="AV47">
        <v>0</v>
      </c>
      <c r="AW47">
        <v>2</v>
      </c>
      <c r="AX47">
        <v>46568188</v>
      </c>
      <c r="AY47">
        <v>1</v>
      </c>
      <c r="AZ47">
        <v>0</v>
      </c>
      <c r="BA47">
        <v>54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Y47*Source!I68</f>
        <v>0</v>
      </c>
      <c r="CY47">
        <f>AA47</f>
        <v>16.05</v>
      </c>
      <c r="CZ47">
        <f>AE47</f>
        <v>1.82</v>
      </c>
      <c r="DA47">
        <f>AI47</f>
        <v>8.82</v>
      </c>
      <c r="DB47">
        <f>ROUND((ROUND(AT47*CZ47,2)*0),2)</f>
        <v>0</v>
      </c>
      <c r="DC47">
        <f>ROUND((ROUND(AT47*AG47,2)*0),2)</f>
        <v>0</v>
      </c>
    </row>
    <row r="48" spans="1:107" x14ac:dyDescent="0.25">
      <c r="A48">
        <f>ROW(Source!A68)</f>
        <v>68</v>
      </c>
      <c r="B48">
        <v>46567972</v>
      </c>
      <c r="C48">
        <v>46568169</v>
      </c>
      <c r="D48">
        <v>44345078</v>
      </c>
      <c r="E48">
        <v>1</v>
      </c>
      <c r="F48">
        <v>1</v>
      </c>
      <c r="G48">
        <v>1</v>
      </c>
      <c r="H48">
        <v>3</v>
      </c>
      <c r="I48" t="s">
        <v>216</v>
      </c>
      <c r="J48" t="s">
        <v>217</v>
      </c>
      <c r="K48" t="s">
        <v>218</v>
      </c>
      <c r="L48">
        <v>1348</v>
      </c>
      <c r="N48">
        <v>1009</v>
      </c>
      <c r="O48" t="s">
        <v>219</v>
      </c>
      <c r="P48" t="s">
        <v>219</v>
      </c>
      <c r="Q48">
        <v>1000</v>
      </c>
      <c r="W48">
        <v>0</v>
      </c>
      <c r="X48">
        <v>-903093951</v>
      </c>
      <c r="Y48">
        <v>0</v>
      </c>
      <c r="AA48">
        <v>57444.66</v>
      </c>
      <c r="AB48">
        <v>0</v>
      </c>
      <c r="AC48">
        <v>0</v>
      </c>
      <c r="AD48">
        <v>0</v>
      </c>
      <c r="AE48">
        <v>6513</v>
      </c>
      <c r="AF48">
        <v>0</v>
      </c>
      <c r="AG48">
        <v>0</v>
      </c>
      <c r="AH48">
        <v>0</v>
      </c>
      <c r="AI48">
        <v>8.82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0.05</v>
      </c>
      <c r="AU48" t="s">
        <v>20</v>
      </c>
      <c r="AV48">
        <v>0</v>
      </c>
      <c r="AW48">
        <v>2</v>
      </c>
      <c r="AX48">
        <v>46568189</v>
      </c>
      <c r="AY48">
        <v>1</v>
      </c>
      <c r="AZ48">
        <v>0</v>
      </c>
      <c r="BA48">
        <v>55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Y48*Source!I68</f>
        <v>0</v>
      </c>
      <c r="CY48">
        <f>AA48</f>
        <v>57444.66</v>
      </c>
      <c r="CZ48">
        <f>AE48</f>
        <v>6513</v>
      </c>
      <c r="DA48">
        <f>AI48</f>
        <v>8.82</v>
      </c>
      <c r="DB48">
        <f>ROUND((ROUND(AT48*CZ48,2)*0),2)</f>
        <v>0</v>
      </c>
      <c r="DC48">
        <f>ROUND((ROUND(AT48*AG48,2)*0),2)</f>
        <v>0</v>
      </c>
    </row>
    <row r="49" spans="1:107" x14ac:dyDescent="0.25">
      <c r="A49">
        <f>ROW(Source!A68)</f>
        <v>68</v>
      </c>
      <c r="B49">
        <v>46567972</v>
      </c>
      <c r="C49">
        <v>46568169</v>
      </c>
      <c r="D49">
        <v>44363679</v>
      </c>
      <c r="E49">
        <v>1</v>
      </c>
      <c r="F49">
        <v>1</v>
      </c>
      <c r="G49">
        <v>1</v>
      </c>
      <c r="H49">
        <v>3</v>
      </c>
      <c r="I49" t="s">
        <v>220</v>
      </c>
      <c r="J49" t="s">
        <v>221</v>
      </c>
      <c r="K49" t="s">
        <v>222</v>
      </c>
      <c r="L49">
        <v>1327</v>
      </c>
      <c r="N49">
        <v>1005</v>
      </c>
      <c r="O49" t="s">
        <v>223</v>
      </c>
      <c r="P49" t="s">
        <v>223</v>
      </c>
      <c r="Q49">
        <v>1</v>
      </c>
      <c r="W49">
        <v>0</v>
      </c>
      <c r="X49">
        <v>1297416989</v>
      </c>
      <c r="Y49">
        <v>0</v>
      </c>
      <c r="AA49">
        <v>727.65</v>
      </c>
      <c r="AB49">
        <v>0</v>
      </c>
      <c r="AC49">
        <v>0</v>
      </c>
      <c r="AD49">
        <v>0</v>
      </c>
      <c r="AE49">
        <v>82.5</v>
      </c>
      <c r="AF49">
        <v>0</v>
      </c>
      <c r="AG49">
        <v>0</v>
      </c>
      <c r="AH49">
        <v>0</v>
      </c>
      <c r="AI49">
        <v>8.82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102</v>
      </c>
      <c r="AU49" t="s">
        <v>20</v>
      </c>
      <c r="AV49">
        <v>0</v>
      </c>
      <c r="AW49">
        <v>2</v>
      </c>
      <c r="AX49">
        <v>46568190</v>
      </c>
      <c r="AY49">
        <v>1</v>
      </c>
      <c r="AZ49">
        <v>0</v>
      </c>
      <c r="BA49">
        <v>56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Y49*Source!I68</f>
        <v>0</v>
      </c>
      <c r="CY49">
        <f>AA49</f>
        <v>727.65</v>
      </c>
      <c r="CZ49">
        <f>AE49</f>
        <v>82.5</v>
      </c>
      <c r="DA49">
        <f>AI49</f>
        <v>8.82</v>
      </c>
      <c r="DB49">
        <f>ROUND((ROUND(AT49*CZ49,2)*0),2)</f>
        <v>0</v>
      </c>
      <c r="DC49">
        <f>ROUND((ROUND(AT49*AG49,2)*0),2)</f>
        <v>0</v>
      </c>
    </row>
    <row r="50" spans="1:107" x14ac:dyDescent="0.25">
      <c r="A50">
        <f>ROW(Source!A68)</f>
        <v>68</v>
      </c>
      <c r="B50">
        <v>46567972</v>
      </c>
      <c r="C50">
        <v>46568169</v>
      </c>
      <c r="D50">
        <v>44388786</v>
      </c>
      <c r="E50">
        <v>1</v>
      </c>
      <c r="F50">
        <v>1</v>
      </c>
      <c r="G50">
        <v>1</v>
      </c>
      <c r="H50">
        <v>3</v>
      </c>
      <c r="I50" t="s">
        <v>224</v>
      </c>
      <c r="J50" t="s">
        <v>225</v>
      </c>
      <c r="K50" t="s">
        <v>226</v>
      </c>
      <c r="L50">
        <v>1346</v>
      </c>
      <c r="N50">
        <v>1009</v>
      </c>
      <c r="O50" t="s">
        <v>215</v>
      </c>
      <c r="P50" t="s">
        <v>215</v>
      </c>
      <c r="Q50">
        <v>1</v>
      </c>
      <c r="W50">
        <v>0</v>
      </c>
      <c r="X50">
        <v>1584014708</v>
      </c>
      <c r="Y50">
        <v>0</v>
      </c>
      <c r="AA50">
        <v>12.08</v>
      </c>
      <c r="AB50">
        <v>0</v>
      </c>
      <c r="AC50">
        <v>0</v>
      </c>
      <c r="AD50">
        <v>0</v>
      </c>
      <c r="AE50">
        <v>1.37</v>
      </c>
      <c r="AF50">
        <v>0</v>
      </c>
      <c r="AG50">
        <v>0</v>
      </c>
      <c r="AH50">
        <v>0</v>
      </c>
      <c r="AI50">
        <v>8.82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450</v>
      </c>
      <c r="AU50" t="s">
        <v>20</v>
      </c>
      <c r="AV50">
        <v>0</v>
      </c>
      <c r="AW50">
        <v>2</v>
      </c>
      <c r="AX50">
        <v>46568191</v>
      </c>
      <c r="AY50">
        <v>1</v>
      </c>
      <c r="AZ50">
        <v>0</v>
      </c>
      <c r="BA50">
        <v>57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Y50*Source!I68</f>
        <v>0</v>
      </c>
      <c r="CY50">
        <f>AA50</f>
        <v>12.08</v>
      </c>
      <c r="CZ50">
        <f>AE50</f>
        <v>1.37</v>
      </c>
      <c r="DA50">
        <f>AI50</f>
        <v>8.82</v>
      </c>
      <c r="DB50">
        <f>ROUND((ROUND(AT50*CZ50,2)*0),2)</f>
        <v>0</v>
      </c>
      <c r="DC50">
        <f>ROUND((ROUND(AT50*AG50,2)*0),2)</f>
        <v>0</v>
      </c>
    </row>
    <row r="51" spans="1:107" x14ac:dyDescent="0.25">
      <c r="A51">
        <f>ROW(Source!A69)</f>
        <v>69</v>
      </c>
      <c r="B51">
        <v>46567972</v>
      </c>
      <c r="C51">
        <v>46568192</v>
      </c>
      <c r="D51">
        <v>37072767</v>
      </c>
      <c r="E51">
        <v>68</v>
      </c>
      <c r="F51">
        <v>1</v>
      </c>
      <c r="G51">
        <v>1</v>
      </c>
      <c r="H51">
        <v>1</v>
      </c>
      <c r="I51" t="s">
        <v>227</v>
      </c>
      <c r="J51" t="s">
        <v>3</v>
      </c>
      <c r="K51" t="s">
        <v>228</v>
      </c>
      <c r="L51">
        <v>1191</v>
      </c>
      <c r="N51">
        <v>1013</v>
      </c>
      <c r="O51" t="s">
        <v>192</v>
      </c>
      <c r="P51" t="s">
        <v>192</v>
      </c>
      <c r="Q51">
        <v>1</v>
      </c>
      <c r="W51">
        <v>0</v>
      </c>
      <c r="X51">
        <v>-1810713292</v>
      </c>
      <c r="Y51">
        <v>198.82350000000002</v>
      </c>
      <c r="AA51">
        <v>0</v>
      </c>
      <c r="AB51">
        <v>0</v>
      </c>
      <c r="AC51">
        <v>0</v>
      </c>
      <c r="AD51">
        <v>289.26</v>
      </c>
      <c r="AE51">
        <v>0</v>
      </c>
      <c r="AF51">
        <v>0</v>
      </c>
      <c r="AG51">
        <v>0</v>
      </c>
      <c r="AH51">
        <v>9.18</v>
      </c>
      <c r="AI51">
        <v>1</v>
      </c>
      <c r="AJ51">
        <v>1</v>
      </c>
      <c r="AK51">
        <v>1</v>
      </c>
      <c r="AL51">
        <v>31.51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115.26</v>
      </c>
      <c r="AU51" t="s">
        <v>22</v>
      </c>
      <c r="AV51">
        <v>1</v>
      </c>
      <c r="AW51">
        <v>2</v>
      </c>
      <c r="AX51">
        <v>46568200</v>
      </c>
      <c r="AY51">
        <v>1</v>
      </c>
      <c r="AZ51">
        <v>0</v>
      </c>
      <c r="BA51">
        <v>58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Y51*Source!I69</f>
        <v>19.882350000000002</v>
      </c>
      <c r="CY51">
        <f>AD51</f>
        <v>289.26</v>
      </c>
      <c r="CZ51">
        <f>AH51</f>
        <v>9.18</v>
      </c>
      <c r="DA51">
        <f>AL51</f>
        <v>31.51</v>
      </c>
      <c r="DB51">
        <f>ROUND((ROUND(AT51*CZ51,2)*1.15*1.5),2)</f>
        <v>1825.21</v>
      </c>
      <c r="DC51">
        <f>ROUND((ROUND(AT51*AG51,2)*1.15*1.5),2)</f>
        <v>0</v>
      </c>
    </row>
    <row r="52" spans="1:107" x14ac:dyDescent="0.25">
      <c r="A52">
        <f>ROW(Source!A69)</f>
        <v>69</v>
      </c>
      <c r="B52">
        <v>46567972</v>
      </c>
      <c r="C52">
        <v>46568192</v>
      </c>
      <c r="D52">
        <v>37064876</v>
      </c>
      <c r="E52">
        <v>68</v>
      </c>
      <c r="F52">
        <v>1</v>
      </c>
      <c r="G52">
        <v>1</v>
      </c>
      <c r="H52">
        <v>1</v>
      </c>
      <c r="I52" t="s">
        <v>193</v>
      </c>
      <c r="J52" t="s">
        <v>3</v>
      </c>
      <c r="K52" t="s">
        <v>194</v>
      </c>
      <c r="L52">
        <v>1191</v>
      </c>
      <c r="N52">
        <v>1013</v>
      </c>
      <c r="O52" t="s">
        <v>192</v>
      </c>
      <c r="P52" t="s">
        <v>192</v>
      </c>
      <c r="Q52">
        <v>1</v>
      </c>
      <c r="W52">
        <v>0</v>
      </c>
      <c r="X52">
        <v>-1417349443</v>
      </c>
      <c r="Y52">
        <v>2.0625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1</v>
      </c>
      <c r="AJ52">
        <v>1</v>
      </c>
      <c r="AK52">
        <v>31.51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1.65</v>
      </c>
      <c r="AU52" t="s">
        <v>21</v>
      </c>
      <c r="AV52">
        <v>2</v>
      </c>
      <c r="AW52">
        <v>2</v>
      </c>
      <c r="AX52">
        <v>46568201</v>
      </c>
      <c r="AY52">
        <v>1</v>
      </c>
      <c r="AZ52">
        <v>0</v>
      </c>
      <c r="BA52">
        <v>59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Y52*Source!I69</f>
        <v>0.20625000000000002</v>
      </c>
      <c r="CY52">
        <f>AD52</f>
        <v>0</v>
      </c>
      <c r="CZ52">
        <f>AH52</f>
        <v>0</v>
      </c>
      <c r="DA52">
        <f>AL52</f>
        <v>1</v>
      </c>
      <c r="DB52">
        <f>ROUND((ROUND(AT52*CZ52,2)*1.25),2)</f>
        <v>0</v>
      </c>
      <c r="DC52">
        <f>ROUND((ROUND(AT52*AG52,2)*1.25),2)</f>
        <v>0</v>
      </c>
    </row>
    <row r="53" spans="1:107" x14ac:dyDescent="0.25">
      <c r="A53">
        <f>ROW(Source!A69)</f>
        <v>69</v>
      </c>
      <c r="B53">
        <v>46567972</v>
      </c>
      <c r="C53">
        <v>46568192</v>
      </c>
      <c r="D53">
        <v>44537801</v>
      </c>
      <c r="E53">
        <v>1</v>
      </c>
      <c r="F53">
        <v>1</v>
      </c>
      <c r="G53">
        <v>1</v>
      </c>
      <c r="H53">
        <v>2</v>
      </c>
      <c r="I53" t="s">
        <v>195</v>
      </c>
      <c r="J53" t="s">
        <v>196</v>
      </c>
      <c r="K53" t="s">
        <v>197</v>
      </c>
      <c r="L53">
        <v>1367</v>
      </c>
      <c r="N53">
        <v>1011</v>
      </c>
      <c r="O53" t="s">
        <v>198</v>
      </c>
      <c r="P53" t="s">
        <v>198</v>
      </c>
      <c r="Q53">
        <v>1</v>
      </c>
      <c r="W53">
        <v>0</v>
      </c>
      <c r="X53">
        <v>2073521694</v>
      </c>
      <c r="Y53">
        <v>0.1</v>
      </c>
      <c r="AA53">
        <v>0</v>
      </c>
      <c r="AB53">
        <v>1039.3800000000001</v>
      </c>
      <c r="AC53">
        <v>316.99</v>
      </c>
      <c r="AD53">
        <v>0</v>
      </c>
      <c r="AE53">
        <v>0</v>
      </c>
      <c r="AF53">
        <v>89.99</v>
      </c>
      <c r="AG53">
        <v>10.06</v>
      </c>
      <c r="AH53">
        <v>0</v>
      </c>
      <c r="AI53">
        <v>1</v>
      </c>
      <c r="AJ53">
        <v>11.55</v>
      </c>
      <c r="AK53">
        <v>31.51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0.08</v>
      </c>
      <c r="AU53" t="s">
        <v>21</v>
      </c>
      <c r="AV53">
        <v>0</v>
      </c>
      <c r="AW53">
        <v>2</v>
      </c>
      <c r="AX53">
        <v>46568202</v>
      </c>
      <c r="AY53">
        <v>1</v>
      </c>
      <c r="AZ53">
        <v>0</v>
      </c>
      <c r="BA53">
        <v>60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Y53*Source!I69</f>
        <v>1.0000000000000002E-2</v>
      </c>
      <c r="CY53">
        <f>AB53</f>
        <v>1039.3800000000001</v>
      </c>
      <c r="CZ53">
        <f>AF53</f>
        <v>89.99</v>
      </c>
      <c r="DA53">
        <f>AJ53</f>
        <v>11.55</v>
      </c>
      <c r="DB53">
        <f>ROUND((ROUND(AT53*CZ53,2)*1.25),2)</f>
        <v>9</v>
      </c>
      <c r="DC53">
        <f>ROUND((ROUND(AT53*AG53,2)*1.25),2)</f>
        <v>1</v>
      </c>
    </row>
    <row r="54" spans="1:107" x14ac:dyDescent="0.25">
      <c r="A54">
        <f>ROW(Source!A69)</f>
        <v>69</v>
      </c>
      <c r="B54">
        <v>46567972</v>
      </c>
      <c r="C54">
        <v>46568192</v>
      </c>
      <c r="D54">
        <v>44537855</v>
      </c>
      <c r="E54">
        <v>1</v>
      </c>
      <c r="F54">
        <v>1</v>
      </c>
      <c r="G54">
        <v>1</v>
      </c>
      <c r="H54">
        <v>2</v>
      </c>
      <c r="I54" t="s">
        <v>199</v>
      </c>
      <c r="J54" t="s">
        <v>200</v>
      </c>
      <c r="K54" t="s">
        <v>201</v>
      </c>
      <c r="L54">
        <v>1367</v>
      </c>
      <c r="N54">
        <v>1011</v>
      </c>
      <c r="O54" t="s">
        <v>198</v>
      </c>
      <c r="P54" t="s">
        <v>198</v>
      </c>
      <c r="Q54">
        <v>1</v>
      </c>
      <c r="W54">
        <v>0</v>
      </c>
      <c r="X54">
        <v>1098214667</v>
      </c>
      <c r="Y54">
        <v>0.33750000000000002</v>
      </c>
      <c r="AA54">
        <v>0</v>
      </c>
      <c r="AB54">
        <v>361.05</v>
      </c>
      <c r="AC54">
        <v>425.39</v>
      </c>
      <c r="AD54">
        <v>0</v>
      </c>
      <c r="AE54">
        <v>0</v>
      </c>
      <c r="AF54">
        <v>31.26</v>
      </c>
      <c r="AG54">
        <v>13.5</v>
      </c>
      <c r="AH54">
        <v>0</v>
      </c>
      <c r="AI54">
        <v>1</v>
      </c>
      <c r="AJ54">
        <v>11.55</v>
      </c>
      <c r="AK54">
        <v>31.51</v>
      </c>
      <c r="AL54">
        <v>1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0.27</v>
      </c>
      <c r="AU54" t="s">
        <v>21</v>
      </c>
      <c r="AV54">
        <v>0</v>
      </c>
      <c r="AW54">
        <v>2</v>
      </c>
      <c r="AX54">
        <v>46568203</v>
      </c>
      <c r="AY54">
        <v>1</v>
      </c>
      <c r="AZ54">
        <v>0</v>
      </c>
      <c r="BA54">
        <v>61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Y54*Source!I69</f>
        <v>3.3750000000000002E-2</v>
      </c>
      <c r="CY54">
        <f>AB54</f>
        <v>361.05</v>
      </c>
      <c r="CZ54">
        <f>AF54</f>
        <v>31.26</v>
      </c>
      <c r="DA54">
        <f>AJ54</f>
        <v>11.55</v>
      </c>
      <c r="DB54">
        <f>ROUND((ROUND(AT54*CZ54,2)*1.25),2)</f>
        <v>10.55</v>
      </c>
      <c r="DC54">
        <f>ROUND((ROUND(AT54*AG54,2)*1.25),2)</f>
        <v>4.5599999999999996</v>
      </c>
    </row>
    <row r="55" spans="1:107" x14ac:dyDescent="0.25">
      <c r="A55">
        <f>ROW(Source!A69)</f>
        <v>69</v>
      </c>
      <c r="B55">
        <v>46567972</v>
      </c>
      <c r="C55">
        <v>46568192</v>
      </c>
      <c r="D55">
        <v>44538010</v>
      </c>
      <c r="E55">
        <v>1</v>
      </c>
      <c r="F55">
        <v>1</v>
      </c>
      <c r="G55">
        <v>1</v>
      </c>
      <c r="H55">
        <v>2</v>
      </c>
      <c r="I55" t="s">
        <v>202</v>
      </c>
      <c r="J55" t="s">
        <v>203</v>
      </c>
      <c r="K55" t="s">
        <v>204</v>
      </c>
      <c r="L55">
        <v>1367</v>
      </c>
      <c r="N55">
        <v>1011</v>
      </c>
      <c r="O55" t="s">
        <v>198</v>
      </c>
      <c r="P55" t="s">
        <v>198</v>
      </c>
      <c r="Q55">
        <v>1</v>
      </c>
      <c r="W55">
        <v>0</v>
      </c>
      <c r="X55">
        <v>999127525</v>
      </c>
      <c r="Y55">
        <v>1.625</v>
      </c>
      <c r="AA55">
        <v>0</v>
      </c>
      <c r="AB55">
        <v>143.1</v>
      </c>
      <c r="AC55">
        <v>316.99</v>
      </c>
      <c r="AD55">
        <v>0</v>
      </c>
      <c r="AE55">
        <v>0</v>
      </c>
      <c r="AF55">
        <v>12.39</v>
      </c>
      <c r="AG55">
        <v>10.06</v>
      </c>
      <c r="AH55">
        <v>0</v>
      </c>
      <c r="AI55">
        <v>1</v>
      </c>
      <c r="AJ55">
        <v>11.55</v>
      </c>
      <c r="AK55">
        <v>31.51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1.3</v>
      </c>
      <c r="AU55" t="s">
        <v>21</v>
      </c>
      <c r="AV55">
        <v>0</v>
      </c>
      <c r="AW55">
        <v>2</v>
      </c>
      <c r="AX55">
        <v>46568204</v>
      </c>
      <c r="AY55">
        <v>1</v>
      </c>
      <c r="AZ55">
        <v>0</v>
      </c>
      <c r="BA55">
        <v>62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Y55*Source!I69</f>
        <v>0.16250000000000001</v>
      </c>
      <c r="CY55">
        <f>AB55</f>
        <v>143.1</v>
      </c>
      <c r="CZ55">
        <f>AF55</f>
        <v>12.39</v>
      </c>
      <c r="DA55">
        <f>AJ55</f>
        <v>11.55</v>
      </c>
      <c r="DB55">
        <f>ROUND((ROUND(AT55*CZ55,2)*1.25),2)</f>
        <v>20.14</v>
      </c>
      <c r="DC55">
        <f>ROUND((ROUND(AT55*AG55,2)*1.25),2)</f>
        <v>16.350000000000001</v>
      </c>
    </row>
    <row r="56" spans="1:107" x14ac:dyDescent="0.25">
      <c r="A56">
        <f>ROW(Source!A69)</f>
        <v>69</v>
      </c>
      <c r="B56">
        <v>46567972</v>
      </c>
      <c r="C56">
        <v>46568192</v>
      </c>
      <c r="D56">
        <v>44336161</v>
      </c>
      <c r="E56">
        <v>1</v>
      </c>
      <c r="F56">
        <v>1</v>
      </c>
      <c r="G56">
        <v>1</v>
      </c>
      <c r="H56">
        <v>3</v>
      </c>
      <c r="I56" t="s">
        <v>208</v>
      </c>
      <c r="J56" t="s">
        <v>209</v>
      </c>
      <c r="K56" t="s">
        <v>210</v>
      </c>
      <c r="L56">
        <v>1339</v>
      </c>
      <c r="N56">
        <v>1007</v>
      </c>
      <c r="O56" t="s">
        <v>211</v>
      </c>
      <c r="P56" t="s">
        <v>211</v>
      </c>
      <c r="Q56">
        <v>1</v>
      </c>
      <c r="W56">
        <v>0</v>
      </c>
      <c r="X56">
        <v>929815444</v>
      </c>
      <c r="Y56">
        <v>0</v>
      </c>
      <c r="AA56">
        <v>21.52</v>
      </c>
      <c r="AB56">
        <v>0</v>
      </c>
      <c r="AC56">
        <v>0</v>
      </c>
      <c r="AD56">
        <v>0</v>
      </c>
      <c r="AE56">
        <v>2.44</v>
      </c>
      <c r="AF56">
        <v>0</v>
      </c>
      <c r="AG56">
        <v>0</v>
      </c>
      <c r="AH56">
        <v>0</v>
      </c>
      <c r="AI56">
        <v>8.82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8.5000000000000006E-2</v>
      </c>
      <c r="AU56" t="s">
        <v>20</v>
      </c>
      <c r="AV56">
        <v>0</v>
      </c>
      <c r="AW56">
        <v>2</v>
      </c>
      <c r="AX56">
        <v>46568205</v>
      </c>
      <c r="AY56">
        <v>1</v>
      </c>
      <c r="AZ56">
        <v>0</v>
      </c>
      <c r="BA56">
        <v>63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Y56*Source!I69</f>
        <v>0</v>
      </c>
      <c r="CY56">
        <f>AA56</f>
        <v>21.52</v>
      </c>
      <c r="CZ56">
        <f>AE56</f>
        <v>2.44</v>
      </c>
      <c r="DA56">
        <f>AI56</f>
        <v>8.82</v>
      </c>
      <c r="DB56">
        <f>ROUND((ROUND(AT56*CZ56,2)*0),2)</f>
        <v>0</v>
      </c>
      <c r="DC56">
        <f>ROUND((ROUND(AT56*AG56,2)*0),2)</f>
        <v>0</v>
      </c>
    </row>
    <row r="57" spans="1:107" x14ac:dyDescent="0.25">
      <c r="A57">
        <f>ROW(Source!A69)</f>
        <v>69</v>
      </c>
      <c r="B57">
        <v>46567972</v>
      </c>
      <c r="C57">
        <v>46568192</v>
      </c>
      <c r="D57">
        <v>44341905</v>
      </c>
      <c r="E57">
        <v>1</v>
      </c>
      <c r="F57">
        <v>1</v>
      </c>
      <c r="G57">
        <v>1</v>
      </c>
      <c r="H57">
        <v>3</v>
      </c>
      <c r="I57" t="s">
        <v>212</v>
      </c>
      <c r="J57" t="s">
        <v>213</v>
      </c>
      <c r="K57" t="s">
        <v>214</v>
      </c>
      <c r="L57">
        <v>1346</v>
      </c>
      <c r="N57">
        <v>1009</v>
      </c>
      <c r="O57" t="s">
        <v>215</v>
      </c>
      <c r="P57" t="s">
        <v>215</v>
      </c>
      <c r="Q57">
        <v>1</v>
      </c>
      <c r="W57">
        <v>0</v>
      </c>
      <c r="X57">
        <v>-1647809537</v>
      </c>
      <c r="Y57">
        <v>0</v>
      </c>
      <c r="AA57">
        <v>16.05</v>
      </c>
      <c r="AB57">
        <v>0</v>
      </c>
      <c r="AC57">
        <v>0</v>
      </c>
      <c r="AD57">
        <v>0</v>
      </c>
      <c r="AE57">
        <v>1.82</v>
      </c>
      <c r="AF57">
        <v>0</v>
      </c>
      <c r="AG57">
        <v>0</v>
      </c>
      <c r="AH57">
        <v>0</v>
      </c>
      <c r="AI57">
        <v>8.82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0.5</v>
      </c>
      <c r="AU57" t="s">
        <v>20</v>
      </c>
      <c r="AV57">
        <v>0</v>
      </c>
      <c r="AW57">
        <v>2</v>
      </c>
      <c r="AX57">
        <v>46568206</v>
      </c>
      <c r="AY57">
        <v>1</v>
      </c>
      <c r="AZ57">
        <v>0</v>
      </c>
      <c r="BA57">
        <v>64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Y57*Source!I69</f>
        <v>0</v>
      </c>
      <c r="CY57">
        <f>AA57</f>
        <v>16.05</v>
      </c>
      <c r="CZ57">
        <f>AE57</f>
        <v>1.82</v>
      </c>
      <c r="DA57">
        <f>AI57</f>
        <v>8.82</v>
      </c>
      <c r="DB57">
        <f>ROUND((ROUND(AT57*CZ57,2)*0),2)</f>
        <v>0</v>
      </c>
      <c r="DC57">
        <f>ROUND((ROUND(AT57*AG57,2)*0),2)</f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7"/>
  <sheetViews>
    <sheetView workbookViewId="0"/>
  </sheetViews>
  <sheetFormatPr defaultColWidth="9.109375" defaultRowHeight="13.2" x14ac:dyDescent="0.25"/>
  <cols>
    <col min="1" max="256" width="9.109375" customWidth="1"/>
  </cols>
  <sheetData>
    <row r="1" spans="1:44" x14ac:dyDescent="0.25">
      <c r="A1">
        <f>ROW(Source!A28)</f>
        <v>28</v>
      </c>
      <c r="B1">
        <v>46568050</v>
      </c>
      <c r="C1">
        <v>46568049</v>
      </c>
      <c r="D1">
        <v>44321785</v>
      </c>
      <c r="E1">
        <v>68</v>
      </c>
      <c r="F1">
        <v>1</v>
      </c>
      <c r="G1">
        <v>1</v>
      </c>
      <c r="H1">
        <v>1</v>
      </c>
      <c r="I1" t="s">
        <v>190</v>
      </c>
      <c r="J1" t="s">
        <v>3</v>
      </c>
      <c r="K1" t="s">
        <v>191</v>
      </c>
      <c r="L1">
        <v>1191</v>
      </c>
      <c r="N1">
        <v>1013</v>
      </c>
      <c r="O1" t="s">
        <v>192</v>
      </c>
      <c r="P1" t="s">
        <v>192</v>
      </c>
      <c r="Q1">
        <v>1</v>
      </c>
      <c r="X1">
        <v>119.78</v>
      </c>
      <c r="Y1">
        <v>0</v>
      </c>
      <c r="Z1">
        <v>0</v>
      </c>
      <c r="AA1">
        <v>0</v>
      </c>
      <c r="AB1">
        <v>8.74</v>
      </c>
      <c r="AC1">
        <v>0</v>
      </c>
      <c r="AD1">
        <v>1</v>
      </c>
      <c r="AE1">
        <v>1</v>
      </c>
      <c r="AF1" t="s">
        <v>22</v>
      </c>
      <c r="AG1">
        <v>206.62049999999999</v>
      </c>
      <c r="AH1">
        <v>2</v>
      </c>
      <c r="AI1">
        <v>46568050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5">
      <c r="A2">
        <f>ROW(Source!A28)</f>
        <v>28</v>
      </c>
      <c r="B2">
        <v>46568051</v>
      </c>
      <c r="C2">
        <v>46568049</v>
      </c>
      <c r="D2">
        <v>44322049</v>
      </c>
      <c r="E2">
        <v>68</v>
      </c>
      <c r="F2">
        <v>1</v>
      </c>
      <c r="G2">
        <v>1</v>
      </c>
      <c r="H2">
        <v>1</v>
      </c>
      <c r="I2" t="s">
        <v>193</v>
      </c>
      <c r="J2" t="s">
        <v>3</v>
      </c>
      <c r="K2" t="s">
        <v>194</v>
      </c>
      <c r="L2">
        <v>1191</v>
      </c>
      <c r="N2">
        <v>1013</v>
      </c>
      <c r="O2" t="s">
        <v>192</v>
      </c>
      <c r="P2" t="s">
        <v>192</v>
      </c>
      <c r="Q2">
        <v>1</v>
      </c>
      <c r="X2">
        <v>4.5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21</v>
      </c>
      <c r="AG2">
        <v>5.625</v>
      </c>
      <c r="AH2">
        <v>2</v>
      </c>
      <c r="AI2">
        <v>46568051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5">
      <c r="A3">
        <f>ROW(Source!A28)</f>
        <v>28</v>
      </c>
      <c r="B3">
        <v>46568052</v>
      </c>
      <c r="C3">
        <v>46568049</v>
      </c>
      <c r="D3">
        <v>44537801</v>
      </c>
      <c r="E3">
        <v>1</v>
      </c>
      <c r="F3">
        <v>1</v>
      </c>
      <c r="G3">
        <v>1</v>
      </c>
      <c r="H3">
        <v>2</v>
      </c>
      <c r="I3" t="s">
        <v>195</v>
      </c>
      <c r="J3" t="s">
        <v>196</v>
      </c>
      <c r="K3" t="s">
        <v>197</v>
      </c>
      <c r="L3">
        <v>1367</v>
      </c>
      <c r="N3">
        <v>1011</v>
      </c>
      <c r="O3" t="s">
        <v>198</v>
      </c>
      <c r="P3" t="s">
        <v>198</v>
      </c>
      <c r="Q3">
        <v>1</v>
      </c>
      <c r="X3">
        <v>0.36</v>
      </c>
      <c r="Y3">
        <v>0</v>
      </c>
      <c r="Z3">
        <v>89.99</v>
      </c>
      <c r="AA3">
        <v>10.06</v>
      </c>
      <c r="AB3">
        <v>0</v>
      </c>
      <c r="AC3">
        <v>0</v>
      </c>
      <c r="AD3">
        <v>1</v>
      </c>
      <c r="AE3">
        <v>0</v>
      </c>
      <c r="AF3" t="s">
        <v>21</v>
      </c>
      <c r="AG3">
        <v>0.44999999999999996</v>
      </c>
      <c r="AH3">
        <v>2</v>
      </c>
      <c r="AI3">
        <v>46568052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5">
      <c r="A4">
        <f>ROW(Source!A28)</f>
        <v>28</v>
      </c>
      <c r="B4">
        <v>46568053</v>
      </c>
      <c r="C4">
        <v>46568049</v>
      </c>
      <c r="D4">
        <v>44537855</v>
      </c>
      <c r="E4">
        <v>1</v>
      </c>
      <c r="F4">
        <v>1</v>
      </c>
      <c r="G4">
        <v>1</v>
      </c>
      <c r="H4">
        <v>2</v>
      </c>
      <c r="I4" t="s">
        <v>199</v>
      </c>
      <c r="J4" t="s">
        <v>200</v>
      </c>
      <c r="K4" t="s">
        <v>201</v>
      </c>
      <c r="L4">
        <v>1367</v>
      </c>
      <c r="N4">
        <v>1011</v>
      </c>
      <c r="O4" t="s">
        <v>198</v>
      </c>
      <c r="P4" t="s">
        <v>198</v>
      </c>
      <c r="Q4">
        <v>1</v>
      </c>
      <c r="X4">
        <v>2.2999999999999998</v>
      </c>
      <c r="Y4">
        <v>0</v>
      </c>
      <c r="Z4">
        <v>31.26</v>
      </c>
      <c r="AA4">
        <v>13.5</v>
      </c>
      <c r="AB4">
        <v>0</v>
      </c>
      <c r="AC4">
        <v>0</v>
      </c>
      <c r="AD4">
        <v>1</v>
      </c>
      <c r="AE4">
        <v>0</v>
      </c>
      <c r="AF4" t="s">
        <v>21</v>
      </c>
      <c r="AG4">
        <v>2.875</v>
      </c>
      <c r="AH4">
        <v>2</v>
      </c>
      <c r="AI4">
        <v>46568053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5">
      <c r="A5">
        <f>ROW(Source!A28)</f>
        <v>28</v>
      </c>
      <c r="B5">
        <v>46568054</v>
      </c>
      <c r="C5">
        <v>46568049</v>
      </c>
      <c r="D5">
        <v>44538010</v>
      </c>
      <c r="E5">
        <v>1</v>
      </c>
      <c r="F5">
        <v>1</v>
      </c>
      <c r="G5">
        <v>1</v>
      </c>
      <c r="H5">
        <v>2</v>
      </c>
      <c r="I5" t="s">
        <v>202</v>
      </c>
      <c r="J5" t="s">
        <v>203</v>
      </c>
      <c r="K5" t="s">
        <v>204</v>
      </c>
      <c r="L5">
        <v>1367</v>
      </c>
      <c r="N5">
        <v>1011</v>
      </c>
      <c r="O5" t="s">
        <v>198</v>
      </c>
      <c r="P5" t="s">
        <v>198</v>
      </c>
      <c r="Q5">
        <v>1</v>
      </c>
      <c r="X5">
        <v>1.56</v>
      </c>
      <c r="Y5">
        <v>0</v>
      </c>
      <c r="Z5">
        <v>12.39</v>
      </c>
      <c r="AA5">
        <v>10.06</v>
      </c>
      <c r="AB5">
        <v>0</v>
      </c>
      <c r="AC5">
        <v>0</v>
      </c>
      <c r="AD5">
        <v>1</v>
      </c>
      <c r="AE5">
        <v>0</v>
      </c>
      <c r="AF5" t="s">
        <v>21</v>
      </c>
      <c r="AG5">
        <v>1.9500000000000002</v>
      </c>
      <c r="AH5">
        <v>2</v>
      </c>
      <c r="AI5">
        <v>46568054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5">
      <c r="A6">
        <f>ROW(Source!A28)</f>
        <v>28</v>
      </c>
      <c r="B6">
        <v>46568055</v>
      </c>
      <c r="C6">
        <v>46568049</v>
      </c>
      <c r="D6">
        <v>44538839</v>
      </c>
      <c r="E6">
        <v>1</v>
      </c>
      <c r="F6">
        <v>1</v>
      </c>
      <c r="G6">
        <v>1</v>
      </c>
      <c r="H6">
        <v>2</v>
      </c>
      <c r="I6" t="s">
        <v>205</v>
      </c>
      <c r="J6" t="s">
        <v>206</v>
      </c>
      <c r="K6" t="s">
        <v>207</v>
      </c>
      <c r="L6">
        <v>1367</v>
      </c>
      <c r="N6">
        <v>1011</v>
      </c>
      <c r="O6" t="s">
        <v>198</v>
      </c>
      <c r="P6" t="s">
        <v>198</v>
      </c>
      <c r="Q6">
        <v>1</v>
      </c>
      <c r="X6">
        <v>0.28000000000000003</v>
      </c>
      <c r="Y6">
        <v>0</v>
      </c>
      <c r="Z6">
        <v>65.709999999999994</v>
      </c>
      <c r="AA6">
        <v>11.6</v>
      </c>
      <c r="AB6">
        <v>0</v>
      </c>
      <c r="AC6">
        <v>0</v>
      </c>
      <c r="AD6">
        <v>1</v>
      </c>
      <c r="AE6">
        <v>0</v>
      </c>
      <c r="AF6" t="s">
        <v>21</v>
      </c>
      <c r="AG6">
        <v>0.35000000000000003</v>
      </c>
      <c r="AH6">
        <v>2</v>
      </c>
      <c r="AI6">
        <v>46568055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5">
      <c r="A7">
        <f>ROW(Source!A28)</f>
        <v>28</v>
      </c>
      <c r="B7">
        <v>46568056</v>
      </c>
      <c r="C7">
        <v>46568049</v>
      </c>
      <c r="D7">
        <v>44336161</v>
      </c>
      <c r="E7">
        <v>1</v>
      </c>
      <c r="F7">
        <v>1</v>
      </c>
      <c r="G7">
        <v>1</v>
      </c>
      <c r="H7">
        <v>3</v>
      </c>
      <c r="I7" t="s">
        <v>208</v>
      </c>
      <c r="J7" t="s">
        <v>209</v>
      </c>
      <c r="K7" t="s">
        <v>210</v>
      </c>
      <c r="L7">
        <v>1339</v>
      </c>
      <c r="N7">
        <v>1007</v>
      </c>
      <c r="O7" t="s">
        <v>211</v>
      </c>
      <c r="P7" t="s">
        <v>211</v>
      </c>
      <c r="Q7">
        <v>1</v>
      </c>
      <c r="X7">
        <v>0.1</v>
      </c>
      <c r="Y7">
        <v>2.44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20</v>
      </c>
      <c r="AG7">
        <v>0</v>
      </c>
      <c r="AH7">
        <v>2</v>
      </c>
      <c r="AI7">
        <v>46568056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5">
      <c r="A8">
        <f>ROW(Source!A28)</f>
        <v>28</v>
      </c>
      <c r="B8">
        <v>46568057</v>
      </c>
      <c r="C8">
        <v>46568049</v>
      </c>
      <c r="D8">
        <v>44341905</v>
      </c>
      <c r="E8">
        <v>1</v>
      </c>
      <c r="F8">
        <v>1</v>
      </c>
      <c r="G8">
        <v>1</v>
      </c>
      <c r="H8">
        <v>3</v>
      </c>
      <c r="I8" t="s">
        <v>212</v>
      </c>
      <c r="J8" t="s">
        <v>213</v>
      </c>
      <c r="K8" t="s">
        <v>214</v>
      </c>
      <c r="L8">
        <v>1346</v>
      </c>
      <c r="N8">
        <v>1009</v>
      </c>
      <c r="O8" t="s">
        <v>215</v>
      </c>
      <c r="P8" t="s">
        <v>215</v>
      </c>
      <c r="Q8">
        <v>1</v>
      </c>
      <c r="X8">
        <v>0.5</v>
      </c>
      <c r="Y8">
        <v>1.82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20</v>
      </c>
      <c r="AG8">
        <v>0</v>
      </c>
      <c r="AH8">
        <v>2</v>
      </c>
      <c r="AI8">
        <v>46568057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5">
      <c r="A9">
        <f>ROW(Source!A28)</f>
        <v>28</v>
      </c>
      <c r="B9">
        <v>46568058</v>
      </c>
      <c r="C9">
        <v>46568049</v>
      </c>
      <c r="D9">
        <v>44345078</v>
      </c>
      <c r="E9">
        <v>1</v>
      </c>
      <c r="F9">
        <v>1</v>
      </c>
      <c r="G9">
        <v>1</v>
      </c>
      <c r="H9">
        <v>3</v>
      </c>
      <c r="I9" t="s">
        <v>216</v>
      </c>
      <c r="J9" t="s">
        <v>217</v>
      </c>
      <c r="K9" t="s">
        <v>218</v>
      </c>
      <c r="L9">
        <v>1348</v>
      </c>
      <c r="N9">
        <v>1009</v>
      </c>
      <c r="O9" t="s">
        <v>219</v>
      </c>
      <c r="P9" t="s">
        <v>219</v>
      </c>
      <c r="Q9">
        <v>1000</v>
      </c>
      <c r="X9">
        <v>0.05</v>
      </c>
      <c r="Y9">
        <v>6513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20</v>
      </c>
      <c r="AG9">
        <v>0</v>
      </c>
      <c r="AH9">
        <v>2</v>
      </c>
      <c r="AI9">
        <v>46568058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5">
      <c r="A10">
        <f>ROW(Source!A28)</f>
        <v>28</v>
      </c>
      <c r="B10">
        <v>46568059</v>
      </c>
      <c r="C10">
        <v>46568049</v>
      </c>
      <c r="D10">
        <v>44363679</v>
      </c>
      <c r="E10">
        <v>1</v>
      </c>
      <c r="F10">
        <v>1</v>
      </c>
      <c r="G10">
        <v>1</v>
      </c>
      <c r="H10">
        <v>3</v>
      </c>
      <c r="I10" t="s">
        <v>220</v>
      </c>
      <c r="J10" t="s">
        <v>221</v>
      </c>
      <c r="K10" t="s">
        <v>222</v>
      </c>
      <c r="L10">
        <v>1327</v>
      </c>
      <c r="N10">
        <v>1005</v>
      </c>
      <c r="O10" t="s">
        <v>223</v>
      </c>
      <c r="P10" t="s">
        <v>223</v>
      </c>
      <c r="Q10">
        <v>1</v>
      </c>
      <c r="X10">
        <v>102</v>
      </c>
      <c r="Y10">
        <v>82.5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20</v>
      </c>
      <c r="AG10">
        <v>0</v>
      </c>
      <c r="AH10">
        <v>2</v>
      </c>
      <c r="AI10">
        <v>46568059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5">
      <c r="A11">
        <f>ROW(Source!A28)</f>
        <v>28</v>
      </c>
      <c r="B11">
        <v>46568060</v>
      </c>
      <c r="C11">
        <v>46568049</v>
      </c>
      <c r="D11">
        <v>44388786</v>
      </c>
      <c r="E11">
        <v>1</v>
      </c>
      <c r="F11">
        <v>1</v>
      </c>
      <c r="G11">
        <v>1</v>
      </c>
      <c r="H11">
        <v>3</v>
      </c>
      <c r="I11" t="s">
        <v>224</v>
      </c>
      <c r="J11" t="s">
        <v>225</v>
      </c>
      <c r="K11" t="s">
        <v>226</v>
      </c>
      <c r="L11">
        <v>1346</v>
      </c>
      <c r="N11">
        <v>1009</v>
      </c>
      <c r="O11" t="s">
        <v>215</v>
      </c>
      <c r="P11" t="s">
        <v>215</v>
      </c>
      <c r="Q11">
        <v>1</v>
      </c>
      <c r="X11">
        <v>450</v>
      </c>
      <c r="Y11">
        <v>1.37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20</v>
      </c>
      <c r="AG11">
        <v>0</v>
      </c>
      <c r="AH11">
        <v>2</v>
      </c>
      <c r="AI11">
        <v>46568060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5">
      <c r="A12">
        <f>ROW(Source!A29)</f>
        <v>29</v>
      </c>
      <c r="B12">
        <v>46568063</v>
      </c>
      <c r="C12">
        <v>46568062</v>
      </c>
      <c r="D12">
        <v>44321809</v>
      </c>
      <c r="E12">
        <v>68</v>
      </c>
      <c r="F12">
        <v>1</v>
      </c>
      <c r="G12">
        <v>1</v>
      </c>
      <c r="H12">
        <v>1</v>
      </c>
      <c r="I12" t="s">
        <v>227</v>
      </c>
      <c r="J12" t="s">
        <v>3</v>
      </c>
      <c r="K12" t="s">
        <v>228</v>
      </c>
      <c r="L12">
        <v>1191</v>
      </c>
      <c r="N12">
        <v>1013</v>
      </c>
      <c r="O12" t="s">
        <v>192</v>
      </c>
      <c r="P12" t="s">
        <v>192</v>
      </c>
      <c r="Q12">
        <v>1</v>
      </c>
      <c r="X12">
        <v>115.26</v>
      </c>
      <c r="Y12">
        <v>0</v>
      </c>
      <c r="Z12">
        <v>0</v>
      </c>
      <c r="AA12">
        <v>0</v>
      </c>
      <c r="AB12">
        <v>9.18</v>
      </c>
      <c r="AC12">
        <v>0</v>
      </c>
      <c r="AD12">
        <v>1</v>
      </c>
      <c r="AE12">
        <v>1</v>
      </c>
      <c r="AF12" t="s">
        <v>22</v>
      </c>
      <c r="AG12">
        <v>198.82350000000002</v>
      </c>
      <c r="AH12">
        <v>2</v>
      </c>
      <c r="AI12">
        <v>46568063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5">
      <c r="A13">
        <f>ROW(Source!A29)</f>
        <v>29</v>
      </c>
      <c r="B13">
        <v>46568064</v>
      </c>
      <c r="C13">
        <v>46568062</v>
      </c>
      <c r="D13">
        <v>44322049</v>
      </c>
      <c r="E13">
        <v>68</v>
      </c>
      <c r="F13">
        <v>1</v>
      </c>
      <c r="G13">
        <v>1</v>
      </c>
      <c r="H13">
        <v>1</v>
      </c>
      <c r="I13" t="s">
        <v>193</v>
      </c>
      <c r="J13" t="s">
        <v>3</v>
      </c>
      <c r="K13" t="s">
        <v>194</v>
      </c>
      <c r="L13">
        <v>1191</v>
      </c>
      <c r="N13">
        <v>1013</v>
      </c>
      <c r="O13" t="s">
        <v>192</v>
      </c>
      <c r="P13" t="s">
        <v>192</v>
      </c>
      <c r="Q13">
        <v>1</v>
      </c>
      <c r="X13">
        <v>1.65</v>
      </c>
      <c r="Y13">
        <v>0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2</v>
      </c>
      <c r="AF13" t="s">
        <v>21</v>
      </c>
      <c r="AG13">
        <v>2.0625</v>
      </c>
      <c r="AH13">
        <v>2</v>
      </c>
      <c r="AI13">
        <v>46568064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5">
      <c r="A14">
        <f>ROW(Source!A29)</f>
        <v>29</v>
      </c>
      <c r="B14">
        <v>46568065</v>
      </c>
      <c r="C14">
        <v>46568062</v>
      </c>
      <c r="D14">
        <v>44537801</v>
      </c>
      <c r="E14">
        <v>1</v>
      </c>
      <c r="F14">
        <v>1</v>
      </c>
      <c r="G14">
        <v>1</v>
      </c>
      <c r="H14">
        <v>2</v>
      </c>
      <c r="I14" t="s">
        <v>195</v>
      </c>
      <c r="J14" t="s">
        <v>196</v>
      </c>
      <c r="K14" t="s">
        <v>197</v>
      </c>
      <c r="L14">
        <v>1367</v>
      </c>
      <c r="N14">
        <v>1011</v>
      </c>
      <c r="O14" t="s">
        <v>198</v>
      </c>
      <c r="P14" t="s">
        <v>198</v>
      </c>
      <c r="Q14">
        <v>1</v>
      </c>
      <c r="X14">
        <v>0.08</v>
      </c>
      <c r="Y14">
        <v>0</v>
      </c>
      <c r="Z14">
        <v>89.99</v>
      </c>
      <c r="AA14">
        <v>10.06</v>
      </c>
      <c r="AB14">
        <v>0</v>
      </c>
      <c r="AC14">
        <v>0</v>
      </c>
      <c r="AD14">
        <v>1</v>
      </c>
      <c r="AE14">
        <v>0</v>
      </c>
      <c r="AF14" t="s">
        <v>21</v>
      </c>
      <c r="AG14">
        <v>0.1</v>
      </c>
      <c r="AH14">
        <v>2</v>
      </c>
      <c r="AI14">
        <v>46568065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5">
      <c r="A15">
        <f>ROW(Source!A29)</f>
        <v>29</v>
      </c>
      <c r="B15">
        <v>46568066</v>
      </c>
      <c r="C15">
        <v>46568062</v>
      </c>
      <c r="D15">
        <v>44537855</v>
      </c>
      <c r="E15">
        <v>1</v>
      </c>
      <c r="F15">
        <v>1</v>
      </c>
      <c r="G15">
        <v>1</v>
      </c>
      <c r="H15">
        <v>2</v>
      </c>
      <c r="I15" t="s">
        <v>199</v>
      </c>
      <c r="J15" t="s">
        <v>200</v>
      </c>
      <c r="K15" t="s">
        <v>201</v>
      </c>
      <c r="L15">
        <v>1367</v>
      </c>
      <c r="N15">
        <v>1011</v>
      </c>
      <c r="O15" t="s">
        <v>198</v>
      </c>
      <c r="P15" t="s">
        <v>198</v>
      </c>
      <c r="Q15">
        <v>1</v>
      </c>
      <c r="X15">
        <v>0.27</v>
      </c>
      <c r="Y15">
        <v>0</v>
      </c>
      <c r="Z15">
        <v>31.26</v>
      </c>
      <c r="AA15">
        <v>13.5</v>
      </c>
      <c r="AB15">
        <v>0</v>
      </c>
      <c r="AC15">
        <v>0</v>
      </c>
      <c r="AD15">
        <v>1</v>
      </c>
      <c r="AE15">
        <v>0</v>
      </c>
      <c r="AF15" t="s">
        <v>21</v>
      </c>
      <c r="AG15">
        <v>0.33750000000000002</v>
      </c>
      <c r="AH15">
        <v>2</v>
      </c>
      <c r="AI15">
        <v>46568066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5">
      <c r="A16">
        <f>ROW(Source!A29)</f>
        <v>29</v>
      </c>
      <c r="B16">
        <v>46568067</v>
      </c>
      <c r="C16">
        <v>46568062</v>
      </c>
      <c r="D16">
        <v>44538010</v>
      </c>
      <c r="E16">
        <v>1</v>
      </c>
      <c r="F16">
        <v>1</v>
      </c>
      <c r="G16">
        <v>1</v>
      </c>
      <c r="H16">
        <v>2</v>
      </c>
      <c r="I16" t="s">
        <v>202</v>
      </c>
      <c r="J16" t="s">
        <v>203</v>
      </c>
      <c r="K16" t="s">
        <v>204</v>
      </c>
      <c r="L16">
        <v>1367</v>
      </c>
      <c r="N16">
        <v>1011</v>
      </c>
      <c r="O16" t="s">
        <v>198</v>
      </c>
      <c r="P16" t="s">
        <v>198</v>
      </c>
      <c r="Q16">
        <v>1</v>
      </c>
      <c r="X16">
        <v>1.3</v>
      </c>
      <c r="Y16">
        <v>0</v>
      </c>
      <c r="Z16">
        <v>12.39</v>
      </c>
      <c r="AA16">
        <v>10.06</v>
      </c>
      <c r="AB16">
        <v>0</v>
      </c>
      <c r="AC16">
        <v>0</v>
      </c>
      <c r="AD16">
        <v>1</v>
      </c>
      <c r="AE16">
        <v>0</v>
      </c>
      <c r="AF16" t="s">
        <v>21</v>
      </c>
      <c r="AG16">
        <v>1.625</v>
      </c>
      <c r="AH16">
        <v>2</v>
      </c>
      <c r="AI16">
        <v>46568067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5">
      <c r="A17">
        <f>ROW(Source!A29)</f>
        <v>29</v>
      </c>
      <c r="B17">
        <v>46568068</v>
      </c>
      <c r="C17">
        <v>46568062</v>
      </c>
      <c r="D17">
        <v>44336161</v>
      </c>
      <c r="E17">
        <v>1</v>
      </c>
      <c r="F17">
        <v>1</v>
      </c>
      <c r="G17">
        <v>1</v>
      </c>
      <c r="H17">
        <v>3</v>
      </c>
      <c r="I17" t="s">
        <v>208</v>
      </c>
      <c r="J17" t="s">
        <v>209</v>
      </c>
      <c r="K17" t="s">
        <v>210</v>
      </c>
      <c r="L17">
        <v>1339</v>
      </c>
      <c r="N17">
        <v>1007</v>
      </c>
      <c r="O17" t="s">
        <v>211</v>
      </c>
      <c r="P17" t="s">
        <v>211</v>
      </c>
      <c r="Q17">
        <v>1</v>
      </c>
      <c r="X17">
        <v>8.5000000000000006E-2</v>
      </c>
      <c r="Y17">
        <v>2.44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20</v>
      </c>
      <c r="AG17">
        <v>0</v>
      </c>
      <c r="AH17">
        <v>2</v>
      </c>
      <c r="AI17">
        <v>46568068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5">
      <c r="A18">
        <f>ROW(Source!A29)</f>
        <v>29</v>
      </c>
      <c r="B18">
        <v>46568069</v>
      </c>
      <c r="C18">
        <v>46568062</v>
      </c>
      <c r="D18">
        <v>44341905</v>
      </c>
      <c r="E18">
        <v>1</v>
      </c>
      <c r="F18">
        <v>1</v>
      </c>
      <c r="G18">
        <v>1</v>
      </c>
      <c r="H18">
        <v>3</v>
      </c>
      <c r="I18" t="s">
        <v>212</v>
      </c>
      <c r="J18" t="s">
        <v>213</v>
      </c>
      <c r="K18" t="s">
        <v>214</v>
      </c>
      <c r="L18">
        <v>1346</v>
      </c>
      <c r="N18">
        <v>1009</v>
      </c>
      <c r="O18" t="s">
        <v>215</v>
      </c>
      <c r="P18" t="s">
        <v>215</v>
      </c>
      <c r="Q18">
        <v>1</v>
      </c>
      <c r="X18">
        <v>0.5</v>
      </c>
      <c r="Y18">
        <v>1.82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20</v>
      </c>
      <c r="AG18">
        <v>0</v>
      </c>
      <c r="AH18">
        <v>2</v>
      </c>
      <c r="AI18">
        <v>46568069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5">
      <c r="A19">
        <f>ROW(Source!A29)</f>
        <v>29</v>
      </c>
      <c r="B19">
        <v>46568070</v>
      </c>
      <c r="C19">
        <v>46568062</v>
      </c>
      <c r="D19">
        <v>44323136</v>
      </c>
      <c r="E19">
        <v>68</v>
      </c>
      <c r="F19">
        <v>1</v>
      </c>
      <c r="G19">
        <v>1</v>
      </c>
      <c r="H19">
        <v>3</v>
      </c>
      <c r="I19" t="s">
        <v>258</v>
      </c>
      <c r="J19" t="s">
        <v>3</v>
      </c>
      <c r="K19" t="s">
        <v>259</v>
      </c>
      <c r="L19">
        <v>1348</v>
      </c>
      <c r="N19">
        <v>1009</v>
      </c>
      <c r="O19" t="s">
        <v>219</v>
      </c>
      <c r="P19" t="s">
        <v>219</v>
      </c>
      <c r="Q19">
        <v>1000</v>
      </c>
      <c r="X19">
        <v>0.05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 t="s">
        <v>20</v>
      </c>
      <c r="AG19">
        <v>0</v>
      </c>
      <c r="AH19">
        <v>3</v>
      </c>
      <c r="AI19">
        <v>-1</v>
      </c>
      <c r="AJ19" t="s">
        <v>3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5">
      <c r="A20">
        <f>ROW(Source!A29)</f>
        <v>29</v>
      </c>
      <c r="B20">
        <v>46568071</v>
      </c>
      <c r="C20">
        <v>46568062</v>
      </c>
      <c r="D20">
        <v>44323877</v>
      </c>
      <c r="E20">
        <v>68</v>
      </c>
      <c r="F20">
        <v>1</v>
      </c>
      <c r="G20">
        <v>1</v>
      </c>
      <c r="H20">
        <v>3</v>
      </c>
      <c r="I20" t="s">
        <v>260</v>
      </c>
      <c r="J20" t="s">
        <v>3</v>
      </c>
      <c r="K20" t="s">
        <v>261</v>
      </c>
      <c r="L20">
        <v>1327</v>
      </c>
      <c r="N20">
        <v>1005</v>
      </c>
      <c r="O20" t="s">
        <v>223</v>
      </c>
      <c r="P20" t="s">
        <v>223</v>
      </c>
      <c r="Q20">
        <v>1</v>
      </c>
      <c r="X20">
        <v>100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 t="s">
        <v>20</v>
      </c>
      <c r="AG20">
        <v>0</v>
      </c>
      <c r="AH20">
        <v>3</v>
      </c>
      <c r="AI20">
        <v>-1</v>
      </c>
      <c r="AJ20" t="s">
        <v>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5">
      <c r="A21">
        <f>ROW(Source!A29)</f>
        <v>29</v>
      </c>
      <c r="B21">
        <v>46568072</v>
      </c>
      <c r="C21">
        <v>46568062</v>
      </c>
      <c r="D21">
        <v>44325355</v>
      </c>
      <c r="E21">
        <v>68</v>
      </c>
      <c r="F21">
        <v>1</v>
      </c>
      <c r="G21">
        <v>1</v>
      </c>
      <c r="H21">
        <v>3</v>
      </c>
      <c r="I21" t="s">
        <v>262</v>
      </c>
      <c r="J21" t="s">
        <v>3</v>
      </c>
      <c r="K21" t="s">
        <v>263</v>
      </c>
      <c r="L21">
        <v>1348</v>
      </c>
      <c r="N21">
        <v>1009</v>
      </c>
      <c r="O21" t="s">
        <v>219</v>
      </c>
      <c r="P21" t="s">
        <v>219</v>
      </c>
      <c r="Q21">
        <v>1000</v>
      </c>
      <c r="X21">
        <v>0.375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 t="s">
        <v>20</v>
      </c>
      <c r="AG21">
        <v>0</v>
      </c>
      <c r="AH21">
        <v>3</v>
      </c>
      <c r="AI21">
        <v>-1</v>
      </c>
      <c r="AJ21" t="s">
        <v>3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5">
      <c r="A22">
        <f>ROW(Source!A30)</f>
        <v>30</v>
      </c>
      <c r="B22">
        <v>46568078</v>
      </c>
      <c r="C22">
        <v>46568077</v>
      </c>
      <c r="D22">
        <v>44321824</v>
      </c>
      <c r="E22">
        <v>68</v>
      </c>
      <c r="F22">
        <v>1</v>
      </c>
      <c r="G22">
        <v>1</v>
      </c>
      <c r="H22">
        <v>1</v>
      </c>
      <c r="I22" t="s">
        <v>229</v>
      </c>
      <c r="J22" t="s">
        <v>3</v>
      </c>
      <c r="K22" t="s">
        <v>230</v>
      </c>
      <c r="L22">
        <v>1191</v>
      </c>
      <c r="N22">
        <v>1013</v>
      </c>
      <c r="O22" t="s">
        <v>192</v>
      </c>
      <c r="P22" t="s">
        <v>192</v>
      </c>
      <c r="Q22">
        <v>1</v>
      </c>
      <c r="X22">
        <v>108.36</v>
      </c>
      <c r="Y22">
        <v>0</v>
      </c>
      <c r="Z22">
        <v>0</v>
      </c>
      <c r="AA22">
        <v>0</v>
      </c>
      <c r="AB22">
        <v>9.4</v>
      </c>
      <c r="AC22">
        <v>0</v>
      </c>
      <c r="AD22">
        <v>1</v>
      </c>
      <c r="AE22">
        <v>1</v>
      </c>
      <c r="AF22" t="s">
        <v>22</v>
      </c>
      <c r="AG22">
        <v>186.92099999999999</v>
      </c>
      <c r="AH22">
        <v>2</v>
      </c>
      <c r="AI22">
        <v>46568078</v>
      </c>
      <c r="AJ22">
        <v>19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5">
      <c r="A23">
        <f>ROW(Source!A30)</f>
        <v>30</v>
      </c>
      <c r="B23">
        <v>46568079</v>
      </c>
      <c r="C23">
        <v>46568077</v>
      </c>
      <c r="D23">
        <v>44322049</v>
      </c>
      <c r="E23">
        <v>68</v>
      </c>
      <c r="F23">
        <v>1</v>
      </c>
      <c r="G23">
        <v>1</v>
      </c>
      <c r="H23">
        <v>1</v>
      </c>
      <c r="I23" t="s">
        <v>193</v>
      </c>
      <c r="J23" t="s">
        <v>3</v>
      </c>
      <c r="K23" t="s">
        <v>194</v>
      </c>
      <c r="L23">
        <v>1191</v>
      </c>
      <c r="N23">
        <v>1013</v>
      </c>
      <c r="O23" t="s">
        <v>192</v>
      </c>
      <c r="P23" t="s">
        <v>192</v>
      </c>
      <c r="Q23">
        <v>1</v>
      </c>
      <c r="X23">
        <v>0.39</v>
      </c>
      <c r="Y23">
        <v>0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2</v>
      </c>
      <c r="AF23" t="s">
        <v>21</v>
      </c>
      <c r="AG23">
        <v>0.48750000000000004</v>
      </c>
      <c r="AH23">
        <v>2</v>
      </c>
      <c r="AI23">
        <v>46568079</v>
      </c>
      <c r="AJ23">
        <v>20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5">
      <c r="A24">
        <f>ROW(Source!A30)</f>
        <v>30</v>
      </c>
      <c r="B24">
        <v>46568080</v>
      </c>
      <c r="C24">
        <v>46568077</v>
      </c>
      <c r="D24">
        <v>44537607</v>
      </c>
      <c r="E24">
        <v>1</v>
      </c>
      <c r="F24">
        <v>1</v>
      </c>
      <c r="G24">
        <v>1</v>
      </c>
      <c r="H24">
        <v>2</v>
      </c>
      <c r="I24" t="s">
        <v>231</v>
      </c>
      <c r="J24" t="s">
        <v>232</v>
      </c>
      <c r="K24" t="s">
        <v>233</v>
      </c>
      <c r="L24">
        <v>1367</v>
      </c>
      <c r="N24">
        <v>1011</v>
      </c>
      <c r="O24" t="s">
        <v>198</v>
      </c>
      <c r="P24" t="s">
        <v>198</v>
      </c>
      <c r="Q24">
        <v>1</v>
      </c>
      <c r="X24">
        <v>0.25</v>
      </c>
      <c r="Y24">
        <v>0</v>
      </c>
      <c r="Z24">
        <v>115.4</v>
      </c>
      <c r="AA24">
        <v>13.5</v>
      </c>
      <c r="AB24">
        <v>0</v>
      </c>
      <c r="AC24">
        <v>0</v>
      </c>
      <c r="AD24">
        <v>1</v>
      </c>
      <c r="AE24">
        <v>0</v>
      </c>
      <c r="AF24" t="s">
        <v>21</v>
      </c>
      <c r="AG24">
        <v>0.3125</v>
      </c>
      <c r="AH24">
        <v>2</v>
      </c>
      <c r="AI24">
        <v>46568080</v>
      </c>
      <c r="AJ24">
        <v>21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5">
      <c r="A25">
        <f>ROW(Source!A30)</f>
        <v>30</v>
      </c>
      <c r="B25">
        <v>46568081</v>
      </c>
      <c r="C25">
        <v>46568077</v>
      </c>
      <c r="D25">
        <v>44537774</v>
      </c>
      <c r="E25">
        <v>1</v>
      </c>
      <c r="F25">
        <v>1</v>
      </c>
      <c r="G25">
        <v>1</v>
      </c>
      <c r="H25">
        <v>2</v>
      </c>
      <c r="I25" t="s">
        <v>234</v>
      </c>
      <c r="J25" t="s">
        <v>235</v>
      </c>
      <c r="K25" t="s">
        <v>236</v>
      </c>
      <c r="L25">
        <v>1367</v>
      </c>
      <c r="N25">
        <v>1011</v>
      </c>
      <c r="O25" t="s">
        <v>198</v>
      </c>
      <c r="P25" t="s">
        <v>198</v>
      </c>
      <c r="Q25">
        <v>1</v>
      </c>
      <c r="X25">
        <v>16.2</v>
      </c>
      <c r="Y25">
        <v>0</v>
      </c>
      <c r="Z25">
        <v>6.9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21</v>
      </c>
      <c r="AG25">
        <v>20.25</v>
      </c>
      <c r="AH25">
        <v>2</v>
      </c>
      <c r="AI25">
        <v>46568081</v>
      </c>
      <c r="AJ25">
        <v>22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5">
      <c r="A26">
        <f>ROW(Source!A30)</f>
        <v>30</v>
      </c>
      <c r="B26">
        <v>46568082</v>
      </c>
      <c r="C26">
        <v>46568077</v>
      </c>
      <c r="D26">
        <v>44538839</v>
      </c>
      <c r="E26">
        <v>1</v>
      </c>
      <c r="F26">
        <v>1</v>
      </c>
      <c r="G26">
        <v>1</v>
      </c>
      <c r="H26">
        <v>2</v>
      </c>
      <c r="I26" t="s">
        <v>205</v>
      </c>
      <c r="J26" t="s">
        <v>206</v>
      </c>
      <c r="K26" t="s">
        <v>207</v>
      </c>
      <c r="L26">
        <v>1367</v>
      </c>
      <c r="N26">
        <v>1011</v>
      </c>
      <c r="O26" t="s">
        <v>198</v>
      </c>
      <c r="P26" t="s">
        <v>198</v>
      </c>
      <c r="Q26">
        <v>1</v>
      </c>
      <c r="X26">
        <v>0.14000000000000001</v>
      </c>
      <c r="Y26">
        <v>0</v>
      </c>
      <c r="Z26">
        <v>65.709999999999994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21</v>
      </c>
      <c r="AG26">
        <v>0.17500000000000002</v>
      </c>
      <c r="AH26">
        <v>2</v>
      </c>
      <c r="AI26">
        <v>46568082</v>
      </c>
      <c r="AJ26">
        <v>23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5">
      <c r="A27">
        <f>ROW(Source!A30)</f>
        <v>30</v>
      </c>
      <c r="B27">
        <v>46568083</v>
      </c>
      <c r="C27">
        <v>46568077</v>
      </c>
      <c r="D27">
        <v>44372237</v>
      </c>
      <c r="E27">
        <v>1</v>
      </c>
      <c r="F27">
        <v>1</v>
      </c>
      <c r="G27">
        <v>1</v>
      </c>
      <c r="H27">
        <v>3</v>
      </c>
      <c r="I27" t="s">
        <v>237</v>
      </c>
      <c r="J27" t="s">
        <v>238</v>
      </c>
      <c r="K27" t="s">
        <v>239</v>
      </c>
      <c r="L27">
        <v>1301</v>
      </c>
      <c r="N27">
        <v>1003</v>
      </c>
      <c r="O27" t="s">
        <v>240</v>
      </c>
      <c r="P27" t="s">
        <v>240</v>
      </c>
      <c r="Q27">
        <v>1</v>
      </c>
      <c r="X27">
        <v>100</v>
      </c>
      <c r="Y27">
        <v>20.47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20</v>
      </c>
      <c r="AG27">
        <v>0</v>
      </c>
      <c r="AH27">
        <v>2</v>
      </c>
      <c r="AI27">
        <v>46568083</v>
      </c>
      <c r="AJ27">
        <v>24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5">
      <c r="A28">
        <f>ROW(Source!A30)</f>
        <v>30</v>
      </c>
      <c r="B28">
        <v>46568084</v>
      </c>
      <c r="C28">
        <v>46568077</v>
      </c>
      <c r="D28">
        <v>44372244</v>
      </c>
      <c r="E28">
        <v>1</v>
      </c>
      <c r="F28">
        <v>1</v>
      </c>
      <c r="G28">
        <v>1</v>
      </c>
      <c r="H28">
        <v>3</v>
      </c>
      <c r="I28" t="s">
        <v>241</v>
      </c>
      <c r="J28" t="s">
        <v>242</v>
      </c>
      <c r="K28" t="s">
        <v>243</v>
      </c>
      <c r="L28">
        <v>1425</v>
      </c>
      <c r="N28">
        <v>1013</v>
      </c>
      <c r="O28" t="s">
        <v>244</v>
      </c>
      <c r="P28" t="s">
        <v>244</v>
      </c>
      <c r="Q28">
        <v>1</v>
      </c>
      <c r="X28">
        <v>0.7</v>
      </c>
      <c r="Y28">
        <v>366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20</v>
      </c>
      <c r="AG28">
        <v>0</v>
      </c>
      <c r="AH28">
        <v>2</v>
      </c>
      <c r="AI28">
        <v>46568084</v>
      </c>
      <c r="AJ28">
        <v>25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5">
      <c r="A29">
        <f>ROW(Source!A30)</f>
        <v>30</v>
      </c>
      <c r="B29">
        <v>46568085</v>
      </c>
      <c r="C29">
        <v>46568077</v>
      </c>
      <c r="D29">
        <v>44372252</v>
      </c>
      <c r="E29">
        <v>1</v>
      </c>
      <c r="F29">
        <v>1</v>
      </c>
      <c r="G29">
        <v>1</v>
      </c>
      <c r="H29">
        <v>3</v>
      </c>
      <c r="I29" t="s">
        <v>264</v>
      </c>
      <c r="J29" t="s">
        <v>265</v>
      </c>
      <c r="K29" t="s">
        <v>266</v>
      </c>
      <c r="L29">
        <v>1301</v>
      </c>
      <c r="N29">
        <v>1003</v>
      </c>
      <c r="O29" t="s">
        <v>240</v>
      </c>
      <c r="P29" t="s">
        <v>240</v>
      </c>
      <c r="Q29">
        <v>1</v>
      </c>
      <c r="X29">
        <v>0</v>
      </c>
      <c r="Y29">
        <v>6.28</v>
      </c>
      <c r="Z29">
        <v>0</v>
      </c>
      <c r="AA29">
        <v>0</v>
      </c>
      <c r="AB29">
        <v>0</v>
      </c>
      <c r="AC29">
        <v>1</v>
      </c>
      <c r="AD29">
        <v>0</v>
      </c>
      <c r="AE29">
        <v>0</v>
      </c>
      <c r="AF29" t="s">
        <v>20</v>
      </c>
      <c r="AG29">
        <v>0</v>
      </c>
      <c r="AH29">
        <v>3</v>
      </c>
      <c r="AI29">
        <v>-1</v>
      </c>
      <c r="AJ29" t="s">
        <v>3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5">
      <c r="A30">
        <f>ROW(Source!A30)</f>
        <v>30</v>
      </c>
      <c r="B30">
        <v>46568086</v>
      </c>
      <c r="C30">
        <v>46568077</v>
      </c>
      <c r="D30">
        <v>44373261</v>
      </c>
      <c r="E30">
        <v>1</v>
      </c>
      <c r="F30">
        <v>1</v>
      </c>
      <c r="G30">
        <v>1</v>
      </c>
      <c r="H30">
        <v>3</v>
      </c>
      <c r="I30" t="s">
        <v>245</v>
      </c>
      <c r="J30" t="s">
        <v>246</v>
      </c>
      <c r="K30" t="s">
        <v>247</v>
      </c>
      <c r="L30">
        <v>1301</v>
      </c>
      <c r="N30">
        <v>1003</v>
      </c>
      <c r="O30" t="s">
        <v>240</v>
      </c>
      <c r="P30" t="s">
        <v>240</v>
      </c>
      <c r="Q30">
        <v>1</v>
      </c>
      <c r="X30">
        <v>1050</v>
      </c>
      <c r="Y30">
        <v>24.71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20</v>
      </c>
      <c r="AG30">
        <v>0</v>
      </c>
      <c r="AH30">
        <v>2</v>
      </c>
      <c r="AI30">
        <v>46568086</v>
      </c>
      <c r="AJ30">
        <v>26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5">
      <c r="A31">
        <f>ROW(Source!A31)</f>
        <v>31</v>
      </c>
      <c r="B31">
        <v>46568090</v>
      </c>
      <c r="C31">
        <v>46568089</v>
      </c>
      <c r="D31">
        <v>44321779</v>
      </c>
      <c r="E31">
        <v>68</v>
      </c>
      <c r="F31">
        <v>1</v>
      </c>
      <c r="G31">
        <v>1</v>
      </c>
      <c r="H31">
        <v>1</v>
      </c>
      <c r="I31" t="s">
        <v>248</v>
      </c>
      <c r="J31" t="s">
        <v>3</v>
      </c>
      <c r="K31" t="s">
        <v>249</v>
      </c>
      <c r="L31">
        <v>1191</v>
      </c>
      <c r="N31">
        <v>1013</v>
      </c>
      <c r="O31" t="s">
        <v>192</v>
      </c>
      <c r="P31" t="s">
        <v>192</v>
      </c>
      <c r="Q31">
        <v>1</v>
      </c>
      <c r="X31">
        <v>32.49</v>
      </c>
      <c r="Y31">
        <v>0</v>
      </c>
      <c r="Z31">
        <v>0</v>
      </c>
      <c r="AA31">
        <v>0</v>
      </c>
      <c r="AB31">
        <v>8.5299999999999994</v>
      </c>
      <c r="AC31">
        <v>0</v>
      </c>
      <c r="AD31">
        <v>1</v>
      </c>
      <c r="AE31">
        <v>1</v>
      </c>
      <c r="AF31" t="s">
        <v>45</v>
      </c>
      <c r="AG31">
        <v>74.727000000000004</v>
      </c>
      <c r="AH31">
        <v>2</v>
      </c>
      <c r="AI31">
        <v>46568090</v>
      </c>
      <c r="AJ31">
        <v>27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5">
      <c r="A32">
        <f>ROW(Source!A31)</f>
        <v>31</v>
      </c>
      <c r="B32">
        <v>46568091</v>
      </c>
      <c r="C32">
        <v>46568089</v>
      </c>
      <c r="D32">
        <v>44322049</v>
      </c>
      <c r="E32">
        <v>68</v>
      </c>
      <c r="F32">
        <v>1</v>
      </c>
      <c r="G32">
        <v>1</v>
      </c>
      <c r="H32">
        <v>1</v>
      </c>
      <c r="I32" t="s">
        <v>193</v>
      </c>
      <c r="J32" t="s">
        <v>3</v>
      </c>
      <c r="K32" t="s">
        <v>194</v>
      </c>
      <c r="L32">
        <v>1191</v>
      </c>
      <c r="N32">
        <v>1013</v>
      </c>
      <c r="O32" t="s">
        <v>192</v>
      </c>
      <c r="P32" t="s">
        <v>192</v>
      </c>
      <c r="Q32">
        <v>1</v>
      </c>
      <c r="X32">
        <v>0.93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2</v>
      </c>
      <c r="AF32" t="s">
        <v>21</v>
      </c>
      <c r="AG32">
        <v>1.1625000000000001</v>
      </c>
      <c r="AH32">
        <v>2</v>
      </c>
      <c r="AI32">
        <v>46568091</v>
      </c>
      <c r="AJ32">
        <v>28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5">
      <c r="A33">
        <f>ROW(Source!A31)</f>
        <v>31</v>
      </c>
      <c r="B33">
        <v>46568092</v>
      </c>
      <c r="C33">
        <v>46568089</v>
      </c>
      <c r="D33">
        <v>44537801</v>
      </c>
      <c r="E33">
        <v>1</v>
      </c>
      <c r="F33">
        <v>1</v>
      </c>
      <c r="G33">
        <v>1</v>
      </c>
      <c r="H33">
        <v>2</v>
      </c>
      <c r="I33" t="s">
        <v>195</v>
      </c>
      <c r="J33" t="s">
        <v>196</v>
      </c>
      <c r="K33" t="s">
        <v>197</v>
      </c>
      <c r="L33">
        <v>1367</v>
      </c>
      <c r="N33">
        <v>1011</v>
      </c>
      <c r="O33" t="s">
        <v>198</v>
      </c>
      <c r="P33" t="s">
        <v>198</v>
      </c>
      <c r="Q33">
        <v>1</v>
      </c>
      <c r="X33">
        <v>0.02</v>
      </c>
      <c r="Y33">
        <v>0</v>
      </c>
      <c r="Z33">
        <v>89.99</v>
      </c>
      <c r="AA33">
        <v>10.06</v>
      </c>
      <c r="AB33">
        <v>0</v>
      </c>
      <c r="AC33">
        <v>0</v>
      </c>
      <c r="AD33">
        <v>1</v>
      </c>
      <c r="AE33">
        <v>0</v>
      </c>
      <c r="AF33" t="s">
        <v>21</v>
      </c>
      <c r="AG33">
        <v>2.5000000000000001E-2</v>
      </c>
      <c r="AH33">
        <v>2</v>
      </c>
      <c r="AI33">
        <v>46568092</v>
      </c>
      <c r="AJ33">
        <v>29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5">
      <c r="A34">
        <f>ROW(Source!A31)</f>
        <v>31</v>
      </c>
      <c r="B34">
        <v>46568093</v>
      </c>
      <c r="C34">
        <v>46568089</v>
      </c>
      <c r="D34">
        <v>44537855</v>
      </c>
      <c r="E34">
        <v>1</v>
      </c>
      <c r="F34">
        <v>1</v>
      </c>
      <c r="G34">
        <v>1</v>
      </c>
      <c r="H34">
        <v>2</v>
      </c>
      <c r="I34" t="s">
        <v>199</v>
      </c>
      <c r="J34" t="s">
        <v>200</v>
      </c>
      <c r="K34" t="s">
        <v>201</v>
      </c>
      <c r="L34">
        <v>1367</v>
      </c>
      <c r="N34">
        <v>1011</v>
      </c>
      <c r="O34" t="s">
        <v>198</v>
      </c>
      <c r="P34" t="s">
        <v>198</v>
      </c>
      <c r="Q34">
        <v>1</v>
      </c>
      <c r="X34">
        <v>0.21</v>
      </c>
      <c r="Y34">
        <v>0</v>
      </c>
      <c r="Z34">
        <v>31.26</v>
      </c>
      <c r="AA34">
        <v>13.5</v>
      </c>
      <c r="AB34">
        <v>0</v>
      </c>
      <c r="AC34">
        <v>0</v>
      </c>
      <c r="AD34">
        <v>1</v>
      </c>
      <c r="AE34">
        <v>0</v>
      </c>
      <c r="AF34" t="s">
        <v>21</v>
      </c>
      <c r="AG34">
        <v>0.26250000000000001</v>
      </c>
      <c r="AH34">
        <v>2</v>
      </c>
      <c r="AI34">
        <v>46568093</v>
      </c>
      <c r="AJ34">
        <v>30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5">
      <c r="A35">
        <f>ROW(Source!A31)</f>
        <v>31</v>
      </c>
      <c r="B35">
        <v>46568094</v>
      </c>
      <c r="C35">
        <v>46568089</v>
      </c>
      <c r="D35">
        <v>44538010</v>
      </c>
      <c r="E35">
        <v>1</v>
      </c>
      <c r="F35">
        <v>1</v>
      </c>
      <c r="G35">
        <v>1</v>
      </c>
      <c r="H35">
        <v>2</v>
      </c>
      <c r="I35" t="s">
        <v>202</v>
      </c>
      <c r="J35" t="s">
        <v>203</v>
      </c>
      <c r="K35" t="s">
        <v>204</v>
      </c>
      <c r="L35">
        <v>1367</v>
      </c>
      <c r="N35">
        <v>1011</v>
      </c>
      <c r="O35" t="s">
        <v>198</v>
      </c>
      <c r="P35" t="s">
        <v>198</v>
      </c>
      <c r="Q35">
        <v>1</v>
      </c>
      <c r="X35">
        <v>0.7</v>
      </c>
      <c r="Y35">
        <v>0</v>
      </c>
      <c r="Z35">
        <v>12.39</v>
      </c>
      <c r="AA35">
        <v>10.06</v>
      </c>
      <c r="AB35">
        <v>0</v>
      </c>
      <c r="AC35">
        <v>0</v>
      </c>
      <c r="AD35">
        <v>1</v>
      </c>
      <c r="AE35">
        <v>0</v>
      </c>
      <c r="AF35" t="s">
        <v>21</v>
      </c>
      <c r="AG35">
        <v>0.875</v>
      </c>
      <c r="AH35">
        <v>2</v>
      </c>
      <c r="AI35">
        <v>46568094</v>
      </c>
      <c r="AJ35">
        <v>31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5">
      <c r="A36">
        <f>ROW(Source!A31)</f>
        <v>31</v>
      </c>
      <c r="B36">
        <v>46568095</v>
      </c>
      <c r="C36">
        <v>46568089</v>
      </c>
      <c r="D36">
        <v>44336161</v>
      </c>
      <c r="E36">
        <v>1</v>
      </c>
      <c r="F36">
        <v>1</v>
      </c>
      <c r="G36">
        <v>1</v>
      </c>
      <c r="H36">
        <v>3</v>
      </c>
      <c r="I36" t="s">
        <v>208</v>
      </c>
      <c r="J36" t="s">
        <v>209</v>
      </c>
      <c r="K36" t="s">
        <v>210</v>
      </c>
      <c r="L36">
        <v>1339</v>
      </c>
      <c r="N36">
        <v>1007</v>
      </c>
      <c r="O36" t="s">
        <v>211</v>
      </c>
      <c r="P36" t="s">
        <v>211</v>
      </c>
      <c r="Q36">
        <v>1</v>
      </c>
      <c r="X36">
        <v>0.51</v>
      </c>
      <c r="Y36">
        <v>2.44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20</v>
      </c>
      <c r="AG36">
        <v>0</v>
      </c>
      <c r="AH36">
        <v>2</v>
      </c>
      <c r="AI36">
        <v>46568095</v>
      </c>
      <c r="AJ36">
        <v>32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5">
      <c r="A37">
        <f>ROW(Source!A31)</f>
        <v>31</v>
      </c>
      <c r="B37">
        <v>46568096</v>
      </c>
      <c r="C37">
        <v>46568089</v>
      </c>
      <c r="D37">
        <v>44323135</v>
      </c>
      <c r="E37">
        <v>68</v>
      </c>
      <c r="F37">
        <v>1</v>
      </c>
      <c r="G37">
        <v>1</v>
      </c>
      <c r="H37">
        <v>3</v>
      </c>
      <c r="I37" t="s">
        <v>258</v>
      </c>
      <c r="J37" t="s">
        <v>3</v>
      </c>
      <c r="K37" t="s">
        <v>267</v>
      </c>
      <c r="L37">
        <v>1348</v>
      </c>
      <c r="N37">
        <v>1009</v>
      </c>
      <c r="O37" t="s">
        <v>219</v>
      </c>
      <c r="P37" t="s">
        <v>219</v>
      </c>
      <c r="Q37">
        <v>1000</v>
      </c>
      <c r="X37">
        <v>0.85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 t="s">
        <v>20</v>
      </c>
      <c r="AG37">
        <v>0</v>
      </c>
      <c r="AH37">
        <v>3</v>
      </c>
      <c r="AI37">
        <v>-1</v>
      </c>
      <c r="AJ37" t="s">
        <v>3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5">
      <c r="A38">
        <f>ROW(Source!A31)</f>
        <v>31</v>
      </c>
      <c r="B38">
        <v>46568097</v>
      </c>
      <c r="C38">
        <v>46568089</v>
      </c>
      <c r="D38">
        <v>44325500</v>
      </c>
      <c r="E38">
        <v>68</v>
      </c>
      <c r="F38">
        <v>1</v>
      </c>
      <c r="G38">
        <v>1</v>
      </c>
      <c r="H38">
        <v>3</v>
      </c>
      <c r="I38" t="s">
        <v>268</v>
      </c>
      <c r="J38" t="s">
        <v>3</v>
      </c>
      <c r="K38" t="s">
        <v>269</v>
      </c>
      <c r="L38">
        <v>1348</v>
      </c>
      <c r="N38">
        <v>1009</v>
      </c>
      <c r="O38" t="s">
        <v>219</v>
      </c>
      <c r="P38" t="s">
        <v>219</v>
      </c>
      <c r="Q38">
        <v>1000</v>
      </c>
      <c r="X38">
        <v>0</v>
      </c>
      <c r="Y38">
        <v>0</v>
      </c>
      <c r="Z38">
        <v>0</v>
      </c>
      <c r="AA38">
        <v>0</v>
      </c>
      <c r="AB38">
        <v>0</v>
      </c>
      <c r="AC38">
        <v>1</v>
      </c>
      <c r="AD38">
        <v>0</v>
      </c>
      <c r="AE38">
        <v>0</v>
      </c>
      <c r="AF38" t="s">
        <v>20</v>
      </c>
      <c r="AG38">
        <v>0</v>
      </c>
      <c r="AH38">
        <v>3</v>
      </c>
      <c r="AI38">
        <v>-1</v>
      </c>
      <c r="AJ38" t="s">
        <v>3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5">
      <c r="A39">
        <f>ROW(Source!A32)</f>
        <v>32</v>
      </c>
      <c r="B39">
        <v>46568102</v>
      </c>
      <c r="C39">
        <v>46568101</v>
      </c>
      <c r="D39">
        <v>44321792</v>
      </c>
      <c r="E39">
        <v>68</v>
      </c>
      <c r="F39">
        <v>1</v>
      </c>
      <c r="G39">
        <v>1</v>
      </c>
      <c r="H39">
        <v>1</v>
      </c>
      <c r="I39" t="s">
        <v>250</v>
      </c>
      <c r="J39" t="s">
        <v>3</v>
      </c>
      <c r="K39" t="s">
        <v>251</v>
      </c>
      <c r="L39">
        <v>1191</v>
      </c>
      <c r="N39">
        <v>1013</v>
      </c>
      <c r="O39" t="s">
        <v>192</v>
      </c>
      <c r="P39" t="s">
        <v>192</v>
      </c>
      <c r="Q39">
        <v>1</v>
      </c>
      <c r="X39">
        <v>39</v>
      </c>
      <c r="Y39">
        <v>0</v>
      </c>
      <c r="Z39">
        <v>0</v>
      </c>
      <c r="AA39">
        <v>0</v>
      </c>
      <c r="AB39">
        <v>8.9700000000000006</v>
      </c>
      <c r="AC39">
        <v>0</v>
      </c>
      <c r="AD39">
        <v>1</v>
      </c>
      <c r="AE39">
        <v>1</v>
      </c>
      <c r="AF39" t="s">
        <v>45</v>
      </c>
      <c r="AG39">
        <v>89.699999999999989</v>
      </c>
      <c r="AH39">
        <v>2</v>
      </c>
      <c r="AI39">
        <v>46568102</v>
      </c>
      <c r="AJ39">
        <v>33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5">
      <c r="A40">
        <f>ROW(Source!A32)</f>
        <v>32</v>
      </c>
      <c r="B40">
        <v>46568103</v>
      </c>
      <c r="C40">
        <v>46568101</v>
      </c>
      <c r="D40">
        <v>44322049</v>
      </c>
      <c r="E40">
        <v>68</v>
      </c>
      <c r="F40">
        <v>1</v>
      </c>
      <c r="G40">
        <v>1</v>
      </c>
      <c r="H40">
        <v>1</v>
      </c>
      <c r="I40" t="s">
        <v>193</v>
      </c>
      <c r="J40" t="s">
        <v>3</v>
      </c>
      <c r="K40" t="s">
        <v>194</v>
      </c>
      <c r="L40">
        <v>1191</v>
      </c>
      <c r="N40">
        <v>1013</v>
      </c>
      <c r="O40" t="s">
        <v>192</v>
      </c>
      <c r="P40" t="s">
        <v>192</v>
      </c>
      <c r="Q40">
        <v>1</v>
      </c>
      <c r="X40">
        <v>0.17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21</v>
      </c>
      <c r="AG40">
        <v>0.21250000000000002</v>
      </c>
      <c r="AH40">
        <v>2</v>
      </c>
      <c r="AI40">
        <v>46568103</v>
      </c>
      <c r="AJ40">
        <v>34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5">
      <c r="A41">
        <f>ROW(Source!A32)</f>
        <v>32</v>
      </c>
      <c r="B41">
        <v>46568104</v>
      </c>
      <c r="C41">
        <v>46568101</v>
      </c>
      <c r="D41">
        <v>44537855</v>
      </c>
      <c r="E41">
        <v>1</v>
      </c>
      <c r="F41">
        <v>1</v>
      </c>
      <c r="G41">
        <v>1</v>
      </c>
      <c r="H41">
        <v>2</v>
      </c>
      <c r="I41" t="s">
        <v>199</v>
      </c>
      <c r="J41" t="s">
        <v>200</v>
      </c>
      <c r="K41" t="s">
        <v>201</v>
      </c>
      <c r="L41">
        <v>1367</v>
      </c>
      <c r="N41">
        <v>1011</v>
      </c>
      <c r="O41" t="s">
        <v>198</v>
      </c>
      <c r="P41" t="s">
        <v>198</v>
      </c>
      <c r="Q41">
        <v>1</v>
      </c>
      <c r="X41">
        <v>0.02</v>
      </c>
      <c r="Y41">
        <v>0</v>
      </c>
      <c r="Z41">
        <v>31.26</v>
      </c>
      <c r="AA41">
        <v>13.5</v>
      </c>
      <c r="AB41">
        <v>0</v>
      </c>
      <c r="AC41">
        <v>0</v>
      </c>
      <c r="AD41">
        <v>1</v>
      </c>
      <c r="AE41">
        <v>0</v>
      </c>
      <c r="AF41" t="s">
        <v>21</v>
      </c>
      <c r="AG41">
        <v>2.5000000000000001E-2</v>
      </c>
      <c r="AH41">
        <v>2</v>
      </c>
      <c r="AI41">
        <v>46568104</v>
      </c>
      <c r="AJ41">
        <v>35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5">
      <c r="A42">
        <f>ROW(Source!A32)</f>
        <v>32</v>
      </c>
      <c r="B42">
        <v>46568105</v>
      </c>
      <c r="C42">
        <v>46568101</v>
      </c>
      <c r="D42">
        <v>44538839</v>
      </c>
      <c r="E42">
        <v>1</v>
      </c>
      <c r="F42">
        <v>1</v>
      </c>
      <c r="G42">
        <v>1</v>
      </c>
      <c r="H42">
        <v>2</v>
      </c>
      <c r="I42" t="s">
        <v>205</v>
      </c>
      <c r="J42" t="s">
        <v>206</v>
      </c>
      <c r="K42" t="s">
        <v>207</v>
      </c>
      <c r="L42">
        <v>1367</v>
      </c>
      <c r="N42">
        <v>1011</v>
      </c>
      <c r="O42" t="s">
        <v>198</v>
      </c>
      <c r="P42" t="s">
        <v>198</v>
      </c>
      <c r="Q42">
        <v>1</v>
      </c>
      <c r="X42">
        <v>0.15</v>
      </c>
      <c r="Y42">
        <v>0</v>
      </c>
      <c r="Z42">
        <v>65.709999999999994</v>
      </c>
      <c r="AA42">
        <v>11.6</v>
      </c>
      <c r="AB42">
        <v>0</v>
      </c>
      <c r="AC42">
        <v>0</v>
      </c>
      <c r="AD42">
        <v>1</v>
      </c>
      <c r="AE42">
        <v>0</v>
      </c>
      <c r="AF42" t="s">
        <v>21</v>
      </c>
      <c r="AG42">
        <v>0.1875</v>
      </c>
      <c r="AH42">
        <v>2</v>
      </c>
      <c r="AI42">
        <v>46568105</v>
      </c>
      <c r="AJ42">
        <v>36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5">
      <c r="A43">
        <f>ROW(Source!A32)</f>
        <v>32</v>
      </c>
      <c r="B43">
        <v>46568106</v>
      </c>
      <c r="C43">
        <v>46568101</v>
      </c>
      <c r="D43">
        <v>44341343</v>
      </c>
      <c r="E43">
        <v>1</v>
      </c>
      <c r="F43">
        <v>1</v>
      </c>
      <c r="G43">
        <v>1</v>
      </c>
      <c r="H43">
        <v>3</v>
      </c>
      <c r="I43" t="s">
        <v>252</v>
      </c>
      <c r="J43" t="s">
        <v>253</v>
      </c>
      <c r="K43" t="s">
        <v>254</v>
      </c>
      <c r="L43">
        <v>1327</v>
      </c>
      <c r="N43">
        <v>1005</v>
      </c>
      <c r="O43" t="s">
        <v>223</v>
      </c>
      <c r="P43" t="s">
        <v>223</v>
      </c>
      <c r="Q43">
        <v>1</v>
      </c>
      <c r="X43">
        <v>0.84</v>
      </c>
      <c r="Y43">
        <v>72.319999999999993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20</v>
      </c>
      <c r="AG43">
        <v>0</v>
      </c>
      <c r="AH43">
        <v>2</v>
      </c>
      <c r="AI43">
        <v>46568106</v>
      </c>
      <c r="AJ43">
        <v>37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5">
      <c r="A44">
        <f>ROW(Source!A32)</f>
        <v>32</v>
      </c>
      <c r="B44">
        <v>46568107</v>
      </c>
      <c r="C44">
        <v>46568101</v>
      </c>
      <c r="D44">
        <v>44341905</v>
      </c>
      <c r="E44">
        <v>1</v>
      </c>
      <c r="F44">
        <v>1</v>
      </c>
      <c r="G44">
        <v>1</v>
      </c>
      <c r="H44">
        <v>3</v>
      </c>
      <c r="I44" t="s">
        <v>212</v>
      </c>
      <c r="J44" t="s">
        <v>213</v>
      </c>
      <c r="K44" t="s">
        <v>214</v>
      </c>
      <c r="L44">
        <v>1346</v>
      </c>
      <c r="N44">
        <v>1009</v>
      </c>
      <c r="O44" t="s">
        <v>215</v>
      </c>
      <c r="P44" t="s">
        <v>215</v>
      </c>
      <c r="Q44">
        <v>1</v>
      </c>
      <c r="X44">
        <v>0.31</v>
      </c>
      <c r="Y44">
        <v>1.82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20</v>
      </c>
      <c r="AG44">
        <v>0</v>
      </c>
      <c r="AH44">
        <v>2</v>
      </c>
      <c r="AI44">
        <v>46568107</v>
      </c>
      <c r="AJ44">
        <v>38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5">
      <c r="A45">
        <f>ROW(Source!A32)</f>
        <v>32</v>
      </c>
      <c r="B45">
        <v>46568108</v>
      </c>
      <c r="C45">
        <v>46568101</v>
      </c>
      <c r="D45">
        <v>44325460</v>
      </c>
      <c r="E45">
        <v>68</v>
      </c>
      <c r="F45">
        <v>1</v>
      </c>
      <c r="G45">
        <v>1</v>
      </c>
      <c r="H45">
        <v>3</v>
      </c>
      <c r="I45" t="s">
        <v>270</v>
      </c>
      <c r="J45" t="s">
        <v>3</v>
      </c>
      <c r="K45" t="s">
        <v>271</v>
      </c>
      <c r="L45">
        <v>1348</v>
      </c>
      <c r="N45">
        <v>1009</v>
      </c>
      <c r="O45" t="s">
        <v>219</v>
      </c>
      <c r="P45" t="s">
        <v>219</v>
      </c>
      <c r="Q45">
        <v>1000</v>
      </c>
      <c r="X45">
        <v>6.3E-2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 t="s">
        <v>20</v>
      </c>
      <c r="AG45">
        <v>0</v>
      </c>
      <c r="AH45">
        <v>3</v>
      </c>
      <c r="AI45">
        <v>-1</v>
      </c>
      <c r="AJ45" t="s">
        <v>3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5">
      <c r="A46">
        <f>ROW(Source!A32)</f>
        <v>32</v>
      </c>
      <c r="B46">
        <v>46568109</v>
      </c>
      <c r="C46">
        <v>46568101</v>
      </c>
      <c r="D46">
        <v>44391683</v>
      </c>
      <c r="E46">
        <v>1</v>
      </c>
      <c r="F46">
        <v>1</v>
      </c>
      <c r="G46">
        <v>1</v>
      </c>
      <c r="H46">
        <v>3</v>
      </c>
      <c r="I46" t="s">
        <v>255</v>
      </c>
      <c r="J46" t="s">
        <v>256</v>
      </c>
      <c r="K46" t="s">
        <v>257</v>
      </c>
      <c r="L46">
        <v>1348</v>
      </c>
      <c r="N46">
        <v>1009</v>
      </c>
      <c r="O46" t="s">
        <v>219</v>
      </c>
      <c r="P46" t="s">
        <v>219</v>
      </c>
      <c r="Q46">
        <v>1000</v>
      </c>
      <c r="X46">
        <v>5.0999999999999997E-2</v>
      </c>
      <c r="Y46">
        <v>4294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20</v>
      </c>
      <c r="AG46">
        <v>0</v>
      </c>
      <c r="AH46">
        <v>2</v>
      </c>
      <c r="AI46">
        <v>46568109</v>
      </c>
      <c r="AJ46">
        <v>39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5">
      <c r="A47">
        <f>ROW(Source!A68)</f>
        <v>68</v>
      </c>
      <c r="B47">
        <v>46568181</v>
      </c>
      <c r="C47">
        <v>46568169</v>
      </c>
      <c r="D47">
        <v>37070495</v>
      </c>
      <c r="E47">
        <v>68</v>
      </c>
      <c r="F47">
        <v>1</v>
      </c>
      <c r="G47">
        <v>1</v>
      </c>
      <c r="H47">
        <v>1</v>
      </c>
      <c r="I47" t="s">
        <v>190</v>
      </c>
      <c r="J47" t="s">
        <v>3</v>
      </c>
      <c r="K47" t="s">
        <v>191</v>
      </c>
      <c r="L47">
        <v>1191</v>
      </c>
      <c r="N47">
        <v>1013</v>
      </c>
      <c r="O47" t="s">
        <v>192</v>
      </c>
      <c r="P47" t="s">
        <v>192</v>
      </c>
      <c r="Q47">
        <v>1</v>
      </c>
      <c r="X47">
        <v>119.78</v>
      </c>
      <c r="Y47">
        <v>0</v>
      </c>
      <c r="Z47">
        <v>0</v>
      </c>
      <c r="AA47">
        <v>0</v>
      </c>
      <c r="AB47">
        <v>8.74</v>
      </c>
      <c r="AC47">
        <v>0</v>
      </c>
      <c r="AD47">
        <v>1</v>
      </c>
      <c r="AE47">
        <v>1</v>
      </c>
      <c r="AF47" t="s">
        <v>22</v>
      </c>
      <c r="AG47">
        <v>206.62049999999999</v>
      </c>
      <c r="AH47">
        <v>2</v>
      </c>
      <c r="AI47">
        <v>46568170</v>
      </c>
      <c r="AJ47">
        <v>40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5">
      <c r="A48">
        <f>ROW(Source!A68)</f>
        <v>68</v>
      </c>
      <c r="B48">
        <v>46568182</v>
      </c>
      <c r="C48">
        <v>46568169</v>
      </c>
      <c r="D48">
        <v>37064876</v>
      </c>
      <c r="E48">
        <v>68</v>
      </c>
      <c r="F48">
        <v>1</v>
      </c>
      <c r="G48">
        <v>1</v>
      </c>
      <c r="H48">
        <v>1</v>
      </c>
      <c r="I48" t="s">
        <v>193</v>
      </c>
      <c r="J48" t="s">
        <v>3</v>
      </c>
      <c r="K48" t="s">
        <v>194</v>
      </c>
      <c r="L48">
        <v>1191</v>
      </c>
      <c r="N48">
        <v>1013</v>
      </c>
      <c r="O48" t="s">
        <v>192</v>
      </c>
      <c r="P48" t="s">
        <v>192</v>
      </c>
      <c r="Q48">
        <v>1</v>
      </c>
      <c r="X48">
        <v>4.5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2</v>
      </c>
      <c r="AF48" t="s">
        <v>21</v>
      </c>
      <c r="AG48">
        <v>5.625</v>
      </c>
      <c r="AH48">
        <v>2</v>
      </c>
      <c r="AI48">
        <v>46568171</v>
      </c>
      <c r="AJ48">
        <v>41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5">
      <c r="A49">
        <f>ROW(Source!A68)</f>
        <v>68</v>
      </c>
      <c r="B49">
        <v>46568183</v>
      </c>
      <c r="C49">
        <v>46568169</v>
      </c>
      <c r="D49">
        <v>44537801</v>
      </c>
      <c r="E49">
        <v>1</v>
      </c>
      <c r="F49">
        <v>1</v>
      </c>
      <c r="G49">
        <v>1</v>
      </c>
      <c r="H49">
        <v>2</v>
      </c>
      <c r="I49" t="s">
        <v>195</v>
      </c>
      <c r="J49" t="s">
        <v>196</v>
      </c>
      <c r="K49" t="s">
        <v>197</v>
      </c>
      <c r="L49">
        <v>1367</v>
      </c>
      <c r="N49">
        <v>1011</v>
      </c>
      <c r="O49" t="s">
        <v>198</v>
      </c>
      <c r="P49" t="s">
        <v>198</v>
      </c>
      <c r="Q49">
        <v>1</v>
      </c>
      <c r="X49">
        <v>0.36</v>
      </c>
      <c r="Y49">
        <v>0</v>
      </c>
      <c r="Z49">
        <v>89.99</v>
      </c>
      <c r="AA49">
        <v>10.06</v>
      </c>
      <c r="AB49">
        <v>0</v>
      </c>
      <c r="AC49">
        <v>0</v>
      </c>
      <c r="AD49">
        <v>1</v>
      </c>
      <c r="AE49">
        <v>0</v>
      </c>
      <c r="AF49" t="s">
        <v>21</v>
      </c>
      <c r="AG49">
        <v>0.44999999999999996</v>
      </c>
      <c r="AH49">
        <v>2</v>
      </c>
      <c r="AI49">
        <v>46568172</v>
      </c>
      <c r="AJ49">
        <v>42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5">
      <c r="A50">
        <f>ROW(Source!A68)</f>
        <v>68</v>
      </c>
      <c r="B50">
        <v>46568184</v>
      </c>
      <c r="C50">
        <v>46568169</v>
      </c>
      <c r="D50">
        <v>44537855</v>
      </c>
      <c r="E50">
        <v>1</v>
      </c>
      <c r="F50">
        <v>1</v>
      </c>
      <c r="G50">
        <v>1</v>
      </c>
      <c r="H50">
        <v>2</v>
      </c>
      <c r="I50" t="s">
        <v>199</v>
      </c>
      <c r="J50" t="s">
        <v>200</v>
      </c>
      <c r="K50" t="s">
        <v>201</v>
      </c>
      <c r="L50">
        <v>1367</v>
      </c>
      <c r="N50">
        <v>1011</v>
      </c>
      <c r="O50" t="s">
        <v>198</v>
      </c>
      <c r="P50" t="s">
        <v>198</v>
      </c>
      <c r="Q50">
        <v>1</v>
      </c>
      <c r="X50">
        <v>2.2999999999999998</v>
      </c>
      <c r="Y50">
        <v>0</v>
      </c>
      <c r="Z50">
        <v>31.26</v>
      </c>
      <c r="AA50">
        <v>13.5</v>
      </c>
      <c r="AB50">
        <v>0</v>
      </c>
      <c r="AC50">
        <v>0</v>
      </c>
      <c r="AD50">
        <v>1</v>
      </c>
      <c r="AE50">
        <v>0</v>
      </c>
      <c r="AF50" t="s">
        <v>21</v>
      </c>
      <c r="AG50">
        <v>2.875</v>
      </c>
      <c r="AH50">
        <v>2</v>
      </c>
      <c r="AI50">
        <v>46568173</v>
      </c>
      <c r="AJ50">
        <v>43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5">
      <c r="A51">
        <f>ROW(Source!A68)</f>
        <v>68</v>
      </c>
      <c r="B51">
        <v>46568185</v>
      </c>
      <c r="C51">
        <v>46568169</v>
      </c>
      <c r="D51">
        <v>44538010</v>
      </c>
      <c r="E51">
        <v>1</v>
      </c>
      <c r="F51">
        <v>1</v>
      </c>
      <c r="G51">
        <v>1</v>
      </c>
      <c r="H51">
        <v>2</v>
      </c>
      <c r="I51" t="s">
        <v>202</v>
      </c>
      <c r="J51" t="s">
        <v>203</v>
      </c>
      <c r="K51" t="s">
        <v>204</v>
      </c>
      <c r="L51">
        <v>1367</v>
      </c>
      <c r="N51">
        <v>1011</v>
      </c>
      <c r="O51" t="s">
        <v>198</v>
      </c>
      <c r="P51" t="s">
        <v>198</v>
      </c>
      <c r="Q51">
        <v>1</v>
      </c>
      <c r="X51">
        <v>1.56</v>
      </c>
      <c r="Y51">
        <v>0</v>
      </c>
      <c r="Z51">
        <v>12.39</v>
      </c>
      <c r="AA51">
        <v>10.06</v>
      </c>
      <c r="AB51">
        <v>0</v>
      </c>
      <c r="AC51">
        <v>0</v>
      </c>
      <c r="AD51">
        <v>1</v>
      </c>
      <c r="AE51">
        <v>0</v>
      </c>
      <c r="AF51" t="s">
        <v>21</v>
      </c>
      <c r="AG51">
        <v>1.9500000000000002</v>
      </c>
      <c r="AH51">
        <v>2</v>
      </c>
      <c r="AI51">
        <v>46568174</v>
      </c>
      <c r="AJ51">
        <v>44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5">
      <c r="A52">
        <f>ROW(Source!A68)</f>
        <v>68</v>
      </c>
      <c r="B52">
        <v>46568186</v>
      </c>
      <c r="C52">
        <v>46568169</v>
      </c>
      <c r="D52">
        <v>44538839</v>
      </c>
      <c r="E52">
        <v>1</v>
      </c>
      <c r="F52">
        <v>1</v>
      </c>
      <c r="G52">
        <v>1</v>
      </c>
      <c r="H52">
        <v>2</v>
      </c>
      <c r="I52" t="s">
        <v>205</v>
      </c>
      <c r="J52" t="s">
        <v>206</v>
      </c>
      <c r="K52" t="s">
        <v>207</v>
      </c>
      <c r="L52">
        <v>1367</v>
      </c>
      <c r="N52">
        <v>1011</v>
      </c>
      <c r="O52" t="s">
        <v>198</v>
      </c>
      <c r="P52" t="s">
        <v>198</v>
      </c>
      <c r="Q52">
        <v>1</v>
      </c>
      <c r="X52">
        <v>0.28000000000000003</v>
      </c>
      <c r="Y52">
        <v>0</v>
      </c>
      <c r="Z52">
        <v>65.709999999999994</v>
      </c>
      <c r="AA52">
        <v>11.6</v>
      </c>
      <c r="AB52">
        <v>0</v>
      </c>
      <c r="AC52">
        <v>0</v>
      </c>
      <c r="AD52">
        <v>1</v>
      </c>
      <c r="AE52">
        <v>0</v>
      </c>
      <c r="AF52" t="s">
        <v>21</v>
      </c>
      <c r="AG52">
        <v>0.35000000000000003</v>
      </c>
      <c r="AH52">
        <v>2</v>
      </c>
      <c r="AI52">
        <v>46568175</v>
      </c>
      <c r="AJ52">
        <v>45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5">
      <c r="A53">
        <f>ROW(Source!A68)</f>
        <v>68</v>
      </c>
      <c r="B53">
        <v>46568187</v>
      </c>
      <c r="C53">
        <v>46568169</v>
      </c>
      <c r="D53">
        <v>44336161</v>
      </c>
      <c r="E53">
        <v>1</v>
      </c>
      <c r="F53">
        <v>1</v>
      </c>
      <c r="G53">
        <v>1</v>
      </c>
      <c r="H53">
        <v>3</v>
      </c>
      <c r="I53" t="s">
        <v>208</v>
      </c>
      <c r="J53" t="s">
        <v>209</v>
      </c>
      <c r="K53" t="s">
        <v>210</v>
      </c>
      <c r="L53">
        <v>1339</v>
      </c>
      <c r="N53">
        <v>1007</v>
      </c>
      <c r="O53" t="s">
        <v>211</v>
      </c>
      <c r="P53" t="s">
        <v>211</v>
      </c>
      <c r="Q53">
        <v>1</v>
      </c>
      <c r="X53">
        <v>0.1</v>
      </c>
      <c r="Y53">
        <v>2.44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20</v>
      </c>
      <c r="AG53">
        <v>0</v>
      </c>
      <c r="AH53">
        <v>2</v>
      </c>
      <c r="AI53">
        <v>46568176</v>
      </c>
      <c r="AJ53">
        <v>46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5">
      <c r="A54">
        <f>ROW(Source!A68)</f>
        <v>68</v>
      </c>
      <c r="B54">
        <v>46568188</v>
      </c>
      <c r="C54">
        <v>46568169</v>
      </c>
      <c r="D54">
        <v>44341905</v>
      </c>
      <c r="E54">
        <v>1</v>
      </c>
      <c r="F54">
        <v>1</v>
      </c>
      <c r="G54">
        <v>1</v>
      </c>
      <c r="H54">
        <v>3</v>
      </c>
      <c r="I54" t="s">
        <v>212</v>
      </c>
      <c r="J54" t="s">
        <v>213</v>
      </c>
      <c r="K54" t="s">
        <v>214</v>
      </c>
      <c r="L54">
        <v>1346</v>
      </c>
      <c r="N54">
        <v>1009</v>
      </c>
      <c r="O54" t="s">
        <v>215</v>
      </c>
      <c r="P54" t="s">
        <v>215</v>
      </c>
      <c r="Q54">
        <v>1</v>
      </c>
      <c r="X54">
        <v>0.5</v>
      </c>
      <c r="Y54">
        <v>1.82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20</v>
      </c>
      <c r="AG54">
        <v>0</v>
      </c>
      <c r="AH54">
        <v>2</v>
      </c>
      <c r="AI54">
        <v>46568177</v>
      </c>
      <c r="AJ54">
        <v>47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5">
      <c r="A55">
        <f>ROW(Source!A68)</f>
        <v>68</v>
      </c>
      <c r="B55">
        <v>46568189</v>
      </c>
      <c r="C55">
        <v>46568169</v>
      </c>
      <c r="D55">
        <v>44345078</v>
      </c>
      <c r="E55">
        <v>1</v>
      </c>
      <c r="F55">
        <v>1</v>
      </c>
      <c r="G55">
        <v>1</v>
      </c>
      <c r="H55">
        <v>3</v>
      </c>
      <c r="I55" t="s">
        <v>216</v>
      </c>
      <c r="J55" t="s">
        <v>217</v>
      </c>
      <c r="K55" t="s">
        <v>218</v>
      </c>
      <c r="L55">
        <v>1348</v>
      </c>
      <c r="N55">
        <v>1009</v>
      </c>
      <c r="O55" t="s">
        <v>219</v>
      </c>
      <c r="P55" t="s">
        <v>219</v>
      </c>
      <c r="Q55">
        <v>1000</v>
      </c>
      <c r="X55">
        <v>0.05</v>
      </c>
      <c r="Y55">
        <v>6513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20</v>
      </c>
      <c r="AG55">
        <v>0</v>
      </c>
      <c r="AH55">
        <v>2</v>
      </c>
      <c r="AI55">
        <v>46568178</v>
      </c>
      <c r="AJ55">
        <v>48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5">
      <c r="A56">
        <f>ROW(Source!A68)</f>
        <v>68</v>
      </c>
      <c r="B56">
        <v>46568190</v>
      </c>
      <c r="C56">
        <v>46568169</v>
      </c>
      <c r="D56">
        <v>44363679</v>
      </c>
      <c r="E56">
        <v>1</v>
      </c>
      <c r="F56">
        <v>1</v>
      </c>
      <c r="G56">
        <v>1</v>
      </c>
      <c r="H56">
        <v>3</v>
      </c>
      <c r="I56" t="s">
        <v>220</v>
      </c>
      <c r="J56" t="s">
        <v>221</v>
      </c>
      <c r="K56" t="s">
        <v>222</v>
      </c>
      <c r="L56">
        <v>1327</v>
      </c>
      <c r="N56">
        <v>1005</v>
      </c>
      <c r="O56" t="s">
        <v>223</v>
      </c>
      <c r="P56" t="s">
        <v>223</v>
      </c>
      <c r="Q56">
        <v>1</v>
      </c>
      <c r="X56">
        <v>102</v>
      </c>
      <c r="Y56">
        <v>82.5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20</v>
      </c>
      <c r="AG56">
        <v>0</v>
      </c>
      <c r="AH56">
        <v>2</v>
      </c>
      <c r="AI56">
        <v>46568179</v>
      </c>
      <c r="AJ56">
        <v>49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5">
      <c r="A57">
        <f>ROW(Source!A68)</f>
        <v>68</v>
      </c>
      <c r="B57">
        <v>46568191</v>
      </c>
      <c r="C57">
        <v>46568169</v>
      </c>
      <c r="D57">
        <v>44388786</v>
      </c>
      <c r="E57">
        <v>1</v>
      </c>
      <c r="F57">
        <v>1</v>
      </c>
      <c r="G57">
        <v>1</v>
      </c>
      <c r="H57">
        <v>3</v>
      </c>
      <c r="I57" t="s">
        <v>224</v>
      </c>
      <c r="J57" t="s">
        <v>225</v>
      </c>
      <c r="K57" t="s">
        <v>226</v>
      </c>
      <c r="L57">
        <v>1346</v>
      </c>
      <c r="N57">
        <v>1009</v>
      </c>
      <c r="O57" t="s">
        <v>215</v>
      </c>
      <c r="P57" t="s">
        <v>215</v>
      </c>
      <c r="Q57">
        <v>1</v>
      </c>
      <c r="X57">
        <v>450</v>
      </c>
      <c r="Y57">
        <v>1.37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20</v>
      </c>
      <c r="AG57">
        <v>0</v>
      </c>
      <c r="AH57">
        <v>2</v>
      </c>
      <c r="AI57">
        <v>46568180</v>
      </c>
      <c r="AJ57">
        <v>50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5">
      <c r="A58">
        <f>ROW(Source!A69)</f>
        <v>69</v>
      </c>
      <c r="B58">
        <v>46568200</v>
      </c>
      <c r="C58">
        <v>46568192</v>
      </c>
      <c r="D58">
        <v>37072767</v>
      </c>
      <c r="E58">
        <v>68</v>
      </c>
      <c r="F58">
        <v>1</v>
      </c>
      <c r="G58">
        <v>1</v>
      </c>
      <c r="H58">
        <v>1</v>
      </c>
      <c r="I58" t="s">
        <v>227</v>
      </c>
      <c r="J58" t="s">
        <v>3</v>
      </c>
      <c r="K58" t="s">
        <v>228</v>
      </c>
      <c r="L58">
        <v>1191</v>
      </c>
      <c r="N58">
        <v>1013</v>
      </c>
      <c r="O58" t="s">
        <v>192</v>
      </c>
      <c r="P58" t="s">
        <v>192</v>
      </c>
      <c r="Q58">
        <v>1</v>
      </c>
      <c r="X58">
        <v>115.26</v>
      </c>
      <c r="Y58">
        <v>0</v>
      </c>
      <c r="Z58">
        <v>0</v>
      </c>
      <c r="AA58">
        <v>0</v>
      </c>
      <c r="AB58">
        <v>9.18</v>
      </c>
      <c r="AC58">
        <v>0</v>
      </c>
      <c r="AD58">
        <v>1</v>
      </c>
      <c r="AE58">
        <v>1</v>
      </c>
      <c r="AF58" t="s">
        <v>22</v>
      </c>
      <c r="AG58">
        <v>198.82350000000002</v>
      </c>
      <c r="AH58">
        <v>2</v>
      </c>
      <c r="AI58">
        <v>46568193</v>
      </c>
      <c r="AJ58">
        <v>51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5">
      <c r="A59">
        <f>ROW(Source!A69)</f>
        <v>69</v>
      </c>
      <c r="B59">
        <v>46568201</v>
      </c>
      <c r="C59">
        <v>46568192</v>
      </c>
      <c r="D59">
        <v>37064876</v>
      </c>
      <c r="E59">
        <v>68</v>
      </c>
      <c r="F59">
        <v>1</v>
      </c>
      <c r="G59">
        <v>1</v>
      </c>
      <c r="H59">
        <v>1</v>
      </c>
      <c r="I59" t="s">
        <v>193</v>
      </c>
      <c r="J59" t="s">
        <v>3</v>
      </c>
      <c r="K59" t="s">
        <v>194</v>
      </c>
      <c r="L59">
        <v>1191</v>
      </c>
      <c r="N59">
        <v>1013</v>
      </c>
      <c r="O59" t="s">
        <v>192</v>
      </c>
      <c r="P59" t="s">
        <v>192</v>
      </c>
      <c r="Q59">
        <v>1</v>
      </c>
      <c r="X59">
        <v>1.65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2</v>
      </c>
      <c r="AF59" t="s">
        <v>21</v>
      </c>
      <c r="AG59">
        <v>2.0625</v>
      </c>
      <c r="AH59">
        <v>2</v>
      </c>
      <c r="AI59">
        <v>46568194</v>
      </c>
      <c r="AJ59">
        <v>52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5">
      <c r="A60">
        <f>ROW(Source!A69)</f>
        <v>69</v>
      </c>
      <c r="B60">
        <v>46568202</v>
      </c>
      <c r="C60">
        <v>46568192</v>
      </c>
      <c r="D60">
        <v>44537801</v>
      </c>
      <c r="E60">
        <v>1</v>
      </c>
      <c r="F60">
        <v>1</v>
      </c>
      <c r="G60">
        <v>1</v>
      </c>
      <c r="H60">
        <v>2</v>
      </c>
      <c r="I60" t="s">
        <v>195</v>
      </c>
      <c r="J60" t="s">
        <v>196</v>
      </c>
      <c r="K60" t="s">
        <v>197</v>
      </c>
      <c r="L60">
        <v>1367</v>
      </c>
      <c r="N60">
        <v>1011</v>
      </c>
      <c r="O60" t="s">
        <v>198</v>
      </c>
      <c r="P60" t="s">
        <v>198</v>
      </c>
      <c r="Q60">
        <v>1</v>
      </c>
      <c r="X60">
        <v>0.08</v>
      </c>
      <c r="Y60">
        <v>0</v>
      </c>
      <c r="Z60">
        <v>89.99</v>
      </c>
      <c r="AA60">
        <v>10.06</v>
      </c>
      <c r="AB60">
        <v>0</v>
      </c>
      <c r="AC60">
        <v>0</v>
      </c>
      <c r="AD60">
        <v>1</v>
      </c>
      <c r="AE60">
        <v>0</v>
      </c>
      <c r="AF60" t="s">
        <v>21</v>
      </c>
      <c r="AG60">
        <v>0.1</v>
      </c>
      <c r="AH60">
        <v>2</v>
      </c>
      <c r="AI60">
        <v>46568195</v>
      </c>
      <c r="AJ60">
        <v>53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5">
      <c r="A61">
        <f>ROW(Source!A69)</f>
        <v>69</v>
      </c>
      <c r="B61">
        <v>46568203</v>
      </c>
      <c r="C61">
        <v>46568192</v>
      </c>
      <c r="D61">
        <v>44537855</v>
      </c>
      <c r="E61">
        <v>1</v>
      </c>
      <c r="F61">
        <v>1</v>
      </c>
      <c r="G61">
        <v>1</v>
      </c>
      <c r="H61">
        <v>2</v>
      </c>
      <c r="I61" t="s">
        <v>199</v>
      </c>
      <c r="J61" t="s">
        <v>200</v>
      </c>
      <c r="K61" t="s">
        <v>201</v>
      </c>
      <c r="L61">
        <v>1367</v>
      </c>
      <c r="N61">
        <v>1011</v>
      </c>
      <c r="O61" t="s">
        <v>198</v>
      </c>
      <c r="P61" t="s">
        <v>198</v>
      </c>
      <c r="Q61">
        <v>1</v>
      </c>
      <c r="X61">
        <v>0.27</v>
      </c>
      <c r="Y61">
        <v>0</v>
      </c>
      <c r="Z61">
        <v>31.26</v>
      </c>
      <c r="AA61">
        <v>13.5</v>
      </c>
      <c r="AB61">
        <v>0</v>
      </c>
      <c r="AC61">
        <v>0</v>
      </c>
      <c r="AD61">
        <v>1</v>
      </c>
      <c r="AE61">
        <v>0</v>
      </c>
      <c r="AF61" t="s">
        <v>21</v>
      </c>
      <c r="AG61">
        <v>0.33750000000000002</v>
      </c>
      <c r="AH61">
        <v>2</v>
      </c>
      <c r="AI61">
        <v>46568196</v>
      </c>
      <c r="AJ61">
        <v>54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5">
      <c r="A62">
        <f>ROW(Source!A69)</f>
        <v>69</v>
      </c>
      <c r="B62">
        <v>46568204</v>
      </c>
      <c r="C62">
        <v>46568192</v>
      </c>
      <c r="D62">
        <v>44538010</v>
      </c>
      <c r="E62">
        <v>1</v>
      </c>
      <c r="F62">
        <v>1</v>
      </c>
      <c r="G62">
        <v>1</v>
      </c>
      <c r="H62">
        <v>2</v>
      </c>
      <c r="I62" t="s">
        <v>202</v>
      </c>
      <c r="J62" t="s">
        <v>203</v>
      </c>
      <c r="K62" t="s">
        <v>204</v>
      </c>
      <c r="L62">
        <v>1367</v>
      </c>
      <c r="N62">
        <v>1011</v>
      </c>
      <c r="O62" t="s">
        <v>198</v>
      </c>
      <c r="P62" t="s">
        <v>198</v>
      </c>
      <c r="Q62">
        <v>1</v>
      </c>
      <c r="X62">
        <v>1.3</v>
      </c>
      <c r="Y62">
        <v>0</v>
      </c>
      <c r="Z62">
        <v>12.39</v>
      </c>
      <c r="AA62">
        <v>10.06</v>
      </c>
      <c r="AB62">
        <v>0</v>
      </c>
      <c r="AC62">
        <v>0</v>
      </c>
      <c r="AD62">
        <v>1</v>
      </c>
      <c r="AE62">
        <v>0</v>
      </c>
      <c r="AF62" t="s">
        <v>21</v>
      </c>
      <c r="AG62">
        <v>1.625</v>
      </c>
      <c r="AH62">
        <v>2</v>
      </c>
      <c r="AI62">
        <v>46568197</v>
      </c>
      <c r="AJ62">
        <v>55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5">
      <c r="A63">
        <f>ROW(Source!A69)</f>
        <v>69</v>
      </c>
      <c r="B63">
        <v>46568205</v>
      </c>
      <c r="C63">
        <v>46568192</v>
      </c>
      <c r="D63">
        <v>44336161</v>
      </c>
      <c r="E63">
        <v>1</v>
      </c>
      <c r="F63">
        <v>1</v>
      </c>
      <c r="G63">
        <v>1</v>
      </c>
      <c r="H63">
        <v>3</v>
      </c>
      <c r="I63" t="s">
        <v>208</v>
      </c>
      <c r="J63" t="s">
        <v>209</v>
      </c>
      <c r="K63" t="s">
        <v>210</v>
      </c>
      <c r="L63">
        <v>1339</v>
      </c>
      <c r="N63">
        <v>1007</v>
      </c>
      <c r="O63" t="s">
        <v>211</v>
      </c>
      <c r="P63" t="s">
        <v>211</v>
      </c>
      <c r="Q63">
        <v>1</v>
      </c>
      <c r="X63">
        <v>8.5000000000000006E-2</v>
      </c>
      <c r="Y63">
        <v>2.44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20</v>
      </c>
      <c r="AG63">
        <v>0</v>
      </c>
      <c r="AH63">
        <v>2</v>
      </c>
      <c r="AI63">
        <v>46568198</v>
      </c>
      <c r="AJ63">
        <v>56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5">
      <c r="A64">
        <f>ROW(Source!A69)</f>
        <v>69</v>
      </c>
      <c r="B64">
        <v>46568206</v>
      </c>
      <c r="C64">
        <v>46568192</v>
      </c>
      <c r="D64">
        <v>44341905</v>
      </c>
      <c r="E64">
        <v>1</v>
      </c>
      <c r="F64">
        <v>1</v>
      </c>
      <c r="G64">
        <v>1</v>
      </c>
      <c r="H64">
        <v>3</v>
      </c>
      <c r="I64" t="s">
        <v>212</v>
      </c>
      <c r="J64" t="s">
        <v>213</v>
      </c>
      <c r="K64" t="s">
        <v>214</v>
      </c>
      <c r="L64">
        <v>1346</v>
      </c>
      <c r="N64">
        <v>1009</v>
      </c>
      <c r="O64" t="s">
        <v>215</v>
      </c>
      <c r="P64" t="s">
        <v>215</v>
      </c>
      <c r="Q64">
        <v>1</v>
      </c>
      <c r="X64">
        <v>0.5</v>
      </c>
      <c r="Y64">
        <v>1.82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20</v>
      </c>
      <c r="AG64">
        <v>0</v>
      </c>
      <c r="AH64">
        <v>2</v>
      </c>
      <c r="AI64">
        <v>46568199</v>
      </c>
      <c r="AJ64">
        <v>57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5">
      <c r="A65">
        <f>ROW(Source!A69)</f>
        <v>69</v>
      </c>
      <c r="B65">
        <v>46568207</v>
      </c>
      <c r="C65">
        <v>46568192</v>
      </c>
      <c r="D65">
        <v>44323136</v>
      </c>
      <c r="E65">
        <v>68</v>
      </c>
      <c r="F65">
        <v>1</v>
      </c>
      <c r="G65">
        <v>1</v>
      </c>
      <c r="H65">
        <v>3</v>
      </c>
      <c r="I65" t="s">
        <v>258</v>
      </c>
      <c r="J65" t="s">
        <v>3</v>
      </c>
      <c r="K65" t="s">
        <v>259</v>
      </c>
      <c r="L65">
        <v>1348</v>
      </c>
      <c r="N65">
        <v>1009</v>
      </c>
      <c r="O65" t="s">
        <v>219</v>
      </c>
      <c r="P65" t="s">
        <v>219</v>
      </c>
      <c r="Q65">
        <v>1000</v>
      </c>
      <c r="X65">
        <v>0.05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 t="s">
        <v>20</v>
      </c>
      <c r="AG65">
        <v>0</v>
      </c>
      <c r="AH65">
        <v>3</v>
      </c>
      <c r="AI65">
        <v>-1</v>
      </c>
      <c r="AJ65" t="s">
        <v>3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5">
      <c r="A66">
        <f>ROW(Source!A69)</f>
        <v>69</v>
      </c>
      <c r="B66">
        <v>46568208</v>
      </c>
      <c r="C66">
        <v>46568192</v>
      </c>
      <c r="D66">
        <v>44323877</v>
      </c>
      <c r="E66">
        <v>68</v>
      </c>
      <c r="F66">
        <v>1</v>
      </c>
      <c r="G66">
        <v>1</v>
      </c>
      <c r="H66">
        <v>3</v>
      </c>
      <c r="I66" t="s">
        <v>260</v>
      </c>
      <c r="J66" t="s">
        <v>3</v>
      </c>
      <c r="K66" t="s">
        <v>261</v>
      </c>
      <c r="L66">
        <v>1327</v>
      </c>
      <c r="N66">
        <v>1005</v>
      </c>
      <c r="O66" t="s">
        <v>223</v>
      </c>
      <c r="P66" t="s">
        <v>223</v>
      </c>
      <c r="Q66">
        <v>1</v>
      </c>
      <c r="X66">
        <v>100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 t="s">
        <v>20</v>
      </c>
      <c r="AG66">
        <v>0</v>
      </c>
      <c r="AH66">
        <v>3</v>
      </c>
      <c r="AI66">
        <v>-1</v>
      </c>
      <c r="AJ66" t="s">
        <v>3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5">
      <c r="A67">
        <f>ROW(Source!A69)</f>
        <v>69</v>
      </c>
      <c r="B67">
        <v>46568209</v>
      </c>
      <c r="C67">
        <v>46568192</v>
      </c>
      <c r="D67">
        <v>44325355</v>
      </c>
      <c r="E67">
        <v>68</v>
      </c>
      <c r="F67">
        <v>1</v>
      </c>
      <c r="G67">
        <v>1</v>
      </c>
      <c r="H67">
        <v>3</v>
      </c>
      <c r="I67" t="s">
        <v>262</v>
      </c>
      <c r="J67" t="s">
        <v>3</v>
      </c>
      <c r="K67" t="s">
        <v>263</v>
      </c>
      <c r="L67">
        <v>1348</v>
      </c>
      <c r="N67">
        <v>1009</v>
      </c>
      <c r="O67" t="s">
        <v>219</v>
      </c>
      <c r="P67" t="s">
        <v>219</v>
      </c>
      <c r="Q67">
        <v>1000</v>
      </c>
      <c r="X67">
        <v>0.375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 t="s">
        <v>20</v>
      </c>
      <c r="AG67">
        <v>0</v>
      </c>
      <c r="AH67">
        <v>3</v>
      </c>
      <c r="AI67">
        <v>-1</v>
      </c>
      <c r="AJ67" t="s">
        <v>3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Смета 12 гр. ТЕР МО</vt:lpstr>
      <vt:lpstr>Дефектная ведомость</vt:lpstr>
      <vt:lpstr>Макет форма-3</vt:lpstr>
      <vt:lpstr>Source</vt:lpstr>
      <vt:lpstr>SourceObSm</vt:lpstr>
      <vt:lpstr>SmtRes</vt:lpstr>
      <vt:lpstr>EtalonRes</vt:lpstr>
      <vt:lpstr>'Дефектная ведомость'!Заголовки_для_печати</vt:lpstr>
      <vt:lpstr>'Смета 12 гр. ТЕР МО'!Заголовки_для_печати</vt:lpstr>
      <vt:lpstr>'Дефектная ведомость'!Область_печати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Спиркина Светлана Викторовна</cp:lastModifiedBy>
  <dcterms:created xsi:type="dcterms:W3CDTF">2024-11-22T11:31:02Z</dcterms:created>
  <dcterms:modified xsi:type="dcterms:W3CDTF">2024-11-22T11:43:25Z</dcterms:modified>
</cp:coreProperties>
</file>