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ulfsgs\Desktop\Мое\Договора\2024\Операционный бюджет\ТЗ\ТЗ_Здание столовой\"/>
    </mc:Choice>
  </mc:AlternateContent>
  <xr:revisionPtr revIDLastSave="0" documentId="13_ncr:1_{56EA4498-A677-4D65-8E7F-3051E046D67A}" xr6:coauthVersionLast="36" xr6:coauthVersionMax="36" xr10:uidLastSave="{00000000-0000-0000-0000-000000000000}"/>
  <bookViews>
    <workbookView xWindow="0" yWindow="0" windowWidth="21570" windowHeight="10215" xr2:uid="{00000000-000D-0000-FFFF-FFFF00000000}"/>
  </bookViews>
  <sheets>
    <sheet name="Смета 12 гр. по ФЕР" sheetId="6" r:id="rId1"/>
    <sheet name="Source" sheetId="1" r:id="rId2"/>
    <sheet name="SourceObSm" sheetId="2" r:id="rId3"/>
    <sheet name="SmtRes" sheetId="3" r:id="rId4"/>
    <sheet name="EtalonRes" sheetId="4" r:id="rId5"/>
    <sheet name="SrcKA" sheetId="5" r:id="rId6"/>
  </sheets>
  <definedNames>
    <definedName name="_xlnm.Print_Titles" localSheetId="0">'Смета 12 гр. по ФЕР'!$35:$35</definedName>
    <definedName name="_xlnm.Print_Area" localSheetId="0">'Смета 12 гр. по ФЕР'!$A$1:$L$576</definedName>
  </definedNames>
  <calcPr calcId="191029" iterate="1"/>
</workbook>
</file>

<file path=xl/calcChain.xml><?xml version="1.0" encoding="utf-8"?>
<calcChain xmlns="http://schemas.openxmlformats.org/spreadsheetml/2006/main">
  <c r="J565" i="6" l="1"/>
  <c r="J563" i="6"/>
  <c r="AD16" i="6" l="1"/>
  <c r="I574" i="6"/>
  <c r="I571" i="6"/>
  <c r="D574" i="6"/>
  <c r="D571" i="6"/>
  <c r="C565" i="6"/>
  <c r="C564" i="6"/>
  <c r="C562" i="6"/>
  <c r="C561" i="6"/>
  <c r="C560" i="6"/>
  <c r="C559" i="6"/>
  <c r="C558" i="6"/>
  <c r="C557" i="6"/>
  <c r="C556" i="6"/>
  <c r="C555" i="6"/>
  <c r="C554" i="6"/>
  <c r="C553" i="6"/>
  <c r="C552" i="6"/>
  <c r="C551" i="6"/>
  <c r="C550" i="6"/>
  <c r="C549" i="6"/>
  <c r="C548" i="6"/>
  <c r="Z540" i="6"/>
  <c r="Y540" i="6"/>
  <c r="X540" i="6"/>
  <c r="J539" i="6"/>
  <c r="G539" i="6"/>
  <c r="F539" i="6"/>
  <c r="U539" i="6"/>
  <c r="S539" i="6"/>
  <c r="E539" i="6"/>
  <c r="D539" i="6"/>
  <c r="I539" i="6"/>
  <c r="C539" i="6"/>
  <c r="Z538" i="6"/>
  <c r="Y538" i="6"/>
  <c r="X538" i="6"/>
  <c r="J537" i="6"/>
  <c r="G537" i="6"/>
  <c r="F537" i="6"/>
  <c r="U537" i="6"/>
  <c r="S537" i="6"/>
  <c r="E537" i="6"/>
  <c r="D537" i="6"/>
  <c r="I537" i="6"/>
  <c r="C537" i="6"/>
  <c r="Z536" i="6"/>
  <c r="Y536" i="6"/>
  <c r="X536" i="6"/>
  <c r="J535" i="6"/>
  <c r="G535" i="6"/>
  <c r="F535" i="6"/>
  <c r="U535" i="6"/>
  <c r="S535" i="6"/>
  <c r="E535" i="6"/>
  <c r="D535" i="6"/>
  <c r="I535" i="6"/>
  <c r="C535" i="6"/>
  <c r="Z534" i="6"/>
  <c r="Y534" i="6"/>
  <c r="X534" i="6"/>
  <c r="G533" i="6"/>
  <c r="E533" i="6"/>
  <c r="J532" i="6"/>
  <c r="F532" i="6"/>
  <c r="E532" i="6"/>
  <c r="J531" i="6"/>
  <c r="E531" i="6"/>
  <c r="J530" i="6"/>
  <c r="G530" i="6"/>
  <c r="F530" i="6"/>
  <c r="J529" i="6"/>
  <c r="G529" i="6"/>
  <c r="F529" i="6"/>
  <c r="J528" i="6"/>
  <c r="G528" i="6"/>
  <c r="F528" i="6"/>
  <c r="J527" i="6"/>
  <c r="G527" i="6"/>
  <c r="F527" i="6"/>
  <c r="F525" i="6"/>
  <c r="D525" i="6"/>
  <c r="I525" i="6"/>
  <c r="C525" i="6"/>
  <c r="Z524" i="6"/>
  <c r="Y524" i="6"/>
  <c r="X524" i="6"/>
  <c r="G523" i="6"/>
  <c r="E523" i="6"/>
  <c r="J522" i="6"/>
  <c r="F522" i="6"/>
  <c r="E522" i="6"/>
  <c r="J521" i="6"/>
  <c r="E521" i="6"/>
  <c r="J520" i="6"/>
  <c r="G520" i="6"/>
  <c r="F520" i="6"/>
  <c r="J519" i="6"/>
  <c r="G519" i="6"/>
  <c r="F519" i="6"/>
  <c r="J518" i="6"/>
  <c r="G518" i="6"/>
  <c r="F518" i="6"/>
  <c r="J517" i="6"/>
  <c r="G517" i="6"/>
  <c r="F517" i="6"/>
  <c r="F515" i="6"/>
  <c r="D515" i="6"/>
  <c r="I515" i="6"/>
  <c r="C515" i="6"/>
  <c r="Z514" i="6"/>
  <c r="Y514" i="6"/>
  <c r="X514" i="6"/>
  <c r="G513" i="6"/>
  <c r="E513" i="6"/>
  <c r="J512" i="6"/>
  <c r="E512" i="6"/>
  <c r="J511" i="6"/>
  <c r="E511" i="6"/>
  <c r="J510" i="6"/>
  <c r="G510" i="6"/>
  <c r="F510" i="6"/>
  <c r="F509" i="6"/>
  <c r="E509" i="6"/>
  <c r="D509" i="6"/>
  <c r="I509" i="6"/>
  <c r="C509" i="6"/>
  <c r="Z508" i="6"/>
  <c r="Y508" i="6"/>
  <c r="X508" i="6"/>
  <c r="J507" i="6"/>
  <c r="G507" i="6"/>
  <c r="F507" i="6"/>
  <c r="E507" i="6"/>
  <c r="D507" i="6"/>
  <c r="I507" i="6"/>
  <c r="Z506" i="6"/>
  <c r="Y506" i="6"/>
  <c r="X506" i="6"/>
  <c r="G505" i="6"/>
  <c r="E505" i="6"/>
  <c r="J504" i="6"/>
  <c r="F504" i="6"/>
  <c r="E504" i="6"/>
  <c r="J503" i="6"/>
  <c r="E503" i="6"/>
  <c r="J502" i="6"/>
  <c r="G502" i="6"/>
  <c r="F502" i="6"/>
  <c r="J501" i="6"/>
  <c r="G501" i="6"/>
  <c r="F501" i="6"/>
  <c r="F499" i="6"/>
  <c r="D499" i="6"/>
  <c r="I499" i="6"/>
  <c r="C499" i="6"/>
  <c r="Z498" i="6"/>
  <c r="Y498" i="6"/>
  <c r="X498" i="6"/>
  <c r="J497" i="6"/>
  <c r="G497" i="6"/>
  <c r="F497" i="6"/>
  <c r="E497" i="6"/>
  <c r="D497" i="6"/>
  <c r="I497" i="6"/>
  <c r="Z496" i="6"/>
  <c r="Y496" i="6"/>
  <c r="X496" i="6"/>
  <c r="J495" i="6"/>
  <c r="G495" i="6"/>
  <c r="F495" i="6"/>
  <c r="E495" i="6"/>
  <c r="D495" i="6"/>
  <c r="I495" i="6"/>
  <c r="Z494" i="6"/>
  <c r="Y494" i="6"/>
  <c r="X494" i="6"/>
  <c r="J493" i="6"/>
  <c r="G493" i="6"/>
  <c r="F493" i="6"/>
  <c r="E493" i="6"/>
  <c r="D493" i="6"/>
  <c r="I493" i="6"/>
  <c r="Z492" i="6"/>
  <c r="Y492" i="6"/>
  <c r="X492" i="6"/>
  <c r="J491" i="6"/>
  <c r="Z491" i="6"/>
  <c r="Y491" i="6"/>
  <c r="X491" i="6"/>
  <c r="F491" i="6"/>
  <c r="D491" i="6"/>
  <c r="J490" i="6"/>
  <c r="Z490" i="6"/>
  <c r="Y490" i="6"/>
  <c r="X490" i="6"/>
  <c r="F490" i="6"/>
  <c r="D490" i="6"/>
  <c r="J489" i="6"/>
  <c r="Z489" i="6"/>
  <c r="Y489" i="6"/>
  <c r="X489" i="6"/>
  <c r="F489" i="6"/>
  <c r="D489" i="6"/>
  <c r="G488" i="6"/>
  <c r="E488" i="6"/>
  <c r="J487" i="6"/>
  <c r="F487" i="6"/>
  <c r="E487" i="6"/>
  <c r="J486" i="6"/>
  <c r="E486" i="6"/>
  <c r="J485" i="6"/>
  <c r="G485" i="6"/>
  <c r="F485" i="6"/>
  <c r="J484" i="6"/>
  <c r="G484" i="6"/>
  <c r="F484" i="6"/>
  <c r="J483" i="6"/>
  <c r="G483" i="6"/>
  <c r="F483" i="6"/>
  <c r="J482" i="6"/>
  <c r="G482" i="6"/>
  <c r="F482" i="6"/>
  <c r="F480" i="6"/>
  <c r="D480" i="6"/>
  <c r="I480" i="6"/>
  <c r="C480" i="6"/>
  <c r="Z479" i="6"/>
  <c r="Y479" i="6"/>
  <c r="X479" i="6"/>
  <c r="J478" i="6"/>
  <c r="G478" i="6"/>
  <c r="F478" i="6"/>
  <c r="D478" i="6"/>
  <c r="I478" i="6"/>
  <c r="Z477" i="6"/>
  <c r="Y477" i="6"/>
  <c r="X477" i="6"/>
  <c r="G476" i="6"/>
  <c r="E476" i="6"/>
  <c r="J475" i="6"/>
  <c r="F475" i="6"/>
  <c r="E475" i="6"/>
  <c r="J474" i="6"/>
  <c r="E474" i="6"/>
  <c r="J473" i="6"/>
  <c r="G473" i="6"/>
  <c r="F473" i="6"/>
  <c r="J472" i="6"/>
  <c r="G472" i="6"/>
  <c r="F472" i="6"/>
  <c r="J471" i="6"/>
  <c r="G471" i="6"/>
  <c r="F471" i="6"/>
  <c r="J470" i="6"/>
  <c r="G470" i="6"/>
  <c r="F470" i="6"/>
  <c r="F468" i="6"/>
  <c r="D468" i="6"/>
  <c r="I468" i="6"/>
  <c r="C468" i="6"/>
  <c r="Z467" i="6"/>
  <c r="Y467" i="6"/>
  <c r="X467" i="6"/>
  <c r="J466" i="6"/>
  <c r="Z466" i="6"/>
  <c r="Y466" i="6"/>
  <c r="X466" i="6"/>
  <c r="F466" i="6"/>
  <c r="D466" i="6"/>
  <c r="C466" i="6"/>
  <c r="G465" i="6"/>
  <c r="E465" i="6"/>
  <c r="J464" i="6"/>
  <c r="E464" i="6"/>
  <c r="J463" i="6"/>
  <c r="E463" i="6"/>
  <c r="J462" i="6"/>
  <c r="G462" i="6"/>
  <c r="F462" i="6"/>
  <c r="J461" i="6"/>
  <c r="G461" i="6"/>
  <c r="F461" i="6"/>
  <c r="J460" i="6"/>
  <c r="G460" i="6"/>
  <c r="F460" i="6"/>
  <c r="F458" i="6"/>
  <c r="D458" i="6"/>
  <c r="I458" i="6"/>
  <c r="C458" i="6"/>
  <c r="A457" i="6"/>
  <c r="Z451" i="6"/>
  <c r="Y451" i="6"/>
  <c r="X451" i="6"/>
  <c r="J450" i="6"/>
  <c r="G450" i="6"/>
  <c r="F450" i="6"/>
  <c r="E450" i="6"/>
  <c r="D450" i="6"/>
  <c r="I450" i="6"/>
  <c r="Z449" i="6"/>
  <c r="Y449" i="6"/>
  <c r="X449" i="6"/>
  <c r="J448" i="6"/>
  <c r="Z448" i="6"/>
  <c r="Y448" i="6"/>
  <c r="X448" i="6"/>
  <c r="F448" i="6"/>
  <c r="D448" i="6"/>
  <c r="G447" i="6"/>
  <c r="E447" i="6"/>
  <c r="J446" i="6"/>
  <c r="F446" i="6"/>
  <c r="E446" i="6"/>
  <c r="J445" i="6"/>
  <c r="E445" i="6"/>
  <c r="J444" i="6"/>
  <c r="G444" i="6"/>
  <c r="F444" i="6"/>
  <c r="J443" i="6"/>
  <c r="G443" i="6"/>
  <c r="F443" i="6"/>
  <c r="J442" i="6"/>
  <c r="G442" i="6"/>
  <c r="F442" i="6"/>
  <c r="J441" i="6"/>
  <c r="G441" i="6"/>
  <c r="F441" i="6"/>
  <c r="F439" i="6"/>
  <c r="D439" i="6"/>
  <c r="I439" i="6"/>
  <c r="C439" i="6"/>
  <c r="Z438" i="6"/>
  <c r="Y438" i="6"/>
  <c r="X438" i="6"/>
  <c r="J437" i="6"/>
  <c r="G437" i="6"/>
  <c r="F437" i="6"/>
  <c r="E437" i="6"/>
  <c r="D437" i="6"/>
  <c r="I437" i="6"/>
  <c r="Z436" i="6"/>
  <c r="Y436" i="6"/>
  <c r="X436" i="6"/>
  <c r="J435" i="6"/>
  <c r="G435" i="6"/>
  <c r="F435" i="6"/>
  <c r="E435" i="6"/>
  <c r="D435" i="6"/>
  <c r="I435" i="6"/>
  <c r="Z434" i="6"/>
  <c r="Y434" i="6"/>
  <c r="X434" i="6"/>
  <c r="G433" i="6"/>
  <c r="E433" i="6"/>
  <c r="J432" i="6"/>
  <c r="F432" i="6"/>
  <c r="E432" i="6"/>
  <c r="J431" i="6"/>
  <c r="E431" i="6"/>
  <c r="J430" i="6"/>
  <c r="G430" i="6"/>
  <c r="F430" i="6"/>
  <c r="J429" i="6"/>
  <c r="G429" i="6"/>
  <c r="F429" i="6"/>
  <c r="J428" i="6"/>
  <c r="G428" i="6"/>
  <c r="F428" i="6"/>
  <c r="J427" i="6"/>
  <c r="G427" i="6"/>
  <c r="F427" i="6"/>
  <c r="F426" i="6"/>
  <c r="D426" i="6"/>
  <c r="I426" i="6"/>
  <c r="C426" i="6"/>
  <c r="Z425" i="6"/>
  <c r="Y425" i="6"/>
  <c r="X425" i="6"/>
  <c r="G424" i="6"/>
  <c r="E424" i="6"/>
  <c r="J423" i="6"/>
  <c r="F423" i="6"/>
  <c r="E423" i="6"/>
  <c r="J422" i="6"/>
  <c r="E422" i="6"/>
  <c r="J421" i="6"/>
  <c r="G421" i="6"/>
  <c r="F421" i="6"/>
  <c r="J420" i="6"/>
  <c r="G420" i="6"/>
  <c r="F420" i="6"/>
  <c r="J419" i="6"/>
  <c r="G419" i="6"/>
  <c r="F419" i="6"/>
  <c r="F417" i="6"/>
  <c r="D417" i="6"/>
  <c r="I417" i="6"/>
  <c r="C417" i="6"/>
  <c r="Z416" i="6"/>
  <c r="Y416" i="6"/>
  <c r="X416" i="6"/>
  <c r="J415" i="6"/>
  <c r="G415" i="6"/>
  <c r="F415" i="6"/>
  <c r="E415" i="6"/>
  <c r="D415" i="6"/>
  <c r="I415" i="6"/>
  <c r="Z414" i="6"/>
  <c r="Y414" i="6"/>
  <c r="X414" i="6"/>
  <c r="J413" i="6"/>
  <c r="G413" i="6"/>
  <c r="F413" i="6"/>
  <c r="E413" i="6"/>
  <c r="D413" i="6"/>
  <c r="I413" i="6"/>
  <c r="Z412" i="6"/>
  <c r="Y412" i="6"/>
  <c r="X412" i="6"/>
  <c r="J411" i="6"/>
  <c r="G411" i="6"/>
  <c r="F411" i="6"/>
  <c r="E411" i="6"/>
  <c r="D411" i="6"/>
  <c r="I411" i="6"/>
  <c r="Z410" i="6"/>
  <c r="Y410" i="6"/>
  <c r="X410" i="6"/>
  <c r="J409" i="6"/>
  <c r="G409" i="6"/>
  <c r="F409" i="6"/>
  <c r="D409" i="6"/>
  <c r="I409" i="6"/>
  <c r="Z408" i="6"/>
  <c r="Y408" i="6"/>
  <c r="X408" i="6"/>
  <c r="G407" i="6"/>
  <c r="E407" i="6"/>
  <c r="J406" i="6"/>
  <c r="F406" i="6"/>
  <c r="E406" i="6"/>
  <c r="J405" i="6"/>
  <c r="E405" i="6"/>
  <c r="J404" i="6"/>
  <c r="G404" i="6"/>
  <c r="F404" i="6"/>
  <c r="F402" i="6"/>
  <c r="D402" i="6"/>
  <c r="I402" i="6"/>
  <c r="C402" i="6"/>
  <c r="Z401" i="6"/>
  <c r="Y401" i="6"/>
  <c r="X401" i="6"/>
  <c r="G400" i="6"/>
  <c r="E400" i="6"/>
  <c r="J399" i="6"/>
  <c r="F399" i="6"/>
  <c r="E399" i="6"/>
  <c r="J398" i="6"/>
  <c r="E398" i="6"/>
  <c r="J397" i="6"/>
  <c r="G397" i="6"/>
  <c r="F397" i="6"/>
  <c r="J396" i="6"/>
  <c r="G396" i="6"/>
  <c r="F396" i="6"/>
  <c r="J395" i="6"/>
  <c r="G395" i="6"/>
  <c r="F395" i="6"/>
  <c r="J394" i="6"/>
  <c r="G394" i="6"/>
  <c r="F394" i="6"/>
  <c r="F392" i="6"/>
  <c r="D392" i="6"/>
  <c r="I392" i="6"/>
  <c r="C392" i="6"/>
  <c r="Z391" i="6"/>
  <c r="Y391" i="6"/>
  <c r="X391" i="6"/>
  <c r="G390" i="6"/>
  <c r="E390" i="6"/>
  <c r="J389" i="6"/>
  <c r="F389" i="6"/>
  <c r="E389" i="6"/>
  <c r="J388" i="6"/>
  <c r="E388" i="6"/>
  <c r="J387" i="6"/>
  <c r="G387" i="6"/>
  <c r="F387" i="6"/>
  <c r="J386" i="6"/>
  <c r="G386" i="6"/>
  <c r="F386" i="6"/>
  <c r="J385" i="6"/>
  <c r="G385" i="6"/>
  <c r="F385" i="6"/>
  <c r="F383" i="6"/>
  <c r="D383" i="6"/>
  <c r="I383" i="6"/>
  <c r="C383" i="6"/>
  <c r="Z382" i="6"/>
  <c r="Y382" i="6"/>
  <c r="X382" i="6"/>
  <c r="J381" i="6"/>
  <c r="G381" i="6"/>
  <c r="F381" i="6"/>
  <c r="E381" i="6"/>
  <c r="D381" i="6"/>
  <c r="I381" i="6"/>
  <c r="Z380" i="6"/>
  <c r="Y380" i="6"/>
  <c r="X380" i="6"/>
  <c r="J379" i="6"/>
  <c r="G379" i="6"/>
  <c r="F379" i="6"/>
  <c r="E379" i="6"/>
  <c r="D379" i="6"/>
  <c r="I379" i="6"/>
  <c r="Z378" i="6"/>
  <c r="Y378" i="6"/>
  <c r="X378" i="6"/>
  <c r="J377" i="6"/>
  <c r="G377" i="6"/>
  <c r="F377" i="6"/>
  <c r="E377" i="6"/>
  <c r="D377" i="6"/>
  <c r="I377" i="6"/>
  <c r="Z376" i="6"/>
  <c r="Y376" i="6"/>
  <c r="X376" i="6"/>
  <c r="J375" i="6"/>
  <c r="G375" i="6"/>
  <c r="F375" i="6"/>
  <c r="E375" i="6"/>
  <c r="D375" i="6"/>
  <c r="I375" i="6"/>
  <c r="Z374" i="6"/>
  <c r="Y374" i="6"/>
  <c r="X374" i="6"/>
  <c r="J373" i="6"/>
  <c r="G373" i="6"/>
  <c r="F373" i="6"/>
  <c r="E373" i="6"/>
  <c r="D373" i="6"/>
  <c r="I373" i="6"/>
  <c r="Z372" i="6"/>
  <c r="Y372" i="6"/>
  <c r="X372" i="6"/>
  <c r="J371" i="6"/>
  <c r="G371" i="6"/>
  <c r="F371" i="6"/>
  <c r="E371" i="6"/>
  <c r="D371" i="6"/>
  <c r="I371" i="6"/>
  <c r="Z370" i="6"/>
  <c r="Y370" i="6"/>
  <c r="X370" i="6"/>
  <c r="J369" i="6"/>
  <c r="G369" i="6"/>
  <c r="F369" i="6"/>
  <c r="D369" i="6"/>
  <c r="I369" i="6"/>
  <c r="Z368" i="6"/>
  <c r="Y368" i="6"/>
  <c r="X368" i="6"/>
  <c r="G367" i="6"/>
  <c r="E367" i="6"/>
  <c r="J366" i="6"/>
  <c r="F366" i="6"/>
  <c r="E366" i="6"/>
  <c r="J365" i="6"/>
  <c r="E365" i="6"/>
  <c r="J364" i="6"/>
  <c r="G364" i="6"/>
  <c r="F364" i="6"/>
  <c r="J363" i="6"/>
  <c r="G363" i="6"/>
  <c r="F363" i="6"/>
  <c r="J362" i="6"/>
  <c r="G362" i="6"/>
  <c r="F362" i="6"/>
  <c r="J361" i="6"/>
  <c r="G361" i="6"/>
  <c r="F361" i="6"/>
  <c r="F359" i="6"/>
  <c r="D359" i="6"/>
  <c r="I359" i="6"/>
  <c r="C359" i="6"/>
  <c r="Z358" i="6"/>
  <c r="Y358" i="6"/>
  <c r="X358" i="6"/>
  <c r="J357" i="6"/>
  <c r="Z357" i="6"/>
  <c r="Y357" i="6"/>
  <c r="X357" i="6"/>
  <c r="F357" i="6"/>
  <c r="D357" i="6"/>
  <c r="C357" i="6"/>
  <c r="G356" i="6"/>
  <c r="E356" i="6"/>
  <c r="J355" i="6"/>
  <c r="E355" i="6"/>
  <c r="J354" i="6"/>
  <c r="E354" i="6"/>
  <c r="J353" i="6"/>
  <c r="G353" i="6"/>
  <c r="F353" i="6"/>
  <c r="J352" i="6"/>
  <c r="G352" i="6"/>
  <c r="F352" i="6"/>
  <c r="J351" i="6"/>
  <c r="G351" i="6"/>
  <c r="F351" i="6"/>
  <c r="J350" i="6"/>
  <c r="G350" i="6"/>
  <c r="F350" i="6"/>
  <c r="F348" i="6"/>
  <c r="D348" i="6"/>
  <c r="I348" i="6"/>
  <c r="C348" i="6"/>
  <c r="Z347" i="6"/>
  <c r="Y347" i="6"/>
  <c r="X347" i="6"/>
  <c r="G346" i="6"/>
  <c r="E346" i="6"/>
  <c r="J345" i="6"/>
  <c r="E345" i="6"/>
  <c r="J344" i="6"/>
  <c r="E344" i="6"/>
  <c r="J343" i="6"/>
  <c r="G343" i="6"/>
  <c r="F343" i="6"/>
  <c r="J342" i="6"/>
  <c r="G342" i="6"/>
  <c r="F342" i="6"/>
  <c r="J341" i="6"/>
  <c r="G341" i="6"/>
  <c r="F341" i="6"/>
  <c r="F339" i="6"/>
  <c r="D339" i="6"/>
  <c r="I339" i="6"/>
  <c r="C339" i="6"/>
  <c r="A338" i="6"/>
  <c r="Z332" i="6"/>
  <c r="Y332" i="6"/>
  <c r="X332" i="6"/>
  <c r="J330" i="6"/>
  <c r="G330" i="6"/>
  <c r="F330" i="6"/>
  <c r="D330" i="6"/>
  <c r="I330" i="6"/>
  <c r="Z329" i="6"/>
  <c r="Y329" i="6"/>
  <c r="X329" i="6"/>
  <c r="J327" i="6"/>
  <c r="G327" i="6"/>
  <c r="F327" i="6"/>
  <c r="D327" i="6"/>
  <c r="I327" i="6"/>
  <c r="Z326" i="6"/>
  <c r="Y326" i="6"/>
  <c r="X326" i="6"/>
  <c r="J324" i="6"/>
  <c r="G324" i="6"/>
  <c r="F324" i="6"/>
  <c r="D324" i="6"/>
  <c r="I324" i="6"/>
  <c r="Z323" i="6"/>
  <c r="Y323" i="6"/>
  <c r="X323" i="6"/>
  <c r="J322" i="6"/>
  <c r="Z322" i="6"/>
  <c r="Y322" i="6"/>
  <c r="X322" i="6"/>
  <c r="F322" i="6"/>
  <c r="D322" i="6"/>
  <c r="G321" i="6"/>
  <c r="E321" i="6"/>
  <c r="J320" i="6"/>
  <c r="F320" i="6"/>
  <c r="E320" i="6"/>
  <c r="J319" i="6"/>
  <c r="E319" i="6"/>
  <c r="J318" i="6"/>
  <c r="G318" i="6"/>
  <c r="F318" i="6"/>
  <c r="J317" i="6"/>
  <c r="G317" i="6"/>
  <c r="F317" i="6"/>
  <c r="J316" i="6"/>
  <c r="G316" i="6"/>
  <c r="F316" i="6"/>
  <c r="J315" i="6"/>
  <c r="G315" i="6"/>
  <c r="F315" i="6"/>
  <c r="F313" i="6"/>
  <c r="D313" i="6"/>
  <c r="I313" i="6"/>
  <c r="C313" i="6"/>
  <c r="Z312" i="6"/>
  <c r="Y312" i="6"/>
  <c r="X312" i="6"/>
  <c r="J311" i="6"/>
  <c r="G311" i="6"/>
  <c r="F311" i="6"/>
  <c r="E311" i="6"/>
  <c r="D311" i="6"/>
  <c r="I311" i="6"/>
  <c r="Z310" i="6"/>
  <c r="Y310" i="6"/>
  <c r="X310" i="6"/>
  <c r="J309" i="6"/>
  <c r="G309" i="6"/>
  <c r="F309" i="6"/>
  <c r="E309" i="6"/>
  <c r="D309" i="6"/>
  <c r="I309" i="6"/>
  <c r="Z308" i="6"/>
  <c r="Y308" i="6"/>
  <c r="X308" i="6"/>
  <c r="J307" i="6"/>
  <c r="Z307" i="6"/>
  <c r="Y307" i="6"/>
  <c r="X307" i="6"/>
  <c r="F307" i="6"/>
  <c r="D307" i="6"/>
  <c r="G306" i="6"/>
  <c r="E306" i="6"/>
  <c r="J305" i="6"/>
  <c r="F305" i="6"/>
  <c r="E305" i="6"/>
  <c r="J304" i="6"/>
  <c r="E304" i="6"/>
  <c r="J303" i="6"/>
  <c r="G303" i="6"/>
  <c r="F303" i="6"/>
  <c r="J302" i="6"/>
  <c r="G302" i="6"/>
  <c r="F302" i="6"/>
  <c r="J301" i="6"/>
  <c r="G301" i="6"/>
  <c r="F301" i="6"/>
  <c r="J300" i="6"/>
  <c r="G300" i="6"/>
  <c r="F300" i="6"/>
  <c r="F299" i="6"/>
  <c r="D299" i="6"/>
  <c r="I299" i="6"/>
  <c r="C299" i="6"/>
  <c r="Z298" i="6"/>
  <c r="Y298" i="6"/>
  <c r="X298" i="6"/>
  <c r="J296" i="6"/>
  <c r="G296" i="6"/>
  <c r="F296" i="6"/>
  <c r="D296" i="6"/>
  <c r="I296" i="6"/>
  <c r="Z295" i="6"/>
  <c r="Y295" i="6"/>
  <c r="X295" i="6"/>
  <c r="G294" i="6"/>
  <c r="E294" i="6"/>
  <c r="J293" i="6"/>
  <c r="F293" i="6"/>
  <c r="E293" i="6"/>
  <c r="J292" i="6"/>
  <c r="E292" i="6"/>
  <c r="J291" i="6"/>
  <c r="G291" i="6"/>
  <c r="F291" i="6"/>
  <c r="J290" i="6"/>
  <c r="G290" i="6"/>
  <c r="F290" i="6"/>
  <c r="J289" i="6"/>
  <c r="G289" i="6"/>
  <c r="F289" i="6"/>
  <c r="J288" i="6"/>
  <c r="G288" i="6"/>
  <c r="F288" i="6"/>
  <c r="F286" i="6"/>
  <c r="D286" i="6"/>
  <c r="I286" i="6"/>
  <c r="C286" i="6"/>
  <c r="Z285" i="6"/>
  <c r="Y285" i="6"/>
  <c r="X285" i="6"/>
  <c r="J284" i="6"/>
  <c r="G284" i="6"/>
  <c r="F284" i="6"/>
  <c r="E284" i="6"/>
  <c r="D284" i="6"/>
  <c r="I284" i="6"/>
  <c r="Z283" i="6"/>
  <c r="Y283" i="6"/>
  <c r="X283" i="6"/>
  <c r="J282" i="6"/>
  <c r="G282" i="6"/>
  <c r="F282" i="6"/>
  <c r="E282" i="6"/>
  <c r="D282" i="6"/>
  <c r="I282" i="6"/>
  <c r="Z281" i="6"/>
  <c r="Y281" i="6"/>
  <c r="X281" i="6"/>
  <c r="J280" i="6"/>
  <c r="G280" i="6"/>
  <c r="F280" i="6"/>
  <c r="E280" i="6"/>
  <c r="D280" i="6"/>
  <c r="I280" i="6"/>
  <c r="Z279" i="6"/>
  <c r="Y279" i="6"/>
  <c r="X279" i="6"/>
  <c r="J278" i="6"/>
  <c r="G278" i="6"/>
  <c r="F278" i="6"/>
  <c r="E278" i="6"/>
  <c r="D278" i="6"/>
  <c r="I278" i="6"/>
  <c r="Z277" i="6"/>
  <c r="Y277" i="6"/>
  <c r="X277" i="6"/>
  <c r="J276" i="6"/>
  <c r="G276" i="6"/>
  <c r="F276" i="6"/>
  <c r="E276" i="6"/>
  <c r="D276" i="6"/>
  <c r="I276" i="6"/>
  <c r="Z275" i="6"/>
  <c r="Y275" i="6"/>
  <c r="X275" i="6"/>
  <c r="G274" i="6"/>
  <c r="E274" i="6"/>
  <c r="J273" i="6"/>
  <c r="F273" i="6"/>
  <c r="E273" i="6"/>
  <c r="J272" i="6"/>
  <c r="E272" i="6"/>
  <c r="J271" i="6"/>
  <c r="G271" i="6"/>
  <c r="F271" i="6"/>
  <c r="J270" i="6"/>
  <c r="G270" i="6"/>
  <c r="F270" i="6"/>
  <c r="J269" i="6"/>
  <c r="G269" i="6"/>
  <c r="F269" i="6"/>
  <c r="J268" i="6"/>
  <c r="G268" i="6"/>
  <c r="F268" i="6"/>
  <c r="F267" i="6"/>
  <c r="D267" i="6"/>
  <c r="I267" i="6"/>
  <c r="C267" i="6"/>
  <c r="Z266" i="6"/>
  <c r="Y266" i="6"/>
  <c r="X266" i="6"/>
  <c r="J265" i="6"/>
  <c r="G265" i="6"/>
  <c r="F265" i="6"/>
  <c r="E265" i="6"/>
  <c r="D265" i="6"/>
  <c r="I265" i="6"/>
  <c r="Z264" i="6"/>
  <c r="Y264" i="6"/>
  <c r="X264" i="6"/>
  <c r="J263" i="6"/>
  <c r="G263" i="6"/>
  <c r="F263" i="6"/>
  <c r="E263" i="6"/>
  <c r="D263" i="6"/>
  <c r="I263" i="6"/>
  <c r="Z262" i="6"/>
  <c r="Y262" i="6"/>
  <c r="X262" i="6"/>
  <c r="J261" i="6"/>
  <c r="Z261" i="6"/>
  <c r="Y261" i="6"/>
  <c r="X261" i="6"/>
  <c r="F261" i="6"/>
  <c r="D261" i="6"/>
  <c r="J260" i="6"/>
  <c r="Z260" i="6"/>
  <c r="Y260" i="6"/>
  <c r="X260" i="6"/>
  <c r="F260" i="6"/>
  <c r="D260" i="6"/>
  <c r="J259" i="6"/>
  <c r="Z259" i="6"/>
  <c r="Y259" i="6"/>
  <c r="X259" i="6"/>
  <c r="F259" i="6"/>
  <c r="D259" i="6"/>
  <c r="J258" i="6"/>
  <c r="Z258" i="6"/>
  <c r="Y258" i="6"/>
  <c r="X258" i="6"/>
  <c r="F258" i="6"/>
  <c r="D258" i="6"/>
  <c r="J257" i="6"/>
  <c r="Z257" i="6"/>
  <c r="Y257" i="6"/>
  <c r="X257" i="6"/>
  <c r="F257" i="6"/>
  <c r="D257" i="6"/>
  <c r="G256" i="6"/>
  <c r="E256" i="6"/>
  <c r="J255" i="6"/>
  <c r="F255" i="6"/>
  <c r="E255" i="6"/>
  <c r="J254" i="6"/>
  <c r="E254" i="6"/>
  <c r="J253" i="6"/>
  <c r="G253" i="6"/>
  <c r="F253" i="6"/>
  <c r="J252" i="6"/>
  <c r="G252" i="6"/>
  <c r="F252" i="6"/>
  <c r="J251" i="6"/>
  <c r="G251" i="6"/>
  <c r="F251" i="6"/>
  <c r="J250" i="6"/>
  <c r="G250" i="6"/>
  <c r="F250" i="6"/>
  <c r="F249" i="6"/>
  <c r="D249" i="6"/>
  <c r="I249" i="6"/>
  <c r="C249" i="6"/>
  <c r="Z248" i="6"/>
  <c r="Y248" i="6"/>
  <c r="X248" i="6"/>
  <c r="J246" i="6"/>
  <c r="G246" i="6"/>
  <c r="F246" i="6"/>
  <c r="D246" i="6"/>
  <c r="I246" i="6"/>
  <c r="Z245" i="6"/>
  <c r="Y245" i="6"/>
  <c r="X245" i="6"/>
  <c r="G244" i="6"/>
  <c r="E244" i="6"/>
  <c r="J243" i="6"/>
  <c r="F243" i="6"/>
  <c r="E243" i="6"/>
  <c r="J242" i="6"/>
  <c r="E242" i="6"/>
  <c r="J241" i="6"/>
  <c r="G241" i="6"/>
  <c r="F241" i="6"/>
  <c r="J240" i="6"/>
  <c r="G240" i="6"/>
  <c r="F240" i="6"/>
  <c r="J239" i="6"/>
  <c r="G239" i="6"/>
  <c r="F239" i="6"/>
  <c r="J238" i="6"/>
  <c r="G238" i="6"/>
  <c r="F238" i="6"/>
  <c r="F236" i="6"/>
  <c r="D236" i="6"/>
  <c r="I236" i="6"/>
  <c r="C236" i="6"/>
  <c r="Z235" i="6"/>
  <c r="Y235" i="6"/>
  <c r="X235" i="6"/>
  <c r="J233" i="6"/>
  <c r="G233" i="6"/>
  <c r="F233" i="6"/>
  <c r="D233" i="6"/>
  <c r="I233" i="6"/>
  <c r="Z232" i="6"/>
  <c r="Y232" i="6"/>
  <c r="X232" i="6"/>
  <c r="J230" i="6"/>
  <c r="G230" i="6"/>
  <c r="F230" i="6"/>
  <c r="D230" i="6"/>
  <c r="I230" i="6"/>
  <c r="Z229" i="6"/>
  <c r="Y229" i="6"/>
  <c r="X229" i="6"/>
  <c r="J227" i="6"/>
  <c r="G227" i="6"/>
  <c r="F227" i="6"/>
  <c r="D227" i="6"/>
  <c r="I227" i="6"/>
  <c r="Z226" i="6"/>
  <c r="Y226" i="6"/>
  <c r="X226" i="6"/>
  <c r="G225" i="6"/>
  <c r="E225" i="6"/>
  <c r="J224" i="6"/>
  <c r="F224" i="6"/>
  <c r="E224" i="6"/>
  <c r="J223" i="6"/>
  <c r="E223" i="6"/>
  <c r="J222" i="6"/>
  <c r="G222" i="6"/>
  <c r="F222" i="6"/>
  <c r="J221" i="6"/>
  <c r="G221" i="6"/>
  <c r="F221" i="6"/>
  <c r="J220" i="6"/>
  <c r="G220" i="6"/>
  <c r="F220" i="6"/>
  <c r="J219" i="6"/>
  <c r="G219" i="6"/>
  <c r="F219" i="6"/>
  <c r="F218" i="6"/>
  <c r="D218" i="6"/>
  <c r="I218" i="6"/>
  <c r="C218" i="6"/>
  <c r="Z217" i="6"/>
  <c r="Y217" i="6"/>
  <c r="X217" i="6"/>
  <c r="J216" i="6"/>
  <c r="G216" i="6"/>
  <c r="F216" i="6"/>
  <c r="D216" i="6"/>
  <c r="I216" i="6"/>
  <c r="Z215" i="6"/>
  <c r="Y215" i="6"/>
  <c r="X215" i="6"/>
  <c r="G214" i="6"/>
  <c r="E214" i="6"/>
  <c r="J213" i="6"/>
  <c r="F213" i="6"/>
  <c r="E213" i="6"/>
  <c r="J212" i="6"/>
  <c r="E212" i="6"/>
  <c r="J211" i="6"/>
  <c r="G211" i="6"/>
  <c r="F211" i="6"/>
  <c r="J210" i="6"/>
  <c r="G210" i="6"/>
  <c r="F210" i="6"/>
  <c r="J209" i="6"/>
  <c r="G209" i="6"/>
  <c r="F209" i="6"/>
  <c r="J208" i="6"/>
  <c r="G208" i="6"/>
  <c r="F208" i="6"/>
  <c r="F207" i="6"/>
  <c r="D207" i="6"/>
  <c r="I207" i="6"/>
  <c r="C207" i="6"/>
  <c r="Z206" i="6"/>
  <c r="Y206" i="6"/>
  <c r="X206" i="6"/>
  <c r="J205" i="6"/>
  <c r="G205" i="6"/>
  <c r="F205" i="6"/>
  <c r="E205" i="6"/>
  <c r="D205" i="6"/>
  <c r="I205" i="6"/>
  <c r="Z204" i="6"/>
  <c r="Y204" i="6"/>
  <c r="X204" i="6"/>
  <c r="J203" i="6"/>
  <c r="G203" i="6"/>
  <c r="F203" i="6"/>
  <c r="E203" i="6"/>
  <c r="D203" i="6"/>
  <c r="I203" i="6"/>
  <c r="Z202" i="6"/>
  <c r="Y202" i="6"/>
  <c r="X202" i="6"/>
  <c r="J201" i="6"/>
  <c r="G201" i="6"/>
  <c r="F201" i="6"/>
  <c r="E201" i="6"/>
  <c r="D201" i="6"/>
  <c r="I201" i="6"/>
  <c r="Z200" i="6"/>
  <c r="Y200" i="6"/>
  <c r="X200" i="6"/>
  <c r="J199" i="6"/>
  <c r="G199" i="6"/>
  <c r="F199" i="6"/>
  <c r="E199" i="6"/>
  <c r="D199" i="6"/>
  <c r="I199" i="6"/>
  <c r="Z198" i="6"/>
  <c r="Y198" i="6"/>
  <c r="X198" i="6"/>
  <c r="J197" i="6"/>
  <c r="G197" i="6"/>
  <c r="F197" i="6"/>
  <c r="E197" i="6"/>
  <c r="D197" i="6"/>
  <c r="I197" i="6"/>
  <c r="Z196" i="6"/>
  <c r="Y196" i="6"/>
  <c r="X196" i="6"/>
  <c r="J195" i="6"/>
  <c r="Z195" i="6"/>
  <c r="Y195" i="6"/>
  <c r="X195" i="6"/>
  <c r="F195" i="6"/>
  <c r="D195" i="6"/>
  <c r="J194" i="6"/>
  <c r="Z194" i="6"/>
  <c r="Y194" i="6"/>
  <c r="X194" i="6"/>
  <c r="F194" i="6"/>
  <c r="D194" i="6"/>
  <c r="J193" i="6"/>
  <c r="Z193" i="6"/>
  <c r="Y193" i="6"/>
  <c r="X193" i="6"/>
  <c r="F193" i="6"/>
  <c r="D193" i="6"/>
  <c r="J192" i="6"/>
  <c r="Z192" i="6"/>
  <c r="Y192" i="6"/>
  <c r="X192" i="6"/>
  <c r="F192" i="6"/>
  <c r="D192" i="6"/>
  <c r="G191" i="6"/>
  <c r="E191" i="6"/>
  <c r="J190" i="6"/>
  <c r="F190" i="6"/>
  <c r="E190" i="6"/>
  <c r="J189" i="6"/>
  <c r="E189" i="6"/>
  <c r="J188" i="6"/>
  <c r="G188" i="6"/>
  <c r="F188" i="6"/>
  <c r="J187" i="6"/>
  <c r="G187" i="6"/>
  <c r="F187" i="6"/>
  <c r="J186" i="6"/>
  <c r="G186" i="6"/>
  <c r="F186" i="6"/>
  <c r="J185" i="6"/>
  <c r="G185" i="6"/>
  <c r="F185" i="6"/>
  <c r="F184" i="6"/>
  <c r="D184" i="6"/>
  <c r="I184" i="6"/>
  <c r="C184" i="6"/>
  <c r="Z183" i="6"/>
  <c r="Y183" i="6"/>
  <c r="X183" i="6"/>
  <c r="J182" i="6"/>
  <c r="G182" i="6"/>
  <c r="F182" i="6"/>
  <c r="E182" i="6"/>
  <c r="D182" i="6"/>
  <c r="I182" i="6"/>
  <c r="Z181" i="6"/>
  <c r="Y181" i="6"/>
  <c r="X181" i="6"/>
  <c r="J180" i="6"/>
  <c r="G180" i="6"/>
  <c r="F180" i="6"/>
  <c r="E180" i="6"/>
  <c r="D180" i="6"/>
  <c r="I180" i="6"/>
  <c r="Z179" i="6"/>
  <c r="Y179" i="6"/>
  <c r="X179" i="6"/>
  <c r="J177" i="6"/>
  <c r="G177" i="6"/>
  <c r="F177" i="6"/>
  <c r="D177" i="6"/>
  <c r="I177" i="6"/>
  <c r="Z176" i="6"/>
  <c r="Y176" i="6"/>
  <c r="X176" i="6"/>
  <c r="J175" i="6"/>
  <c r="Z175" i="6"/>
  <c r="Y175" i="6"/>
  <c r="X175" i="6"/>
  <c r="F175" i="6"/>
  <c r="D175" i="6"/>
  <c r="J174" i="6"/>
  <c r="Z174" i="6"/>
  <c r="Y174" i="6"/>
  <c r="X174" i="6"/>
  <c r="F174" i="6"/>
  <c r="D174" i="6"/>
  <c r="J173" i="6"/>
  <c r="Z173" i="6"/>
  <c r="Y173" i="6"/>
  <c r="X173" i="6"/>
  <c r="F173" i="6"/>
  <c r="D173" i="6"/>
  <c r="G172" i="6"/>
  <c r="E172" i="6"/>
  <c r="J171" i="6"/>
  <c r="F171" i="6"/>
  <c r="E171" i="6"/>
  <c r="J170" i="6"/>
  <c r="E170" i="6"/>
  <c r="J169" i="6"/>
  <c r="G169" i="6"/>
  <c r="F169" i="6"/>
  <c r="J168" i="6"/>
  <c r="G168" i="6"/>
  <c r="F168" i="6"/>
  <c r="J167" i="6"/>
  <c r="G167" i="6"/>
  <c r="F167" i="6"/>
  <c r="J166" i="6"/>
  <c r="G166" i="6"/>
  <c r="F166" i="6"/>
  <c r="F164" i="6"/>
  <c r="D164" i="6"/>
  <c r="I164" i="6"/>
  <c r="C164" i="6"/>
  <c r="Z163" i="6"/>
  <c r="Y163" i="6"/>
  <c r="X163" i="6"/>
  <c r="J162" i="6"/>
  <c r="G162" i="6"/>
  <c r="F162" i="6"/>
  <c r="D162" i="6"/>
  <c r="I162" i="6"/>
  <c r="Z161" i="6"/>
  <c r="Y161" i="6"/>
  <c r="X161" i="6"/>
  <c r="G160" i="6"/>
  <c r="E160" i="6"/>
  <c r="J159" i="6"/>
  <c r="F159" i="6"/>
  <c r="E159" i="6"/>
  <c r="J158" i="6"/>
  <c r="E158" i="6"/>
  <c r="J157" i="6"/>
  <c r="G157" i="6"/>
  <c r="F157" i="6"/>
  <c r="J156" i="6"/>
  <c r="G156" i="6"/>
  <c r="F156" i="6"/>
  <c r="J155" i="6"/>
  <c r="G155" i="6"/>
  <c r="F155" i="6"/>
  <c r="J154" i="6"/>
  <c r="G154" i="6"/>
  <c r="F154" i="6"/>
  <c r="F152" i="6"/>
  <c r="D152" i="6"/>
  <c r="I152" i="6"/>
  <c r="C152" i="6"/>
  <c r="Z151" i="6"/>
  <c r="Y151" i="6"/>
  <c r="X151" i="6"/>
  <c r="J150" i="6"/>
  <c r="Z150" i="6"/>
  <c r="Y150" i="6"/>
  <c r="X150" i="6"/>
  <c r="F150" i="6"/>
  <c r="D150" i="6"/>
  <c r="C150" i="6"/>
  <c r="G149" i="6"/>
  <c r="E149" i="6"/>
  <c r="J148" i="6"/>
  <c r="E148" i="6"/>
  <c r="J147" i="6"/>
  <c r="E147" i="6"/>
  <c r="J146" i="6"/>
  <c r="G146" i="6"/>
  <c r="F146" i="6"/>
  <c r="J145" i="6"/>
  <c r="G145" i="6"/>
  <c r="F145" i="6"/>
  <c r="J144" i="6"/>
  <c r="G144" i="6"/>
  <c r="F144" i="6"/>
  <c r="F143" i="6"/>
  <c r="D143" i="6"/>
  <c r="I143" i="6"/>
  <c r="C143" i="6"/>
  <c r="Z142" i="6"/>
  <c r="Y142" i="6"/>
  <c r="X142" i="6"/>
  <c r="J141" i="6"/>
  <c r="Z141" i="6"/>
  <c r="Y141" i="6"/>
  <c r="X141" i="6"/>
  <c r="F141" i="6"/>
  <c r="D141" i="6"/>
  <c r="C141" i="6"/>
  <c r="G140" i="6"/>
  <c r="E140" i="6"/>
  <c r="J139" i="6"/>
  <c r="E139" i="6"/>
  <c r="J138" i="6"/>
  <c r="E138" i="6"/>
  <c r="J137" i="6"/>
  <c r="G137" i="6"/>
  <c r="F137" i="6"/>
  <c r="J136" i="6"/>
  <c r="G136" i="6"/>
  <c r="F136" i="6"/>
  <c r="J135" i="6"/>
  <c r="G135" i="6"/>
  <c r="F135" i="6"/>
  <c r="F133" i="6"/>
  <c r="D133" i="6"/>
  <c r="I133" i="6"/>
  <c r="C133" i="6"/>
  <c r="Z132" i="6"/>
  <c r="Y132" i="6"/>
  <c r="X132" i="6"/>
  <c r="J130" i="6"/>
  <c r="G130" i="6"/>
  <c r="F130" i="6"/>
  <c r="D130" i="6"/>
  <c r="I130" i="6"/>
  <c r="Z129" i="6"/>
  <c r="Y129" i="6"/>
  <c r="X129" i="6"/>
  <c r="J127" i="6"/>
  <c r="G127" i="6"/>
  <c r="F127" i="6"/>
  <c r="D127" i="6"/>
  <c r="I127" i="6"/>
  <c r="Z126" i="6"/>
  <c r="Y126" i="6"/>
  <c r="X126" i="6"/>
  <c r="J125" i="6"/>
  <c r="Z125" i="6"/>
  <c r="Y125" i="6"/>
  <c r="X125" i="6"/>
  <c r="F125" i="6"/>
  <c r="D125" i="6"/>
  <c r="J124" i="6"/>
  <c r="Z124" i="6"/>
  <c r="Y124" i="6"/>
  <c r="X124" i="6"/>
  <c r="F124" i="6"/>
  <c r="D124" i="6"/>
  <c r="J123" i="6"/>
  <c r="Z123" i="6"/>
  <c r="Y123" i="6"/>
  <c r="X123" i="6"/>
  <c r="F123" i="6"/>
  <c r="D123" i="6"/>
  <c r="J122" i="6"/>
  <c r="Z122" i="6"/>
  <c r="Y122" i="6"/>
  <c r="X122" i="6"/>
  <c r="F122" i="6"/>
  <c r="D122" i="6"/>
  <c r="C122" i="6"/>
  <c r="G121" i="6"/>
  <c r="E121" i="6"/>
  <c r="J120" i="6"/>
  <c r="E120" i="6"/>
  <c r="J119" i="6"/>
  <c r="E119" i="6"/>
  <c r="J118" i="6"/>
  <c r="G118" i="6"/>
  <c r="F118" i="6"/>
  <c r="J117" i="6"/>
  <c r="G117" i="6"/>
  <c r="F117" i="6"/>
  <c r="J116" i="6"/>
  <c r="G116" i="6"/>
  <c r="F116" i="6"/>
  <c r="J115" i="6"/>
  <c r="G115" i="6"/>
  <c r="F115" i="6"/>
  <c r="F113" i="6"/>
  <c r="D113" i="6"/>
  <c r="I113" i="6"/>
  <c r="C113" i="6"/>
  <c r="Z112" i="6"/>
  <c r="Y112" i="6"/>
  <c r="X112" i="6"/>
  <c r="G111" i="6"/>
  <c r="E111" i="6"/>
  <c r="J110" i="6"/>
  <c r="E110" i="6"/>
  <c r="J109" i="6"/>
  <c r="E109" i="6"/>
  <c r="J108" i="6"/>
  <c r="G108" i="6"/>
  <c r="F108" i="6"/>
  <c r="J107" i="6"/>
  <c r="G107" i="6"/>
  <c r="F107" i="6"/>
  <c r="J106" i="6"/>
  <c r="G106" i="6"/>
  <c r="F106" i="6"/>
  <c r="F105" i="6"/>
  <c r="D105" i="6"/>
  <c r="I105" i="6"/>
  <c r="C105" i="6"/>
  <c r="Z104" i="6"/>
  <c r="Y104" i="6"/>
  <c r="X104" i="6"/>
  <c r="G103" i="6"/>
  <c r="E103" i="6"/>
  <c r="J102" i="6"/>
  <c r="E102" i="6"/>
  <c r="J101" i="6"/>
  <c r="E101" i="6"/>
  <c r="J100" i="6"/>
  <c r="G100" i="6"/>
  <c r="F100" i="6"/>
  <c r="J99" i="6"/>
  <c r="G99" i="6"/>
  <c r="F99" i="6"/>
  <c r="J98" i="6"/>
  <c r="G98" i="6"/>
  <c r="F98" i="6"/>
  <c r="F97" i="6"/>
  <c r="D97" i="6"/>
  <c r="I97" i="6"/>
  <c r="C97" i="6"/>
  <c r="Z96" i="6"/>
  <c r="Y96" i="6"/>
  <c r="X96" i="6"/>
  <c r="J95" i="6"/>
  <c r="Z95" i="6"/>
  <c r="Y95" i="6"/>
  <c r="X95" i="6"/>
  <c r="F95" i="6"/>
  <c r="D95" i="6"/>
  <c r="C95" i="6"/>
  <c r="G94" i="6"/>
  <c r="E94" i="6"/>
  <c r="J93" i="6"/>
  <c r="E93" i="6"/>
  <c r="J92" i="6"/>
  <c r="E92" i="6"/>
  <c r="J91" i="6"/>
  <c r="G91" i="6"/>
  <c r="F91" i="6"/>
  <c r="F90" i="6"/>
  <c r="D90" i="6"/>
  <c r="I90" i="6"/>
  <c r="C90" i="6"/>
  <c r="Z89" i="6"/>
  <c r="Y89" i="6"/>
  <c r="X89" i="6"/>
  <c r="G88" i="6"/>
  <c r="E88" i="6"/>
  <c r="J87" i="6"/>
  <c r="E87" i="6"/>
  <c r="J86" i="6"/>
  <c r="E86" i="6"/>
  <c r="J85" i="6"/>
  <c r="G85" i="6"/>
  <c r="F85" i="6"/>
  <c r="F84" i="6"/>
  <c r="E84" i="6"/>
  <c r="D84" i="6"/>
  <c r="I84" i="6"/>
  <c r="C84" i="6"/>
  <c r="Z83" i="6"/>
  <c r="Y83" i="6"/>
  <c r="X83" i="6"/>
  <c r="J82" i="6"/>
  <c r="Z82" i="6"/>
  <c r="Y82" i="6"/>
  <c r="X82" i="6"/>
  <c r="F82" i="6"/>
  <c r="D82" i="6"/>
  <c r="C82" i="6"/>
  <c r="G81" i="6"/>
  <c r="E81" i="6"/>
  <c r="J80" i="6"/>
  <c r="E80" i="6"/>
  <c r="J79" i="6"/>
  <c r="E79" i="6"/>
  <c r="J78" i="6"/>
  <c r="G78" i="6"/>
  <c r="F78" i="6"/>
  <c r="F77" i="6"/>
  <c r="D77" i="6"/>
  <c r="I77" i="6"/>
  <c r="C77" i="6"/>
  <c r="Z76" i="6"/>
  <c r="Y76" i="6"/>
  <c r="X76" i="6"/>
  <c r="J75" i="6"/>
  <c r="Z75" i="6"/>
  <c r="Y75" i="6"/>
  <c r="X75" i="6"/>
  <c r="F75" i="6"/>
  <c r="D75" i="6"/>
  <c r="C75" i="6"/>
  <c r="G74" i="6"/>
  <c r="E74" i="6"/>
  <c r="J73" i="6"/>
  <c r="E73" i="6"/>
  <c r="J72" i="6"/>
  <c r="E72" i="6"/>
  <c r="J71" i="6"/>
  <c r="G71" i="6"/>
  <c r="F71" i="6"/>
  <c r="J70" i="6"/>
  <c r="G70" i="6"/>
  <c r="F70" i="6"/>
  <c r="F68" i="6"/>
  <c r="D68" i="6"/>
  <c r="I68" i="6"/>
  <c r="C68" i="6"/>
  <c r="Z67" i="6"/>
  <c r="Y67" i="6"/>
  <c r="X67" i="6"/>
  <c r="J66" i="6"/>
  <c r="Z66" i="6"/>
  <c r="Y66" i="6"/>
  <c r="X66" i="6"/>
  <c r="F66" i="6"/>
  <c r="D66" i="6"/>
  <c r="C66" i="6"/>
  <c r="G65" i="6"/>
  <c r="E65" i="6"/>
  <c r="J64" i="6"/>
  <c r="E64" i="6"/>
  <c r="J63" i="6"/>
  <c r="E63" i="6"/>
  <c r="J62" i="6"/>
  <c r="G62" i="6"/>
  <c r="F62" i="6"/>
  <c r="F61" i="6"/>
  <c r="D61" i="6"/>
  <c r="I61" i="6"/>
  <c r="C61" i="6"/>
  <c r="Z60" i="6"/>
  <c r="Y60" i="6"/>
  <c r="X60" i="6"/>
  <c r="J59" i="6"/>
  <c r="Z59" i="6"/>
  <c r="Y59" i="6"/>
  <c r="X59" i="6"/>
  <c r="F59" i="6"/>
  <c r="D59" i="6"/>
  <c r="C59" i="6"/>
  <c r="G58" i="6"/>
  <c r="E58" i="6"/>
  <c r="J57" i="6"/>
  <c r="E57" i="6"/>
  <c r="J56" i="6"/>
  <c r="E56" i="6"/>
  <c r="J55" i="6"/>
  <c r="G55" i="6"/>
  <c r="F55" i="6"/>
  <c r="J54" i="6"/>
  <c r="G54" i="6"/>
  <c r="F54" i="6"/>
  <c r="J53" i="6"/>
  <c r="G53" i="6"/>
  <c r="F53" i="6"/>
  <c r="F51" i="6"/>
  <c r="D51" i="6"/>
  <c r="I51" i="6"/>
  <c r="C51" i="6"/>
  <c r="Z50" i="6"/>
  <c r="Y50" i="6"/>
  <c r="X50" i="6"/>
  <c r="J49" i="6"/>
  <c r="G49" i="6"/>
  <c r="F49" i="6"/>
  <c r="E49" i="6"/>
  <c r="D49" i="6"/>
  <c r="I49" i="6"/>
  <c r="Z48" i="6"/>
  <c r="Y48" i="6"/>
  <c r="X48" i="6"/>
  <c r="G47" i="6"/>
  <c r="E47" i="6"/>
  <c r="J46" i="6"/>
  <c r="E46" i="6"/>
  <c r="J45" i="6"/>
  <c r="E45" i="6"/>
  <c r="J44" i="6"/>
  <c r="G44" i="6"/>
  <c r="F44" i="6"/>
  <c r="J43" i="6"/>
  <c r="G43" i="6"/>
  <c r="F43" i="6"/>
  <c r="J42" i="6"/>
  <c r="G42" i="6"/>
  <c r="F42" i="6"/>
  <c r="F40" i="6"/>
  <c r="D40" i="6"/>
  <c r="I40" i="6"/>
  <c r="C40" i="6"/>
  <c r="A39" i="6"/>
  <c r="A37" i="6"/>
  <c r="A19" i="6"/>
  <c r="B16" i="6"/>
  <c r="B13" i="6"/>
  <c r="H12" i="6"/>
  <c r="A1" i="6"/>
  <c r="A1" i="4" l="1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1" i="3"/>
  <c r="Y1" i="3"/>
  <c r="CY1" i="3"/>
  <c r="CZ1" i="3"/>
  <c r="DB1" i="3" s="1"/>
  <c r="DA1" i="3"/>
  <c r="DC1" i="3"/>
  <c r="A2" i="3"/>
  <c r="Y2" i="3"/>
  <c r="CY2" i="3"/>
  <c r="CZ2" i="3"/>
  <c r="DB2" i="3" s="1"/>
  <c r="DA2" i="3"/>
  <c r="DC2" i="3"/>
  <c r="A3" i="3"/>
  <c r="Y3" i="3"/>
  <c r="CY3" i="3"/>
  <c r="CZ3" i="3"/>
  <c r="DB3" i="3" s="1"/>
  <c r="DA3" i="3"/>
  <c r="DC3" i="3"/>
  <c r="A4" i="3"/>
  <c r="Y4" i="3"/>
  <c r="CY4" i="3"/>
  <c r="CZ4" i="3"/>
  <c r="DA4" i="3"/>
  <c r="DB4" i="3"/>
  <c r="DC4" i="3"/>
  <c r="A5" i="3"/>
  <c r="Y5" i="3"/>
  <c r="CY5" i="3"/>
  <c r="CZ5" i="3"/>
  <c r="DA5" i="3"/>
  <c r="DB5" i="3"/>
  <c r="DC5" i="3"/>
  <c r="A6" i="3"/>
  <c r="Y6" i="3"/>
  <c r="CY6" i="3"/>
  <c r="CZ6" i="3"/>
  <c r="DB6" i="3" s="1"/>
  <c r="DA6" i="3"/>
  <c r="DC6" i="3"/>
  <c r="A7" i="3"/>
  <c r="Y7" i="3"/>
  <c r="CY7" i="3"/>
  <c r="CZ7" i="3"/>
  <c r="DB7" i="3" s="1"/>
  <c r="DA7" i="3"/>
  <c r="DC7" i="3"/>
  <c r="A8" i="3"/>
  <c r="Y8" i="3"/>
  <c r="CY8" i="3"/>
  <c r="CZ8" i="3"/>
  <c r="DB8" i="3" s="1"/>
  <c r="DA8" i="3"/>
  <c r="DC8" i="3"/>
  <c r="A9" i="3"/>
  <c r="Y9" i="3"/>
  <c r="CY9" i="3"/>
  <c r="CZ9" i="3"/>
  <c r="DB9" i="3" s="1"/>
  <c r="DA9" i="3"/>
  <c r="DC9" i="3"/>
  <c r="A10" i="3"/>
  <c r="Y10" i="3"/>
  <c r="CY10" i="3"/>
  <c r="CZ10" i="3"/>
  <c r="DB10" i="3" s="1"/>
  <c r="DA10" i="3"/>
  <c r="DC10" i="3"/>
  <c r="A11" i="3"/>
  <c r="Y11" i="3"/>
  <c r="CY11" i="3"/>
  <c r="CZ11" i="3"/>
  <c r="DB11" i="3" s="1"/>
  <c r="DA11" i="3"/>
  <c r="DC11" i="3"/>
  <c r="A12" i="3"/>
  <c r="Y12" i="3"/>
  <c r="CY12" i="3"/>
  <c r="CZ12" i="3"/>
  <c r="DA12" i="3"/>
  <c r="DB12" i="3"/>
  <c r="DC12" i="3"/>
  <c r="A13" i="3"/>
  <c r="Y13" i="3"/>
  <c r="CY13" i="3"/>
  <c r="CZ13" i="3"/>
  <c r="DA13" i="3"/>
  <c r="DB13" i="3"/>
  <c r="DC13" i="3"/>
  <c r="A14" i="3"/>
  <c r="Y14" i="3"/>
  <c r="CY14" i="3"/>
  <c r="CZ14" i="3"/>
  <c r="DB14" i="3" s="1"/>
  <c r="DA14" i="3"/>
  <c r="DC14" i="3"/>
  <c r="A15" i="3"/>
  <c r="Y15" i="3"/>
  <c r="CY15" i="3"/>
  <c r="CZ15" i="3"/>
  <c r="DB15" i="3" s="1"/>
  <c r="DA15" i="3"/>
  <c r="DC15" i="3"/>
  <c r="A16" i="3"/>
  <c r="Y16" i="3"/>
  <c r="CX16" i="3"/>
  <c r="CY16" i="3"/>
  <c r="CZ16" i="3"/>
  <c r="DA16" i="3"/>
  <c r="DB16" i="3"/>
  <c r="DC16" i="3"/>
  <c r="A17" i="3"/>
  <c r="Y17" i="3"/>
  <c r="CY17" i="3"/>
  <c r="CZ17" i="3"/>
  <c r="DB17" i="3" s="1"/>
  <c r="DA17" i="3"/>
  <c r="DC17" i="3"/>
  <c r="A18" i="3"/>
  <c r="Y18" i="3"/>
  <c r="CY18" i="3"/>
  <c r="CZ18" i="3"/>
  <c r="DB18" i="3" s="1"/>
  <c r="DA18" i="3"/>
  <c r="DC18" i="3"/>
  <c r="A19" i="3"/>
  <c r="Y19" i="3"/>
  <c r="CY19" i="3"/>
  <c r="CZ19" i="3"/>
  <c r="DB19" i="3" s="1"/>
  <c r="DA19" i="3"/>
  <c r="DC19" i="3"/>
  <c r="A20" i="3"/>
  <c r="Y20" i="3"/>
  <c r="CY20" i="3"/>
  <c r="CZ20" i="3"/>
  <c r="DB20" i="3" s="1"/>
  <c r="DA20" i="3"/>
  <c r="DC20" i="3"/>
  <c r="A21" i="3"/>
  <c r="Y21" i="3"/>
  <c r="CY21" i="3"/>
  <c r="CZ21" i="3"/>
  <c r="DA21" i="3"/>
  <c r="DB21" i="3"/>
  <c r="DC21" i="3"/>
  <c r="A22" i="3"/>
  <c r="Y22" i="3"/>
  <c r="CY22" i="3"/>
  <c r="CZ22" i="3"/>
  <c r="DB22" i="3" s="1"/>
  <c r="DA22" i="3"/>
  <c r="DC22" i="3"/>
  <c r="A23" i="3"/>
  <c r="Y23" i="3"/>
  <c r="CY23" i="3"/>
  <c r="CZ23" i="3"/>
  <c r="DB23" i="3" s="1"/>
  <c r="DA23" i="3"/>
  <c r="DC23" i="3"/>
  <c r="A24" i="3"/>
  <c r="Y24" i="3"/>
  <c r="CY24" i="3"/>
  <c r="CZ24" i="3"/>
  <c r="DB24" i="3" s="1"/>
  <c r="DA24" i="3"/>
  <c r="DC24" i="3"/>
  <c r="A25" i="3"/>
  <c r="Y25" i="3"/>
  <c r="CY25" i="3"/>
  <c r="CZ25" i="3"/>
  <c r="DB25" i="3" s="1"/>
  <c r="DA25" i="3"/>
  <c r="DC25" i="3"/>
  <c r="A26" i="3"/>
  <c r="Y26" i="3"/>
  <c r="CY26" i="3"/>
  <c r="CZ26" i="3"/>
  <c r="DB26" i="3" s="1"/>
  <c r="DA26" i="3"/>
  <c r="DC26" i="3"/>
  <c r="A27" i="3"/>
  <c r="Y27" i="3"/>
  <c r="CY27" i="3"/>
  <c r="CZ27" i="3"/>
  <c r="DB27" i="3" s="1"/>
  <c r="DA27" i="3"/>
  <c r="DC27" i="3"/>
  <c r="A28" i="3"/>
  <c r="Y28" i="3"/>
  <c r="CY28" i="3"/>
  <c r="CZ28" i="3"/>
  <c r="DB28" i="3" s="1"/>
  <c r="DA28" i="3"/>
  <c r="DC28" i="3"/>
  <c r="A29" i="3"/>
  <c r="Y29" i="3"/>
  <c r="CY29" i="3"/>
  <c r="CZ29" i="3"/>
  <c r="DB29" i="3" s="1"/>
  <c r="DA29" i="3"/>
  <c r="DC29" i="3"/>
  <c r="A30" i="3"/>
  <c r="Y30" i="3"/>
  <c r="CY30" i="3"/>
  <c r="CZ30" i="3"/>
  <c r="DB30" i="3" s="1"/>
  <c r="DA30" i="3"/>
  <c r="DC30" i="3"/>
  <c r="A31" i="3"/>
  <c r="Y31" i="3"/>
  <c r="CY31" i="3"/>
  <c r="CZ31" i="3"/>
  <c r="DB31" i="3" s="1"/>
  <c r="DA31" i="3"/>
  <c r="DC31" i="3"/>
  <c r="A32" i="3"/>
  <c r="Y32" i="3"/>
  <c r="CY32" i="3"/>
  <c r="CZ32" i="3"/>
  <c r="DA32" i="3"/>
  <c r="DB32" i="3"/>
  <c r="DC32" i="3"/>
  <c r="A33" i="3"/>
  <c r="Y33" i="3"/>
  <c r="CY33" i="3"/>
  <c r="CZ33" i="3"/>
  <c r="DA33" i="3"/>
  <c r="DB33" i="3"/>
  <c r="DC33" i="3"/>
  <c r="A34" i="3"/>
  <c r="Y34" i="3"/>
  <c r="CY34" i="3"/>
  <c r="CZ34" i="3"/>
  <c r="DB34" i="3" s="1"/>
  <c r="DA34" i="3"/>
  <c r="DC34" i="3"/>
  <c r="A35" i="3"/>
  <c r="Y35" i="3"/>
  <c r="CY35" i="3"/>
  <c r="CZ35" i="3"/>
  <c r="DB35" i="3" s="1"/>
  <c r="DA35" i="3"/>
  <c r="DC35" i="3"/>
  <c r="A36" i="3"/>
  <c r="Y36" i="3"/>
  <c r="CY36" i="3"/>
  <c r="CZ36" i="3"/>
  <c r="DB36" i="3" s="1"/>
  <c r="DA36" i="3"/>
  <c r="DC36" i="3"/>
  <c r="A37" i="3"/>
  <c r="Y37" i="3"/>
  <c r="CY37" i="3"/>
  <c r="CZ37" i="3"/>
  <c r="DB37" i="3" s="1"/>
  <c r="DA37" i="3"/>
  <c r="DC37" i="3"/>
  <c r="A38" i="3"/>
  <c r="Y38" i="3"/>
  <c r="CY38" i="3"/>
  <c r="CZ38" i="3"/>
  <c r="DB38" i="3" s="1"/>
  <c r="DA38" i="3"/>
  <c r="DC38" i="3"/>
  <c r="A39" i="3"/>
  <c r="Y39" i="3"/>
  <c r="CY39" i="3"/>
  <c r="CZ39" i="3"/>
  <c r="DB39" i="3" s="1"/>
  <c r="DA39" i="3"/>
  <c r="DC39" i="3"/>
  <c r="A40" i="3"/>
  <c r="Y40" i="3"/>
  <c r="CY40" i="3"/>
  <c r="CZ40" i="3"/>
  <c r="DB40" i="3" s="1"/>
  <c r="DA40" i="3"/>
  <c r="DC40" i="3"/>
  <c r="A41" i="3"/>
  <c r="Y41" i="3"/>
  <c r="CY41" i="3"/>
  <c r="CZ41" i="3"/>
  <c r="DA41" i="3"/>
  <c r="DB41" i="3"/>
  <c r="DC41" i="3"/>
  <c r="A42" i="3"/>
  <c r="Y42" i="3"/>
  <c r="CY42" i="3"/>
  <c r="CZ42" i="3"/>
  <c r="DB42" i="3" s="1"/>
  <c r="DA42" i="3"/>
  <c r="DC42" i="3"/>
  <c r="A43" i="3"/>
  <c r="Y43" i="3"/>
  <c r="CY43" i="3"/>
  <c r="CZ43" i="3"/>
  <c r="DB43" i="3" s="1"/>
  <c r="DA43" i="3"/>
  <c r="DC43" i="3"/>
  <c r="A44" i="3"/>
  <c r="Y44" i="3"/>
  <c r="CY44" i="3"/>
  <c r="CZ44" i="3"/>
  <c r="DA44" i="3"/>
  <c r="DB44" i="3"/>
  <c r="DC44" i="3"/>
  <c r="A45" i="3"/>
  <c r="Y45" i="3"/>
  <c r="CY45" i="3"/>
  <c r="CZ45" i="3"/>
  <c r="DA45" i="3"/>
  <c r="DB45" i="3"/>
  <c r="DC45" i="3"/>
  <c r="A46" i="3"/>
  <c r="Y46" i="3"/>
  <c r="CY46" i="3"/>
  <c r="CZ46" i="3"/>
  <c r="DB46" i="3" s="1"/>
  <c r="DA46" i="3"/>
  <c r="DC46" i="3"/>
  <c r="A47" i="3"/>
  <c r="Y47" i="3"/>
  <c r="CY47" i="3"/>
  <c r="CZ47" i="3"/>
  <c r="DB47" i="3" s="1"/>
  <c r="DA47" i="3"/>
  <c r="DC47" i="3"/>
  <c r="A48" i="3"/>
  <c r="Y48" i="3"/>
  <c r="CY48" i="3"/>
  <c r="CZ48" i="3"/>
  <c r="DB48" i="3" s="1"/>
  <c r="DA48" i="3"/>
  <c r="DC48" i="3"/>
  <c r="A49" i="3"/>
  <c r="Y49" i="3"/>
  <c r="CY49" i="3"/>
  <c r="CZ49" i="3"/>
  <c r="DB49" i="3" s="1"/>
  <c r="DA49" i="3"/>
  <c r="DC49" i="3"/>
  <c r="A50" i="3"/>
  <c r="Y50" i="3"/>
  <c r="CY50" i="3"/>
  <c r="CZ50" i="3"/>
  <c r="DB50" i="3" s="1"/>
  <c r="DA50" i="3"/>
  <c r="DC50" i="3"/>
  <c r="A51" i="3"/>
  <c r="Y51" i="3"/>
  <c r="CY51" i="3"/>
  <c r="CZ51" i="3"/>
  <c r="DB51" i="3" s="1"/>
  <c r="DA51" i="3"/>
  <c r="DC51" i="3"/>
  <c r="A52" i="3"/>
  <c r="Y52" i="3"/>
  <c r="CY52" i="3"/>
  <c r="CZ52" i="3"/>
  <c r="DB52" i="3" s="1"/>
  <c r="DA52" i="3"/>
  <c r="DC52" i="3"/>
  <c r="A53" i="3"/>
  <c r="Y53" i="3"/>
  <c r="CY53" i="3"/>
  <c r="CZ53" i="3"/>
  <c r="DB53" i="3" s="1"/>
  <c r="DA53" i="3"/>
  <c r="DC53" i="3"/>
  <c r="A54" i="3"/>
  <c r="Y54" i="3"/>
  <c r="CY54" i="3"/>
  <c r="CZ54" i="3"/>
  <c r="DB54" i="3" s="1"/>
  <c r="DA54" i="3"/>
  <c r="DC54" i="3"/>
  <c r="A55" i="3"/>
  <c r="Y55" i="3"/>
  <c r="CY55" i="3"/>
  <c r="CZ55" i="3"/>
  <c r="DB55" i="3" s="1"/>
  <c r="DA55" i="3"/>
  <c r="DC55" i="3"/>
  <c r="A56" i="3"/>
  <c r="Y56" i="3"/>
  <c r="CY56" i="3"/>
  <c r="CZ56" i="3"/>
  <c r="DA56" i="3"/>
  <c r="DB56" i="3"/>
  <c r="DC56" i="3"/>
  <c r="A57" i="3"/>
  <c r="Y57" i="3"/>
  <c r="CY57" i="3"/>
  <c r="CZ57" i="3"/>
  <c r="DA57" i="3"/>
  <c r="DB57" i="3"/>
  <c r="DC57" i="3"/>
  <c r="A58" i="3"/>
  <c r="Y58" i="3"/>
  <c r="CY58" i="3"/>
  <c r="CZ58" i="3"/>
  <c r="DB58" i="3" s="1"/>
  <c r="DA58" i="3"/>
  <c r="DC58" i="3"/>
  <c r="A59" i="3"/>
  <c r="Y59" i="3"/>
  <c r="CY59" i="3"/>
  <c r="CZ59" i="3"/>
  <c r="DB59" i="3" s="1"/>
  <c r="DA59" i="3"/>
  <c r="DC59" i="3"/>
  <c r="A60" i="3"/>
  <c r="Y60" i="3"/>
  <c r="CY60" i="3"/>
  <c r="CZ60" i="3"/>
  <c r="DB60" i="3" s="1"/>
  <c r="DA60" i="3"/>
  <c r="DC60" i="3"/>
  <c r="A61" i="3"/>
  <c r="Y61" i="3"/>
  <c r="CY61" i="3"/>
  <c r="CZ61" i="3"/>
  <c r="DB61" i="3" s="1"/>
  <c r="DA61" i="3"/>
  <c r="DC61" i="3"/>
  <c r="A62" i="3"/>
  <c r="Y62" i="3"/>
  <c r="CY62" i="3"/>
  <c r="CZ62" i="3"/>
  <c r="DB62" i="3" s="1"/>
  <c r="DA62" i="3"/>
  <c r="DC62" i="3"/>
  <c r="A63" i="3"/>
  <c r="Y63" i="3"/>
  <c r="CY63" i="3"/>
  <c r="CZ63" i="3"/>
  <c r="DB63" i="3" s="1"/>
  <c r="DA63" i="3"/>
  <c r="DC63" i="3"/>
  <c r="A64" i="3"/>
  <c r="Y64" i="3"/>
  <c r="CY64" i="3"/>
  <c r="CZ64" i="3"/>
  <c r="DA64" i="3"/>
  <c r="DB64" i="3"/>
  <c r="DC64" i="3"/>
  <c r="A65" i="3"/>
  <c r="Y65" i="3"/>
  <c r="CY65" i="3"/>
  <c r="CZ65" i="3"/>
  <c r="DA65" i="3"/>
  <c r="DB65" i="3"/>
  <c r="DC65" i="3"/>
  <c r="A66" i="3"/>
  <c r="Y66" i="3"/>
  <c r="CY66" i="3"/>
  <c r="CZ66" i="3"/>
  <c r="DB66" i="3" s="1"/>
  <c r="DA66" i="3"/>
  <c r="DC66" i="3"/>
  <c r="A67" i="3"/>
  <c r="Y67" i="3"/>
  <c r="CY67" i="3"/>
  <c r="CZ67" i="3"/>
  <c r="DB67" i="3" s="1"/>
  <c r="DA67" i="3"/>
  <c r="DC67" i="3"/>
  <c r="A68" i="3"/>
  <c r="Y68" i="3"/>
  <c r="CY68" i="3"/>
  <c r="CZ68" i="3"/>
  <c r="DB68" i="3" s="1"/>
  <c r="DA68" i="3"/>
  <c r="DC68" i="3"/>
  <c r="A69" i="3"/>
  <c r="Y69" i="3"/>
  <c r="CY69" i="3"/>
  <c r="CZ69" i="3"/>
  <c r="DA69" i="3"/>
  <c r="DB69" i="3"/>
  <c r="DC69" i="3"/>
  <c r="A70" i="3"/>
  <c r="Y70" i="3"/>
  <c r="CY70" i="3"/>
  <c r="CZ70" i="3"/>
  <c r="DB70" i="3" s="1"/>
  <c r="DA70" i="3"/>
  <c r="DC70" i="3"/>
  <c r="A71" i="3"/>
  <c r="Y71" i="3"/>
  <c r="CY71" i="3"/>
  <c r="CZ71" i="3"/>
  <c r="DB71" i="3" s="1"/>
  <c r="DA71" i="3"/>
  <c r="DC71" i="3"/>
  <c r="A72" i="3"/>
  <c r="Y72" i="3"/>
  <c r="CY72" i="3"/>
  <c r="CZ72" i="3"/>
  <c r="DB72" i="3" s="1"/>
  <c r="DA72" i="3"/>
  <c r="DC72" i="3"/>
  <c r="A73" i="3"/>
  <c r="Y73" i="3"/>
  <c r="CY73" i="3"/>
  <c r="CZ73" i="3"/>
  <c r="DB73" i="3" s="1"/>
  <c r="DA73" i="3"/>
  <c r="DC73" i="3"/>
  <c r="A74" i="3"/>
  <c r="Y74" i="3"/>
  <c r="CY74" i="3"/>
  <c r="CZ74" i="3"/>
  <c r="DB74" i="3" s="1"/>
  <c r="DA74" i="3"/>
  <c r="DC74" i="3"/>
  <c r="A75" i="3"/>
  <c r="Y75" i="3"/>
  <c r="CY75" i="3"/>
  <c r="CZ75" i="3"/>
  <c r="DB75" i="3" s="1"/>
  <c r="DA75" i="3"/>
  <c r="DC75" i="3"/>
  <c r="A76" i="3"/>
  <c r="Y76" i="3"/>
  <c r="CY76" i="3"/>
  <c r="CZ76" i="3"/>
  <c r="DB76" i="3" s="1"/>
  <c r="DA76" i="3"/>
  <c r="DC76" i="3"/>
  <c r="A77" i="3"/>
  <c r="Y77" i="3"/>
  <c r="CY77" i="3"/>
  <c r="CZ77" i="3"/>
  <c r="DB77" i="3" s="1"/>
  <c r="DA77" i="3"/>
  <c r="DC77" i="3"/>
  <c r="A78" i="3"/>
  <c r="Y78" i="3"/>
  <c r="CY78" i="3"/>
  <c r="CZ78" i="3"/>
  <c r="DB78" i="3" s="1"/>
  <c r="DA78" i="3"/>
  <c r="DC78" i="3"/>
  <c r="A79" i="3"/>
  <c r="Y79" i="3"/>
  <c r="CY79" i="3"/>
  <c r="CZ79" i="3"/>
  <c r="DB79" i="3" s="1"/>
  <c r="DA79" i="3"/>
  <c r="DC79" i="3"/>
  <c r="A80" i="3"/>
  <c r="Y80" i="3"/>
  <c r="CY80" i="3"/>
  <c r="CZ80" i="3"/>
  <c r="DA80" i="3"/>
  <c r="DB80" i="3"/>
  <c r="DC80" i="3"/>
  <c r="A81" i="3"/>
  <c r="Y81" i="3"/>
  <c r="CY81" i="3"/>
  <c r="CZ81" i="3"/>
  <c r="DA81" i="3"/>
  <c r="DB81" i="3"/>
  <c r="DC81" i="3"/>
  <c r="A82" i="3"/>
  <c r="Y82" i="3"/>
  <c r="CY82" i="3"/>
  <c r="CZ82" i="3"/>
  <c r="DB82" i="3" s="1"/>
  <c r="DA82" i="3"/>
  <c r="DC82" i="3"/>
  <c r="A83" i="3"/>
  <c r="Y83" i="3"/>
  <c r="CY83" i="3"/>
  <c r="CZ83" i="3"/>
  <c r="DB83" i="3" s="1"/>
  <c r="DA83" i="3"/>
  <c r="DC83" i="3"/>
  <c r="A84" i="3"/>
  <c r="Y84" i="3"/>
  <c r="CY84" i="3"/>
  <c r="CZ84" i="3"/>
  <c r="DB84" i="3" s="1"/>
  <c r="DA84" i="3"/>
  <c r="DC84" i="3"/>
  <c r="A85" i="3"/>
  <c r="Y85" i="3"/>
  <c r="CY85" i="3"/>
  <c r="CZ85" i="3"/>
  <c r="DB85" i="3" s="1"/>
  <c r="DA85" i="3"/>
  <c r="DC85" i="3"/>
  <c r="A86" i="3"/>
  <c r="Y86" i="3"/>
  <c r="CY86" i="3"/>
  <c r="CZ86" i="3"/>
  <c r="DB86" i="3" s="1"/>
  <c r="DA86" i="3"/>
  <c r="DC86" i="3"/>
  <c r="A87" i="3"/>
  <c r="Y87" i="3"/>
  <c r="CY87" i="3"/>
  <c r="CZ87" i="3"/>
  <c r="DB87" i="3" s="1"/>
  <c r="DA87" i="3"/>
  <c r="DC87" i="3"/>
  <c r="A88" i="3"/>
  <c r="Y88" i="3"/>
  <c r="CY88" i="3"/>
  <c r="CZ88" i="3"/>
  <c r="DB88" i="3" s="1"/>
  <c r="DA88" i="3"/>
  <c r="DC88" i="3"/>
  <c r="A89" i="3"/>
  <c r="Y89" i="3"/>
  <c r="CY89" i="3"/>
  <c r="CZ89" i="3"/>
  <c r="DA89" i="3"/>
  <c r="DB89" i="3"/>
  <c r="DC89" i="3"/>
  <c r="A90" i="3"/>
  <c r="Y90" i="3"/>
  <c r="CY90" i="3"/>
  <c r="CZ90" i="3"/>
  <c r="DB90" i="3" s="1"/>
  <c r="DA90" i="3"/>
  <c r="DC90" i="3"/>
  <c r="A91" i="3"/>
  <c r="Y91" i="3"/>
  <c r="CY91" i="3"/>
  <c r="CZ91" i="3"/>
  <c r="DB91" i="3" s="1"/>
  <c r="DA91" i="3"/>
  <c r="DC91" i="3"/>
  <c r="A92" i="3"/>
  <c r="Y92" i="3"/>
  <c r="CY92" i="3"/>
  <c r="CZ92" i="3"/>
  <c r="DB92" i="3" s="1"/>
  <c r="DA92" i="3"/>
  <c r="DC92" i="3"/>
  <c r="A93" i="3"/>
  <c r="Y93" i="3"/>
  <c r="CY93" i="3"/>
  <c r="CZ93" i="3"/>
  <c r="DB93" i="3" s="1"/>
  <c r="DA93" i="3"/>
  <c r="DC93" i="3"/>
  <c r="A94" i="3"/>
  <c r="Y94" i="3"/>
  <c r="CY94" i="3"/>
  <c r="CZ94" i="3"/>
  <c r="DA94" i="3"/>
  <c r="DB94" i="3"/>
  <c r="DC94" i="3"/>
  <c r="A95" i="3"/>
  <c r="Y95" i="3"/>
  <c r="CY95" i="3"/>
  <c r="CZ95" i="3"/>
  <c r="DB95" i="3" s="1"/>
  <c r="DA95" i="3"/>
  <c r="DC95" i="3"/>
  <c r="A96" i="3"/>
  <c r="Y96" i="3"/>
  <c r="CY96" i="3"/>
  <c r="CZ96" i="3"/>
  <c r="DB96" i="3" s="1"/>
  <c r="DA96" i="3"/>
  <c r="DC96" i="3"/>
  <c r="A97" i="3"/>
  <c r="Y97" i="3"/>
  <c r="CY97" i="3"/>
  <c r="CZ97" i="3"/>
  <c r="DA97" i="3"/>
  <c r="DB97" i="3"/>
  <c r="DC97" i="3"/>
  <c r="A98" i="3"/>
  <c r="Y98" i="3"/>
  <c r="CY98" i="3"/>
  <c r="CZ98" i="3"/>
  <c r="DA98" i="3"/>
  <c r="DB98" i="3"/>
  <c r="DC98" i="3"/>
  <c r="A99" i="3"/>
  <c r="Y99" i="3"/>
  <c r="CY99" i="3"/>
  <c r="CZ99" i="3"/>
  <c r="DB99" i="3" s="1"/>
  <c r="DA99" i="3"/>
  <c r="DC99" i="3"/>
  <c r="A100" i="3"/>
  <c r="Y100" i="3"/>
  <c r="CY100" i="3"/>
  <c r="CZ100" i="3"/>
  <c r="DB100" i="3" s="1"/>
  <c r="DA100" i="3"/>
  <c r="DC100" i="3"/>
  <c r="A101" i="3"/>
  <c r="Y101" i="3"/>
  <c r="CY101" i="3"/>
  <c r="CZ101" i="3"/>
  <c r="DB101" i="3" s="1"/>
  <c r="DA101" i="3"/>
  <c r="DC101" i="3"/>
  <c r="A102" i="3"/>
  <c r="Y102" i="3"/>
  <c r="CY102" i="3"/>
  <c r="CZ102" i="3"/>
  <c r="DB102" i="3" s="1"/>
  <c r="DA102" i="3"/>
  <c r="DC102" i="3"/>
  <c r="A103" i="3"/>
  <c r="Y103" i="3"/>
  <c r="CY103" i="3"/>
  <c r="CZ103" i="3"/>
  <c r="DB103" i="3" s="1"/>
  <c r="DA103" i="3"/>
  <c r="DC103" i="3"/>
  <c r="A104" i="3"/>
  <c r="Y104" i="3"/>
  <c r="CY104" i="3"/>
  <c r="CZ104" i="3"/>
  <c r="DB104" i="3" s="1"/>
  <c r="DA104" i="3"/>
  <c r="DC104" i="3"/>
  <c r="A105" i="3"/>
  <c r="Y105" i="3"/>
  <c r="CY105" i="3"/>
  <c r="CZ105" i="3"/>
  <c r="DA105" i="3"/>
  <c r="DB105" i="3"/>
  <c r="DC105" i="3"/>
  <c r="A106" i="3"/>
  <c r="Y106" i="3"/>
  <c r="CY106" i="3"/>
  <c r="CZ106" i="3"/>
  <c r="DA106" i="3"/>
  <c r="DB106" i="3"/>
  <c r="DC106" i="3"/>
  <c r="A107" i="3"/>
  <c r="Y107" i="3"/>
  <c r="CY107" i="3"/>
  <c r="CZ107" i="3"/>
  <c r="DB107" i="3" s="1"/>
  <c r="DA107" i="3"/>
  <c r="DC107" i="3"/>
  <c r="A108" i="3"/>
  <c r="Y108" i="3"/>
  <c r="CY108" i="3"/>
  <c r="CZ108" i="3"/>
  <c r="DB108" i="3" s="1"/>
  <c r="DA108" i="3"/>
  <c r="DC108" i="3"/>
  <c r="A109" i="3"/>
  <c r="Y109" i="3"/>
  <c r="CY109" i="3"/>
  <c r="CZ109" i="3"/>
  <c r="DB109" i="3" s="1"/>
  <c r="DA109" i="3"/>
  <c r="DC109" i="3"/>
  <c r="A110" i="3"/>
  <c r="Y110" i="3"/>
  <c r="CY110" i="3"/>
  <c r="CZ110" i="3"/>
  <c r="DB110" i="3" s="1"/>
  <c r="DA110" i="3"/>
  <c r="DC110" i="3"/>
  <c r="A111" i="3"/>
  <c r="Y111" i="3"/>
  <c r="CY111" i="3"/>
  <c r="CZ111" i="3"/>
  <c r="DB111" i="3" s="1"/>
  <c r="DA111" i="3"/>
  <c r="DC111" i="3"/>
  <c r="A112" i="3"/>
  <c r="Y112" i="3"/>
  <c r="CY112" i="3"/>
  <c r="CZ112" i="3"/>
  <c r="DB112" i="3" s="1"/>
  <c r="DA112" i="3"/>
  <c r="DC112" i="3"/>
  <c r="A113" i="3"/>
  <c r="Y113" i="3"/>
  <c r="CY113" i="3"/>
  <c r="CZ113" i="3"/>
  <c r="DA113" i="3"/>
  <c r="DB113" i="3"/>
  <c r="DC113" i="3"/>
  <c r="A114" i="3"/>
  <c r="Y114" i="3"/>
  <c r="CY114" i="3"/>
  <c r="CZ114" i="3"/>
  <c r="DA114" i="3"/>
  <c r="DB114" i="3"/>
  <c r="DC114" i="3"/>
  <c r="A115" i="3"/>
  <c r="Y115" i="3"/>
  <c r="CY115" i="3"/>
  <c r="CZ115" i="3"/>
  <c r="DA115" i="3"/>
  <c r="DB115" i="3"/>
  <c r="DC115" i="3"/>
  <c r="A116" i="3"/>
  <c r="Y116" i="3"/>
  <c r="CY116" i="3"/>
  <c r="CZ116" i="3"/>
  <c r="DB116" i="3" s="1"/>
  <c r="DA116" i="3"/>
  <c r="DC116" i="3"/>
  <c r="A117" i="3"/>
  <c r="Y117" i="3"/>
  <c r="CY117" i="3"/>
  <c r="CZ117" i="3"/>
  <c r="DB117" i="3" s="1"/>
  <c r="DA117" i="3"/>
  <c r="DC117" i="3"/>
  <c r="A118" i="3"/>
  <c r="Y118" i="3"/>
  <c r="CY118" i="3"/>
  <c r="CZ118" i="3"/>
  <c r="DB118" i="3" s="1"/>
  <c r="DA118" i="3"/>
  <c r="DC118" i="3"/>
  <c r="A119" i="3"/>
  <c r="Y119" i="3"/>
  <c r="CY119" i="3"/>
  <c r="CZ119" i="3"/>
  <c r="DB119" i="3" s="1"/>
  <c r="DA119" i="3"/>
  <c r="DC119" i="3"/>
  <c r="A120" i="3"/>
  <c r="Y120" i="3"/>
  <c r="CY120" i="3"/>
  <c r="CZ120" i="3"/>
  <c r="DB120" i="3" s="1"/>
  <c r="DA120" i="3"/>
  <c r="DC120" i="3"/>
  <c r="A121" i="3"/>
  <c r="Y121" i="3"/>
  <c r="CY121" i="3"/>
  <c r="CZ121" i="3"/>
  <c r="DA121" i="3"/>
  <c r="DB121" i="3"/>
  <c r="DC121" i="3"/>
  <c r="A122" i="3"/>
  <c r="Y122" i="3"/>
  <c r="CY122" i="3"/>
  <c r="CZ122" i="3"/>
  <c r="DA122" i="3"/>
  <c r="DB122" i="3"/>
  <c r="DC122" i="3"/>
  <c r="A123" i="3"/>
  <c r="Y123" i="3"/>
  <c r="CY123" i="3"/>
  <c r="CZ123" i="3"/>
  <c r="DB123" i="3" s="1"/>
  <c r="DA123" i="3"/>
  <c r="DC123" i="3"/>
  <c r="A124" i="3"/>
  <c r="Y124" i="3"/>
  <c r="CY124" i="3"/>
  <c r="CZ124" i="3"/>
  <c r="DB124" i="3" s="1"/>
  <c r="DA124" i="3"/>
  <c r="DC124" i="3"/>
  <c r="A125" i="3"/>
  <c r="Y125" i="3"/>
  <c r="CY125" i="3"/>
  <c r="CZ125" i="3"/>
  <c r="DB125" i="3" s="1"/>
  <c r="DA125" i="3"/>
  <c r="DC125" i="3"/>
  <c r="A126" i="3"/>
  <c r="Y126" i="3"/>
  <c r="CY126" i="3"/>
  <c r="CZ126" i="3"/>
  <c r="DB126" i="3" s="1"/>
  <c r="DA126" i="3"/>
  <c r="DC126" i="3"/>
  <c r="A127" i="3"/>
  <c r="Y127" i="3"/>
  <c r="CY127" i="3"/>
  <c r="CZ127" i="3"/>
  <c r="DB127" i="3" s="1"/>
  <c r="DA127" i="3"/>
  <c r="DC127" i="3"/>
  <c r="A128" i="3"/>
  <c r="Y128" i="3"/>
  <c r="CY128" i="3"/>
  <c r="CZ128" i="3"/>
  <c r="DB128" i="3" s="1"/>
  <c r="DA128" i="3"/>
  <c r="DC128" i="3"/>
  <c r="A129" i="3"/>
  <c r="Y129" i="3"/>
  <c r="CY129" i="3"/>
  <c r="CZ129" i="3"/>
  <c r="DB129" i="3" s="1"/>
  <c r="DA129" i="3"/>
  <c r="DC129" i="3"/>
  <c r="A130" i="3"/>
  <c r="Y130" i="3"/>
  <c r="CY130" i="3"/>
  <c r="CZ130" i="3"/>
  <c r="DA130" i="3"/>
  <c r="DB130" i="3"/>
  <c r="DC130" i="3"/>
  <c r="A131" i="3"/>
  <c r="Y131" i="3"/>
  <c r="CY131" i="3"/>
  <c r="CZ131" i="3"/>
  <c r="DB131" i="3" s="1"/>
  <c r="DA131" i="3"/>
  <c r="DC131" i="3"/>
  <c r="A132" i="3"/>
  <c r="Y132" i="3"/>
  <c r="CY132" i="3"/>
  <c r="CZ132" i="3"/>
  <c r="DA132" i="3"/>
  <c r="DB132" i="3"/>
  <c r="DC132" i="3"/>
  <c r="A133" i="3"/>
  <c r="Y133" i="3"/>
  <c r="CY133" i="3"/>
  <c r="CZ133" i="3"/>
  <c r="DB133" i="3" s="1"/>
  <c r="DA133" i="3"/>
  <c r="DC133" i="3"/>
  <c r="A134" i="3"/>
  <c r="Y134" i="3"/>
  <c r="CY134" i="3"/>
  <c r="CZ134" i="3"/>
  <c r="DB134" i="3" s="1"/>
  <c r="DA134" i="3"/>
  <c r="DC134" i="3"/>
  <c r="A135" i="3"/>
  <c r="Y135" i="3"/>
  <c r="CY135" i="3"/>
  <c r="CZ135" i="3"/>
  <c r="DA135" i="3"/>
  <c r="DB135" i="3"/>
  <c r="DC135" i="3"/>
  <c r="A136" i="3"/>
  <c r="Y136" i="3"/>
  <c r="CY136" i="3"/>
  <c r="CZ136" i="3"/>
  <c r="DA136" i="3"/>
  <c r="DB136" i="3"/>
  <c r="DC136" i="3"/>
  <c r="A137" i="3"/>
  <c r="Y137" i="3"/>
  <c r="CY137" i="3"/>
  <c r="CZ137" i="3"/>
  <c r="DB137" i="3" s="1"/>
  <c r="DA137" i="3"/>
  <c r="DC137" i="3"/>
  <c r="A138" i="3"/>
  <c r="Y138" i="3"/>
  <c r="CY138" i="3"/>
  <c r="CZ138" i="3"/>
  <c r="DB138" i="3" s="1"/>
  <c r="DA138" i="3"/>
  <c r="DC138" i="3"/>
  <c r="A139" i="3"/>
  <c r="Y139" i="3"/>
  <c r="CY139" i="3"/>
  <c r="CZ139" i="3"/>
  <c r="DB139" i="3" s="1"/>
  <c r="DA139" i="3"/>
  <c r="DC139" i="3"/>
  <c r="A140" i="3"/>
  <c r="Y140" i="3"/>
  <c r="CY140" i="3"/>
  <c r="CZ140" i="3"/>
  <c r="DB140" i="3" s="1"/>
  <c r="DA140" i="3"/>
  <c r="DC140" i="3"/>
  <c r="A141" i="3"/>
  <c r="Y141" i="3"/>
  <c r="CY141" i="3"/>
  <c r="CZ141" i="3"/>
  <c r="DB141" i="3" s="1"/>
  <c r="DA141" i="3"/>
  <c r="DC141" i="3"/>
  <c r="A142" i="3"/>
  <c r="Y142" i="3"/>
  <c r="CY142" i="3"/>
  <c r="CZ142" i="3"/>
  <c r="DB142" i="3" s="1"/>
  <c r="DA142" i="3"/>
  <c r="DC142" i="3"/>
  <c r="A143" i="3"/>
  <c r="Y143" i="3"/>
  <c r="CY143" i="3"/>
  <c r="CZ143" i="3"/>
  <c r="DA143" i="3"/>
  <c r="DB143" i="3"/>
  <c r="DC143" i="3"/>
  <c r="A144" i="3"/>
  <c r="Y144" i="3"/>
  <c r="CY144" i="3"/>
  <c r="CZ144" i="3"/>
  <c r="DB144" i="3" s="1"/>
  <c r="DA144" i="3"/>
  <c r="DC144" i="3"/>
  <c r="A145" i="3"/>
  <c r="Y145" i="3"/>
  <c r="CY145" i="3"/>
  <c r="CZ145" i="3"/>
  <c r="DB145" i="3" s="1"/>
  <c r="DA145" i="3"/>
  <c r="DC145" i="3"/>
  <c r="A146" i="3"/>
  <c r="Y146" i="3"/>
  <c r="CY146" i="3"/>
  <c r="CZ146" i="3"/>
  <c r="DB146" i="3" s="1"/>
  <c r="DA146" i="3"/>
  <c r="DC146" i="3"/>
  <c r="A147" i="3"/>
  <c r="Y147" i="3"/>
  <c r="CY147" i="3"/>
  <c r="CZ147" i="3"/>
  <c r="DB147" i="3" s="1"/>
  <c r="DA147" i="3"/>
  <c r="DC147" i="3"/>
  <c r="A148" i="3"/>
  <c r="Y148" i="3"/>
  <c r="CY148" i="3"/>
  <c r="CZ148" i="3"/>
  <c r="DB148" i="3" s="1"/>
  <c r="DA148" i="3"/>
  <c r="DC148" i="3"/>
  <c r="A149" i="3"/>
  <c r="Y149" i="3"/>
  <c r="CY149" i="3"/>
  <c r="CZ149" i="3"/>
  <c r="DA149" i="3"/>
  <c r="DB149" i="3"/>
  <c r="DC149" i="3"/>
  <c r="A150" i="3"/>
  <c r="Y150" i="3"/>
  <c r="CY150" i="3"/>
  <c r="CZ150" i="3"/>
  <c r="DA150" i="3"/>
  <c r="DB150" i="3"/>
  <c r="DC150" i="3"/>
  <c r="A151" i="3"/>
  <c r="Y151" i="3"/>
  <c r="CY151" i="3"/>
  <c r="CZ151" i="3"/>
  <c r="DB151" i="3" s="1"/>
  <c r="DA151" i="3"/>
  <c r="DC151" i="3"/>
  <c r="A152" i="3"/>
  <c r="Y152" i="3"/>
  <c r="CY152" i="3"/>
  <c r="CZ152" i="3"/>
  <c r="DB152" i="3" s="1"/>
  <c r="DA152" i="3"/>
  <c r="DC152" i="3"/>
  <c r="A153" i="3"/>
  <c r="Y153" i="3"/>
  <c r="CY153" i="3"/>
  <c r="CZ153" i="3"/>
  <c r="DB153" i="3" s="1"/>
  <c r="DA153" i="3"/>
  <c r="DC153" i="3"/>
  <c r="A154" i="3"/>
  <c r="Y154" i="3"/>
  <c r="CY154" i="3"/>
  <c r="CZ154" i="3"/>
  <c r="DB154" i="3" s="1"/>
  <c r="DA154" i="3"/>
  <c r="DC154" i="3"/>
  <c r="A155" i="3"/>
  <c r="Y155" i="3"/>
  <c r="CY155" i="3"/>
  <c r="CZ155" i="3"/>
  <c r="DB155" i="3" s="1"/>
  <c r="DA155" i="3"/>
  <c r="DC155" i="3"/>
  <c r="A156" i="3"/>
  <c r="Y156" i="3"/>
  <c r="CY156" i="3"/>
  <c r="CZ156" i="3"/>
  <c r="DB156" i="3" s="1"/>
  <c r="DA156" i="3"/>
  <c r="DC156" i="3"/>
  <c r="A157" i="3"/>
  <c r="Y157" i="3"/>
  <c r="CY157" i="3"/>
  <c r="CZ157" i="3"/>
  <c r="DA157" i="3"/>
  <c r="DB157" i="3"/>
  <c r="DC157" i="3"/>
  <c r="A158" i="3"/>
  <c r="Y158" i="3"/>
  <c r="CY158" i="3"/>
  <c r="CZ158" i="3"/>
  <c r="DA158" i="3"/>
  <c r="DB158" i="3"/>
  <c r="DC158" i="3"/>
  <c r="A159" i="3"/>
  <c r="Y159" i="3"/>
  <c r="CY159" i="3"/>
  <c r="CZ159" i="3"/>
  <c r="DB159" i="3" s="1"/>
  <c r="DA159" i="3"/>
  <c r="DC159" i="3"/>
  <c r="A160" i="3"/>
  <c r="Y160" i="3"/>
  <c r="CY160" i="3"/>
  <c r="CZ160" i="3"/>
  <c r="DA160" i="3"/>
  <c r="DB160" i="3"/>
  <c r="DC160" i="3"/>
  <c r="A161" i="3"/>
  <c r="Y161" i="3"/>
  <c r="CY161" i="3"/>
  <c r="CZ161" i="3"/>
  <c r="DB161" i="3" s="1"/>
  <c r="DA161" i="3"/>
  <c r="DC161" i="3"/>
  <c r="A162" i="3"/>
  <c r="Y162" i="3"/>
  <c r="CY162" i="3"/>
  <c r="CZ162" i="3"/>
  <c r="DB162" i="3" s="1"/>
  <c r="DA162" i="3"/>
  <c r="DC162" i="3"/>
  <c r="A163" i="3"/>
  <c r="Y163" i="3"/>
  <c r="CY163" i="3"/>
  <c r="CZ163" i="3"/>
  <c r="DB163" i="3" s="1"/>
  <c r="DA163" i="3"/>
  <c r="DC163" i="3"/>
  <c r="A164" i="3"/>
  <c r="Y164" i="3"/>
  <c r="CY164" i="3"/>
  <c r="CZ164" i="3"/>
  <c r="DB164" i="3" s="1"/>
  <c r="DA164" i="3"/>
  <c r="DC164" i="3"/>
  <c r="A165" i="3"/>
  <c r="Y165" i="3"/>
  <c r="CY165" i="3"/>
  <c r="CZ165" i="3"/>
  <c r="DB165" i="3" s="1"/>
  <c r="DA165" i="3"/>
  <c r="DC165" i="3"/>
  <c r="A166" i="3"/>
  <c r="Y166" i="3"/>
  <c r="CY166" i="3"/>
  <c r="CZ166" i="3"/>
  <c r="DA166" i="3"/>
  <c r="DB166" i="3"/>
  <c r="DC166" i="3"/>
  <c r="A167" i="3"/>
  <c r="Y167" i="3"/>
  <c r="CY167" i="3"/>
  <c r="CZ167" i="3"/>
  <c r="DB167" i="3" s="1"/>
  <c r="DA167" i="3"/>
  <c r="DC167" i="3"/>
  <c r="A168" i="3"/>
  <c r="Y168" i="3"/>
  <c r="CY168" i="3"/>
  <c r="CZ168" i="3"/>
  <c r="DB168" i="3" s="1"/>
  <c r="DA168" i="3"/>
  <c r="DC168" i="3"/>
  <c r="A169" i="3"/>
  <c r="Y169" i="3"/>
  <c r="CY169" i="3"/>
  <c r="CZ169" i="3"/>
  <c r="DB169" i="3" s="1"/>
  <c r="DA169" i="3"/>
  <c r="DC169" i="3"/>
  <c r="A170" i="3"/>
  <c r="Y170" i="3"/>
  <c r="CY170" i="3"/>
  <c r="CZ170" i="3"/>
  <c r="DB170" i="3" s="1"/>
  <c r="DA170" i="3"/>
  <c r="DC170" i="3"/>
  <c r="A171" i="3"/>
  <c r="Y171" i="3"/>
  <c r="CY171" i="3"/>
  <c r="CZ171" i="3"/>
  <c r="DB171" i="3" s="1"/>
  <c r="DA171" i="3"/>
  <c r="DC171" i="3"/>
  <c r="A172" i="3"/>
  <c r="Y172" i="3"/>
  <c r="CY172" i="3"/>
  <c r="CZ172" i="3"/>
  <c r="DB172" i="3" s="1"/>
  <c r="DA172" i="3"/>
  <c r="DC172" i="3"/>
  <c r="A173" i="3"/>
  <c r="Y173" i="3"/>
  <c r="CY173" i="3"/>
  <c r="CZ173" i="3"/>
  <c r="DA173" i="3"/>
  <c r="DB173" i="3"/>
  <c r="DC173" i="3"/>
  <c r="A174" i="3"/>
  <c r="Y174" i="3"/>
  <c r="CY174" i="3"/>
  <c r="CZ174" i="3"/>
  <c r="DA174" i="3"/>
  <c r="DB174" i="3"/>
  <c r="DC174" i="3"/>
  <c r="A175" i="3"/>
  <c r="Y175" i="3"/>
  <c r="CY175" i="3"/>
  <c r="CZ175" i="3"/>
  <c r="DB175" i="3" s="1"/>
  <c r="DA175" i="3"/>
  <c r="DC175" i="3"/>
  <c r="A176" i="3"/>
  <c r="Y176" i="3"/>
  <c r="CY176" i="3"/>
  <c r="CZ176" i="3"/>
  <c r="DB176" i="3" s="1"/>
  <c r="DA176" i="3"/>
  <c r="DC176" i="3"/>
  <c r="A177" i="3"/>
  <c r="Y177" i="3"/>
  <c r="CY177" i="3"/>
  <c r="CZ177" i="3"/>
  <c r="DB177" i="3" s="1"/>
  <c r="DA177" i="3"/>
  <c r="DC177" i="3"/>
  <c r="A178" i="3"/>
  <c r="Y178" i="3"/>
  <c r="CY178" i="3"/>
  <c r="CZ178" i="3"/>
  <c r="DB178" i="3" s="1"/>
  <c r="DA178" i="3"/>
  <c r="DC178" i="3"/>
  <c r="A179" i="3"/>
  <c r="Y179" i="3"/>
  <c r="CY179" i="3"/>
  <c r="CZ179" i="3"/>
  <c r="DB179" i="3" s="1"/>
  <c r="DA179" i="3"/>
  <c r="DC179" i="3"/>
  <c r="A180" i="3"/>
  <c r="Y180" i="3"/>
  <c r="CY180" i="3"/>
  <c r="CZ180" i="3"/>
  <c r="DB180" i="3" s="1"/>
  <c r="DA180" i="3"/>
  <c r="DC180" i="3"/>
  <c r="A181" i="3"/>
  <c r="Y181" i="3"/>
  <c r="CY181" i="3"/>
  <c r="CZ181" i="3"/>
  <c r="DB181" i="3" s="1"/>
  <c r="DA181" i="3"/>
  <c r="DC181" i="3"/>
  <c r="A182" i="3"/>
  <c r="Y182" i="3"/>
  <c r="CY182" i="3"/>
  <c r="CZ182" i="3"/>
  <c r="DA182" i="3"/>
  <c r="DB182" i="3"/>
  <c r="DC182" i="3"/>
  <c r="A183" i="3"/>
  <c r="Y183" i="3"/>
  <c r="CY183" i="3"/>
  <c r="CZ183" i="3"/>
  <c r="DB183" i="3" s="1"/>
  <c r="DA183" i="3"/>
  <c r="DC183" i="3"/>
  <c r="A184" i="3"/>
  <c r="Y184" i="3"/>
  <c r="CY184" i="3"/>
  <c r="CZ184" i="3"/>
  <c r="DB184" i="3" s="1"/>
  <c r="DA184" i="3"/>
  <c r="DC184" i="3"/>
  <c r="A185" i="3"/>
  <c r="Y185" i="3"/>
  <c r="CY185" i="3"/>
  <c r="CZ185" i="3"/>
  <c r="DB185" i="3" s="1"/>
  <c r="DA185" i="3"/>
  <c r="DC185" i="3"/>
  <c r="A186" i="3"/>
  <c r="Y186" i="3"/>
  <c r="CY186" i="3"/>
  <c r="CZ186" i="3"/>
  <c r="DB186" i="3" s="1"/>
  <c r="DA186" i="3"/>
  <c r="DC186" i="3"/>
  <c r="A187" i="3"/>
  <c r="Y187" i="3"/>
  <c r="CY187" i="3"/>
  <c r="CZ187" i="3"/>
  <c r="DB187" i="3" s="1"/>
  <c r="DA187" i="3"/>
  <c r="DC187" i="3"/>
  <c r="A188" i="3"/>
  <c r="Y188" i="3"/>
  <c r="CY188" i="3"/>
  <c r="CZ188" i="3"/>
  <c r="DB188" i="3" s="1"/>
  <c r="DA188" i="3"/>
  <c r="DC188" i="3"/>
  <c r="A189" i="3"/>
  <c r="Y189" i="3"/>
  <c r="CY189" i="3"/>
  <c r="CZ189" i="3"/>
  <c r="DB189" i="3" s="1"/>
  <c r="DA189" i="3"/>
  <c r="DC189" i="3"/>
  <c r="A190" i="3"/>
  <c r="Y190" i="3"/>
  <c r="CY190" i="3"/>
  <c r="CZ190" i="3"/>
  <c r="DA190" i="3"/>
  <c r="DB190" i="3"/>
  <c r="DC190" i="3"/>
  <c r="A191" i="3"/>
  <c r="Y191" i="3"/>
  <c r="CY191" i="3"/>
  <c r="CZ191" i="3"/>
  <c r="DA191" i="3"/>
  <c r="DB191" i="3"/>
  <c r="DC191" i="3"/>
  <c r="A192" i="3"/>
  <c r="Y192" i="3"/>
  <c r="CY192" i="3"/>
  <c r="CZ192" i="3"/>
  <c r="DB192" i="3" s="1"/>
  <c r="DA192" i="3"/>
  <c r="DC192" i="3"/>
  <c r="A193" i="3"/>
  <c r="Y193" i="3"/>
  <c r="CY193" i="3"/>
  <c r="CZ193" i="3"/>
  <c r="DB193" i="3" s="1"/>
  <c r="DA193" i="3"/>
  <c r="DC193" i="3"/>
  <c r="A194" i="3"/>
  <c r="Y194" i="3"/>
  <c r="CY194" i="3"/>
  <c r="CZ194" i="3"/>
  <c r="DB194" i="3" s="1"/>
  <c r="DA194" i="3"/>
  <c r="DC194" i="3"/>
  <c r="A195" i="3"/>
  <c r="Y195" i="3"/>
  <c r="CY195" i="3"/>
  <c r="CZ195" i="3"/>
  <c r="DB195" i="3" s="1"/>
  <c r="DA195" i="3"/>
  <c r="DC195" i="3"/>
  <c r="A196" i="3"/>
  <c r="Y196" i="3"/>
  <c r="CY196" i="3"/>
  <c r="CZ196" i="3"/>
  <c r="DB196" i="3" s="1"/>
  <c r="DA196" i="3"/>
  <c r="DC196" i="3"/>
  <c r="A197" i="3"/>
  <c r="Y197" i="3"/>
  <c r="CY197" i="3"/>
  <c r="CZ197" i="3"/>
  <c r="DA197" i="3"/>
  <c r="DB197" i="3"/>
  <c r="DC197" i="3"/>
  <c r="A198" i="3"/>
  <c r="Y198" i="3"/>
  <c r="CY198" i="3"/>
  <c r="CZ198" i="3"/>
  <c r="DB198" i="3" s="1"/>
  <c r="DA198" i="3"/>
  <c r="DC198" i="3"/>
  <c r="A199" i="3"/>
  <c r="Y199" i="3"/>
  <c r="CY199" i="3"/>
  <c r="CZ199" i="3"/>
  <c r="DA199" i="3"/>
  <c r="DB199" i="3"/>
  <c r="DC199" i="3"/>
  <c r="A200" i="3"/>
  <c r="Y200" i="3"/>
  <c r="CY200" i="3"/>
  <c r="CZ200" i="3"/>
  <c r="DB200" i="3" s="1"/>
  <c r="DA200" i="3"/>
  <c r="DC200" i="3"/>
  <c r="A201" i="3"/>
  <c r="Y201" i="3"/>
  <c r="CY201" i="3"/>
  <c r="CZ201" i="3"/>
  <c r="DB201" i="3" s="1"/>
  <c r="DA201" i="3"/>
  <c r="DC201" i="3"/>
  <c r="A202" i="3"/>
  <c r="Y202" i="3"/>
  <c r="CY202" i="3"/>
  <c r="CZ202" i="3"/>
  <c r="DB202" i="3" s="1"/>
  <c r="DA202" i="3"/>
  <c r="DC202" i="3"/>
  <c r="A203" i="3"/>
  <c r="Y203" i="3"/>
  <c r="CY203" i="3"/>
  <c r="CZ203" i="3"/>
  <c r="DB203" i="3" s="1"/>
  <c r="DA203" i="3"/>
  <c r="DC203" i="3"/>
  <c r="A204" i="3"/>
  <c r="Y204" i="3"/>
  <c r="CY204" i="3"/>
  <c r="CZ204" i="3"/>
  <c r="DA204" i="3"/>
  <c r="DB204" i="3"/>
  <c r="DC204" i="3"/>
  <c r="A205" i="3"/>
  <c r="Y205" i="3"/>
  <c r="CY205" i="3"/>
  <c r="CZ205" i="3"/>
  <c r="DB205" i="3" s="1"/>
  <c r="DA205" i="3"/>
  <c r="DC205" i="3"/>
  <c r="A206" i="3"/>
  <c r="Y206" i="3"/>
  <c r="CY206" i="3"/>
  <c r="CZ206" i="3"/>
  <c r="DB206" i="3" s="1"/>
  <c r="DA206" i="3"/>
  <c r="DC206" i="3"/>
  <c r="A207" i="3"/>
  <c r="Y207" i="3"/>
  <c r="CY207" i="3"/>
  <c r="CZ207" i="3"/>
  <c r="DB207" i="3" s="1"/>
  <c r="DA207" i="3"/>
  <c r="DC207" i="3"/>
  <c r="A208" i="3"/>
  <c r="Y208" i="3"/>
  <c r="CY208" i="3"/>
  <c r="CZ208" i="3"/>
  <c r="DA208" i="3"/>
  <c r="DB208" i="3"/>
  <c r="DC208" i="3"/>
  <c r="A209" i="3"/>
  <c r="Y209" i="3"/>
  <c r="CY209" i="3"/>
  <c r="CZ209" i="3"/>
  <c r="DB209" i="3" s="1"/>
  <c r="DA209" i="3"/>
  <c r="DC209" i="3"/>
  <c r="A210" i="3"/>
  <c r="Y210" i="3"/>
  <c r="CY210" i="3"/>
  <c r="CZ210" i="3"/>
  <c r="DB210" i="3" s="1"/>
  <c r="DA210" i="3"/>
  <c r="DC210" i="3"/>
  <c r="A211" i="3"/>
  <c r="Y211" i="3"/>
  <c r="CY211" i="3"/>
  <c r="CZ211" i="3"/>
  <c r="DB211" i="3" s="1"/>
  <c r="DA211" i="3"/>
  <c r="DC211" i="3"/>
  <c r="A212" i="3"/>
  <c r="Y212" i="3"/>
  <c r="CY212" i="3"/>
  <c r="CZ212" i="3"/>
  <c r="DB212" i="3" s="1"/>
  <c r="DA212" i="3"/>
  <c r="DC212" i="3"/>
  <c r="A213" i="3"/>
  <c r="Y213" i="3"/>
  <c r="CY213" i="3"/>
  <c r="CZ213" i="3"/>
  <c r="DB213" i="3" s="1"/>
  <c r="DA213" i="3"/>
  <c r="DC213" i="3"/>
  <c r="A214" i="3"/>
  <c r="Y214" i="3"/>
  <c r="CY214" i="3"/>
  <c r="CZ214" i="3"/>
  <c r="DA214" i="3"/>
  <c r="DB214" i="3"/>
  <c r="DC214" i="3"/>
  <c r="A215" i="3"/>
  <c r="Y215" i="3"/>
  <c r="CY215" i="3"/>
  <c r="CZ215" i="3"/>
  <c r="DB215" i="3" s="1"/>
  <c r="DA215" i="3"/>
  <c r="DC215" i="3"/>
  <c r="A216" i="3"/>
  <c r="Y216" i="3"/>
  <c r="CY216" i="3"/>
  <c r="CZ216" i="3"/>
  <c r="DB216" i="3" s="1"/>
  <c r="DA216" i="3"/>
  <c r="DC216" i="3"/>
  <c r="A217" i="3"/>
  <c r="Y217" i="3"/>
  <c r="CY217" i="3"/>
  <c r="CZ217" i="3"/>
  <c r="DB217" i="3" s="1"/>
  <c r="DA217" i="3"/>
  <c r="DC217" i="3"/>
  <c r="A218" i="3"/>
  <c r="Y218" i="3"/>
  <c r="CY218" i="3"/>
  <c r="CZ218" i="3"/>
  <c r="DA218" i="3"/>
  <c r="DB218" i="3"/>
  <c r="DC218" i="3"/>
  <c r="A219" i="3"/>
  <c r="Y219" i="3"/>
  <c r="CY219" i="3"/>
  <c r="CZ219" i="3"/>
  <c r="DB219" i="3" s="1"/>
  <c r="DA219" i="3"/>
  <c r="DC219" i="3"/>
  <c r="A220" i="3"/>
  <c r="Y220" i="3"/>
  <c r="CY220" i="3"/>
  <c r="CZ220" i="3"/>
  <c r="DB220" i="3" s="1"/>
  <c r="DA220" i="3"/>
  <c r="DC220" i="3"/>
  <c r="A221" i="3"/>
  <c r="Y221" i="3"/>
  <c r="CY221" i="3"/>
  <c r="CZ221" i="3"/>
  <c r="DA221" i="3"/>
  <c r="DB221" i="3"/>
  <c r="DC221" i="3"/>
  <c r="A222" i="3"/>
  <c r="Y222" i="3"/>
  <c r="CY222" i="3"/>
  <c r="CZ222" i="3"/>
  <c r="DA222" i="3"/>
  <c r="DB222" i="3"/>
  <c r="DC222" i="3"/>
  <c r="A223" i="3"/>
  <c r="Y223" i="3"/>
  <c r="CY223" i="3"/>
  <c r="CZ223" i="3"/>
  <c r="DB223" i="3" s="1"/>
  <c r="DA223" i="3"/>
  <c r="DC223" i="3"/>
  <c r="A224" i="3"/>
  <c r="Y224" i="3"/>
  <c r="CY224" i="3"/>
  <c r="CZ224" i="3"/>
  <c r="DA224" i="3"/>
  <c r="DB224" i="3"/>
  <c r="DC224" i="3"/>
  <c r="A225" i="3"/>
  <c r="Y225" i="3"/>
  <c r="CY225" i="3"/>
  <c r="CZ225" i="3"/>
  <c r="DB225" i="3" s="1"/>
  <c r="DA225" i="3"/>
  <c r="DC225" i="3"/>
  <c r="A226" i="3"/>
  <c r="Y226" i="3"/>
  <c r="CY226" i="3"/>
  <c r="CZ226" i="3"/>
  <c r="DA226" i="3"/>
  <c r="DB226" i="3"/>
  <c r="DC226" i="3"/>
  <c r="A227" i="3"/>
  <c r="Y227" i="3"/>
  <c r="CY227" i="3"/>
  <c r="CZ227" i="3"/>
  <c r="DB227" i="3" s="1"/>
  <c r="DA227" i="3"/>
  <c r="DC227" i="3"/>
  <c r="A228" i="3"/>
  <c r="Y228" i="3"/>
  <c r="CY228" i="3"/>
  <c r="CZ228" i="3"/>
  <c r="DB228" i="3" s="1"/>
  <c r="DA228" i="3"/>
  <c r="DC228" i="3"/>
  <c r="A229" i="3"/>
  <c r="Y229" i="3"/>
  <c r="CY229" i="3"/>
  <c r="CZ229" i="3"/>
  <c r="DB229" i="3" s="1"/>
  <c r="DA229" i="3"/>
  <c r="DC229" i="3"/>
  <c r="A230" i="3"/>
  <c r="Y230" i="3"/>
  <c r="CY230" i="3"/>
  <c r="CZ230" i="3"/>
  <c r="DB230" i="3" s="1"/>
  <c r="DA230" i="3"/>
  <c r="DC230" i="3"/>
  <c r="A231" i="3"/>
  <c r="Y231" i="3"/>
  <c r="CY231" i="3"/>
  <c r="CZ231" i="3"/>
  <c r="DB231" i="3" s="1"/>
  <c r="DA231" i="3"/>
  <c r="DC231" i="3"/>
  <c r="A232" i="3"/>
  <c r="Y232" i="3"/>
  <c r="CY232" i="3"/>
  <c r="CZ232" i="3"/>
  <c r="DA232" i="3"/>
  <c r="DB232" i="3"/>
  <c r="DC232" i="3"/>
  <c r="A233" i="3"/>
  <c r="Y233" i="3"/>
  <c r="CY233" i="3"/>
  <c r="CZ233" i="3"/>
  <c r="DA233" i="3"/>
  <c r="DB233" i="3"/>
  <c r="DC233" i="3"/>
  <c r="A234" i="3"/>
  <c r="Y234" i="3"/>
  <c r="CY234" i="3"/>
  <c r="CZ234" i="3"/>
  <c r="DB234" i="3" s="1"/>
  <c r="DA234" i="3"/>
  <c r="DC234" i="3"/>
  <c r="A235" i="3"/>
  <c r="Y235" i="3"/>
  <c r="CX235" i="3" s="1"/>
  <c r="CY235" i="3"/>
  <c r="CZ235" i="3"/>
  <c r="DB235" i="3" s="1"/>
  <c r="DA235" i="3"/>
  <c r="DC235" i="3"/>
  <c r="A236" i="3"/>
  <c r="Y236" i="3"/>
  <c r="CY236" i="3"/>
  <c r="CZ236" i="3"/>
  <c r="DB236" i="3" s="1"/>
  <c r="DA236" i="3"/>
  <c r="DC236" i="3"/>
  <c r="A237" i="3"/>
  <c r="Y237" i="3"/>
  <c r="CY237" i="3"/>
  <c r="CZ237" i="3"/>
  <c r="DA237" i="3"/>
  <c r="DB237" i="3"/>
  <c r="DC237" i="3"/>
  <c r="A238" i="3"/>
  <c r="Y238" i="3"/>
  <c r="CY238" i="3"/>
  <c r="CZ238" i="3"/>
  <c r="DB238" i="3" s="1"/>
  <c r="DA238" i="3"/>
  <c r="DC238" i="3"/>
  <c r="A239" i="3"/>
  <c r="Y239" i="3"/>
  <c r="CY239" i="3"/>
  <c r="CZ239" i="3"/>
  <c r="DB239" i="3" s="1"/>
  <c r="DA239" i="3"/>
  <c r="DC239" i="3"/>
  <c r="A240" i="3"/>
  <c r="Y240" i="3"/>
  <c r="CY240" i="3"/>
  <c r="CZ240" i="3"/>
  <c r="DB240" i="3" s="1"/>
  <c r="DA240" i="3"/>
  <c r="DC240" i="3"/>
  <c r="A241" i="3"/>
  <c r="Y241" i="3"/>
  <c r="CY241" i="3"/>
  <c r="CZ241" i="3"/>
  <c r="DA241" i="3"/>
  <c r="DB241" i="3"/>
  <c r="DC241" i="3"/>
  <c r="A242" i="3"/>
  <c r="Y242" i="3"/>
  <c r="CY242" i="3"/>
  <c r="CZ242" i="3"/>
  <c r="DA242" i="3"/>
  <c r="DB242" i="3"/>
  <c r="DC242" i="3"/>
  <c r="A243" i="3"/>
  <c r="Y243" i="3"/>
  <c r="CY243" i="3"/>
  <c r="CZ243" i="3"/>
  <c r="DB243" i="3" s="1"/>
  <c r="DA243" i="3"/>
  <c r="DC243" i="3"/>
  <c r="A244" i="3"/>
  <c r="Y244" i="3"/>
  <c r="CY244" i="3"/>
  <c r="CZ244" i="3"/>
  <c r="DB244" i="3" s="1"/>
  <c r="DA244" i="3"/>
  <c r="DC244" i="3"/>
  <c r="A245" i="3"/>
  <c r="Y245" i="3"/>
  <c r="CY245" i="3"/>
  <c r="CZ245" i="3"/>
  <c r="DB245" i="3" s="1"/>
  <c r="DA245" i="3"/>
  <c r="DC245" i="3"/>
  <c r="A246" i="3"/>
  <c r="Y246" i="3"/>
  <c r="CY246" i="3"/>
  <c r="CZ246" i="3"/>
  <c r="DB246" i="3" s="1"/>
  <c r="DA246" i="3"/>
  <c r="DC246" i="3"/>
  <c r="A247" i="3"/>
  <c r="Y247" i="3"/>
  <c r="CY247" i="3"/>
  <c r="CZ247" i="3"/>
  <c r="DB247" i="3" s="1"/>
  <c r="DA247" i="3"/>
  <c r="DC247" i="3"/>
  <c r="A248" i="3"/>
  <c r="Y248" i="3"/>
  <c r="CY248" i="3"/>
  <c r="CZ248" i="3"/>
  <c r="DB248" i="3" s="1"/>
  <c r="DA248" i="3"/>
  <c r="DC248" i="3"/>
  <c r="A249" i="3"/>
  <c r="Y249" i="3"/>
  <c r="CY249" i="3"/>
  <c r="CZ249" i="3"/>
  <c r="DA249" i="3"/>
  <c r="DB249" i="3"/>
  <c r="DC249" i="3"/>
  <c r="A250" i="3"/>
  <c r="Y250" i="3"/>
  <c r="CY250" i="3"/>
  <c r="CZ250" i="3"/>
  <c r="DB250" i="3" s="1"/>
  <c r="DA250" i="3"/>
  <c r="DC250" i="3"/>
  <c r="A251" i="3"/>
  <c r="Y251" i="3"/>
  <c r="CY251" i="3"/>
  <c r="CZ251" i="3"/>
  <c r="DB251" i="3" s="1"/>
  <c r="DA251" i="3"/>
  <c r="DC251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D24" i="1"/>
  <c r="E26" i="1"/>
  <c r="Z26" i="1"/>
  <c r="AA26" i="1"/>
  <c r="AM26" i="1"/>
  <c r="AN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P26" i="1"/>
  <c r="EQ26" i="1"/>
  <c r="ER26" i="1"/>
  <c r="ES26" i="1"/>
  <c r="ET26" i="1"/>
  <c r="EU26" i="1"/>
  <c r="EV26" i="1"/>
  <c r="EW26" i="1"/>
  <c r="EX26" i="1"/>
  <c r="EY26" i="1"/>
  <c r="EZ26" i="1"/>
  <c r="FA26" i="1"/>
  <c r="FB26" i="1"/>
  <c r="FC26" i="1"/>
  <c r="FD26" i="1"/>
  <c r="FE26" i="1"/>
  <c r="FF26" i="1"/>
  <c r="FG26" i="1"/>
  <c r="FH26" i="1"/>
  <c r="FI26" i="1"/>
  <c r="FJ26" i="1"/>
  <c r="FK26" i="1"/>
  <c r="FL26" i="1"/>
  <c r="FM26" i="1"/>
  <c r="FN26" i="1"/>
  <c r="FO26" i="1"/>
  <c r="FP26" i="1"/>
  <c r="FQ26" i="1"/>
  <c r="FR26" i="1"/>
  <c r="FS26" i="1"/>
  <c r="FT26" i="1"/>
  <c r="FU26" i="1"/>
  <c r="FV26" i="1"/>
  <c r="FW26" i="1"/>
  <c r="FX26" i="1"/>
  <c r="FY26" i="1"/>
  <c r="FZ26" i="1"/>
  <c r="GA26" i="1"/>
  <c r="GB26" i="1"/>
  <c r="GC26" i="1"/>
  <c r="GD26" i="1"/>
  <c r="GE26" i="1"/>
  <c r="GF26" i="1"/>
  <c r="GG26" i="1"/>
  <c r="GH26" i="1"/>
  <c r="GI26" i="1"/>
  <c r="GJ26" i="1"/>
  <c r="GK26" i="1"/>
  <c r="GL26" i="1"/>
  <c r="GM26" i="1"/>
  <c r="GN26" i="1"/>
  <c r="GO26" i="1"/>
  <c r="GP26" i="1"/>
  <c r="GQ26" i="1"/>
  <c r="GR26" i="1"/>
  <c r="GS26" i="1"/>
  <c r="GT26" i="1"/>
  <c r="GU26" i="1"/>
  <c r="GV26" i="1"/>
  <c r="GW26" i="1"/>
  <c r="GX26" i="1"/>
  <c r="C28" i="1"/>
  <c r="D28" i="1"/>
  <c r="I28" i="1"/>
  <c r="K28" i="1"/>
  <c r="AC28" i="1"/>
  <c r="CQ28" i="1" s="1"/>
  <c r="AE28" i="1"/>
  <c r="AF28" i="1"/>
  <c r="AG28" i="1"/>
  <c r="CU28" i="1" s="1"/>
  <c r="AH28" i="1"/>
  <c r="CV28" i="1" s="1"/>
  <c r="AI28" i="1"/>
  <c r="AJ28" i="1"/>
  <c r="CX28" i="1" s="1"/>
  <c r="CT28" i="1"/>
  <c r="CW28" i="1"/>
  <c r="FR28" i="1"/>
  <c r="GL28" i="1"/>
  <c r="GO28" i="1"/>
  <c r="GP28" i="1"/>
  <c r="GV28" i="1"/>
  <c r="HC28" i="1" s="1"/>
  <c r="R29" i="1"/>
  <c r="AC29" i="1"/>
  <c r="AD29" i="1"/>
  <c r="AE29" i="1"/>
  <c r="AF29" i="1"/>
  <c r="AG29" i="1"/>
  <c r="CU29" i="1" s="1"/>
  <c r="T29" i="1" s="1"/>
  <c r="AH29" i="1"/>
  <c r="CV29" i="1" s="1"/>
  <c r="U29" i="1" s="1"/>
  <c r="L50" i="6" s="1"/>
  <c r="Q50" i="6" s="1"/>
  <c r="AI29" i="1"/>
  <c r="CW29" i="1" s="1"/>
  <c r="V29" i="1" s="1"/>
  <c r="AJ29" i="1"/>
  <c r="CX29" i="1" s="1"/>
  <c r="W29" i="1" s="1"/>
  <c r="CR29" i="1"/>
  <c r="Q29" i="1" s="1"/>
  <c r="CS29" i="1"/>
  <c r="FR29" i="1"/>
  <c r="GL29" i="1"/>
  <c r="GO29" i="1"/>
  <c r="GP29" i="1"/>
  <c r="GV29" i="1"/>
  <c r="HC29" i="1" s="1"/>
  <c r="GX29" i="1" s="1"/>
  <c r="C30" i="1"/>
  <c r="D30" i="1"/>
  <c r="I30" i="1"/>
  <c r="K30" i="1"/>
  <c r="AC30" i="1"/>
  <c r="AD30" i="1"/>
  <c r="AB30" i="1" s="1"/>
  <c r="AE30" i="1"/>
  <c r="AF30" i="1"/>
  <c r="AG30" i="1"/>
  <c r="CU30" i="1" s="1"/>
  <c r="T30" i="1" s="1"/>
  <c r="AH30" i="1"/>
  <c r="CV30" i="1" s="1"/>
  <c r="U30" i="1" s="1"/>
  <c r="AI30" i="1"/>
  <c r="CW30" i="1" s="1"/>
  <c r="V30" i="1" s="1"/>
  <c r="AJ30" i="1"/>
  <c r="CX30" i="1" s="1"/>
  <c r="W30" i="1" s="1"/>
  <c r="CQ30" i="1"/>
  <c r="P30" i="1" s="1"/>
  <c r="CT30" i="1"/>
  <c r="S30" i="1" s="1"/>
  <c r="K53" i="6" s="1"/>
  <c r="FR30" i="1"/>
  <c r="GL30" i="1"/>
  <c r="GO30" i="1"/>
  <c r="GP30" i="1"/>
  <c r="GV30" i="1"/>
  <c r="HC30" i="1" s="1"/>
  <c r="GX30" i="1" s="1"/>
  <c r="I31" i="1"/>
  <c r="AC31" i="1"/>
  <c r="AE31" i="1"/>
  <c r="AD31" i="1" s="1"/>
  <c r="AF31" i="1"/>
  <c r="AG31" i="1"/>
  <c r="AH31" i="1"/>
  <c r="CV31" i="1" s="1"/>
  <c r="U31" i="1" s="1"/>
  <c r="AI31" i="1"/>
  <c r="CW31" i="1" s="1"/>
  <c r="V31" i="1" s="1"/>
  <c r="AJ31" i="1"/>
  <c r="CR31" i="1"/>
  <c r="CU31" i="1"/>
  <c r="CX31" i="1"/>
  <c r="W31" i="1" s="1"/>
  <c r="FR31" i="1"/>
  <c r="GL31" i="1"/>
  <c r="GO31" i="1"/>
  <c r="GP31" i="1"/>
  <c r="GV31" i="1"/>
  <c r="GX31" i="1"/>
  <c r="HC31" i="1"/>
  <c r="C32" i="1"/>
  <c r="D32" i="1"/>
  <c r="I32" i="1"/>
  <c r="E61" i="6" s="1"/>
  <c r="K32" i="1"/>
  <c r="AC32" i="1"/>
  <c r="CQ32" i="1" s="1"/>
  <c r="AE32" i="1"/>
  <c r="AF32" i="1"/>
  <c r="AG32" i="1"/>
  <c r="CU32" i="1" s="1"/>
  <c r="AH32" i="1"/>
  <c r="CV32" i="1" s="1"/>
  <c r="AI32" i="1"/>
  <c r="AJ32" i="1"/>
  <c r="CX32" i="1" s="1"/>
  <c r="CR32" i="1"/>
  <c r="Q32" i="1" s="1"/>
  <c r="CW32" i="1"/>
  <c r="FR32" i="1"/>
  <c r="GL32" i="1"/>
  <c r="GO32" i="1"/>
  <c r="GP32" i="1"/>
  <c r="GV32" i="1"/>
  <c r="HC32" i="1"/>
  <c r="AC33" i="1"/>
  <c r="AD33" i="1"/>
  <c r="AB33" i="1" s="1"/>
  <c r="AE33" i="1"/>
  <c r="AF33" i="1"/>
  <c r="AG33" i="1"/>
  <c r="AH33" i="1"/>
  <c r="CV33" i="1" s="1"/>
  <c r="AI33" i="1"/>
  <c r="CW33" i="1" s="1"/>
  <c r="AJ33" i="1"/>
  <c r="CX33" i="1" s="1"/>
  <c r="CQ33" i="1"/>
  <c r="CU33" i="1"/>
  <c r="FR33" i="1"/>
  <c r="GL33" i="1"/>
  <c r="GO33" i="1"/>
  <c r="GP33" i="1"/>
  <c r="GV33" i="1"/>
  <c r="HC33" i="1" s="1"/>
  <c r="C34" i="1"/>
  <c r="D34" i="1"/>
  <c r="I34" i="1"/>
  <c r="K34" i="1"/>
  <c r="AC34" i="1"/>
  <c r="AE34" i="1"/>
  <c r="AF34" i="1"/>
  <c r="AG34" i="1"/>
  <c r="AH34" i="1"/>
  <c r="CV34" i="1" s="1"/>
  <c r="AI34" i="1"/>
  <c r="AJ34" i="1"/>
  <c r="CX34" i="1" s="1"/>
  <c r="CQ34" i="1"/>
  <c r="CU34" i="1"/>
  <c r="CW34" i="1"/>
  <c r="FR34" i="1"/>
  <c r="GL34" i="1"/>
  <c r="GO34" i="1"/>
  <c r="GP34" i="1"/>
  <c r="GV34" i="1"/>
  <c r="HC34" i="1" s="1"/>
  <c r="AC35" i="1"/>
  <c r="AE35" i="1"/>
  <c r="CS35" i="1" s="1"/>
  <c r="AF35" i="1"/>
  <c r="AG35" i="1"/>
  <c r="CU35" i="1" s="1"/>
  <c r="AH35" i="1"/>
  <c r="CV35" i="1" s="1"/>
  <c r="AI35" i="1"/>
  <c r="CW35" i="1" s="1"/>
  <c r="AJ35" i="1"/>
  <c r="CQ35" i="1"/>
  <c r="CR35" i="1"/>
  <c r="CX35" i="1"/>
  <c r="FR35" i="1"/>
  <c r="GL35" i="1"/>
  <c r="GO35" i="1"/>
  <c r="GP35" i="1"/>
  <c r="GV35" i="1"/>
  <c r="HC35" i="1" s="1"/>
  <c r="C36" i="1"/>
  <c r="D36" i="1"/>
  <c r="I36" i="1"/>
  <c r="K36" i="1"/>
  <c r="AC36" i="1"/>
  <c r="AE36" i="1"/>
  <c r="AF36" i="1"/>
  <c r="AG36" i="1"/>
  <c r="CU36" i="1" s="1"/>
  <c r="AH36" i="1"/>
  <c r="CV36" i="1" s="1"/>
  <c r="AI36" i="1"/>
  <c r="CW36" i="1" s="1"/>
  <c r="AJ36" i="1"/>
  <c r="CR36" i="1"/>
  <c r="Q36" i="1" s="1"/>
  <c r="CT36" i="1"/>
  <c r="S36" i="1" s="1"/>
  <c r="K78" i="6" s="1"/>
  <c r="CX36" i="1"/>
  <c r="FR36" i="1"/>
  <c r="GL36" i="1"/>
  <c r="GO36" i="1"/>
  <c r="GP36" i="1"/>
  <c r="GV36" i="1"/>
  <c r="HC36" i="1" s="1"/>
  <c r="AC37" i="1"/>
  <c r="AE37" i="1"/>
  <c r="AF37" i="1"/>
  <c r="AG37" i="1"/>
  <c r="CU37" i="1" s="1"/>
  <c r="AH37" i="1"/>
  <c r="CV37" i="1" s="1"/>
  <c r="AI37" i="1"/>
  <c r="CW37" i="1" s="1"/>
  <c r="AJ37" i="1"/>
  <c r="CX37" i="1" s="1"/>
  <c r="CQ37" i="1"/>
  <c r="CT37" i="1"/>
  <c r="FR37" i="1"/>
  <c r="GL37" i="1"/>
  <c r="GO37" i="1"/>
  <c r="GP37" i="1"/>
  <c r="GV37" i="1"/>
  <c r="HC37" i="1" s="1"/>
  <c r="C38" i="1"/>
  <c r="D38" i="1"/>
  <c r="AC38" i="1"/>
  <c r="AD38" i="1"/>
  <c r="AB38" i="1" s="1"/>
  <c r="AE38" i="1"/>
  <c r="AF38" i="1"/>
  <c r="AG38" i="1"/>
  <c r="AH38" i="1"/>
  <c r="CV38" i="1" s="1"/>
  <c r="U38" i="1" s="1"/>
  <c r="AI38" i="1"/>
  <c r="AJ38" i="1"/>
  <c r="CX38" i="1" s="1"/>
  <c r="W38" i="1" s="1"/>
  <c r="CQ38" i="1"/>
  <c r="P38" i="1" s="1"/>
  <c r="CU38" i="1"/>
  <c r="T38" i="1" s="1"/>
  <c r="CW38" i="1"/>
  <c r="V38" i="1" s="1"/>
  <c r="FR38" i="1"/>
  <c r="GL38" i="1"/>
  <c r="GO38" i="1"/>
  <c r="GP38" i="1"/>
  <c r="GV38" i="1"/>
  <c r="HC38" i="1" s="1"/>
  <c r="GX38" i="1" s="1"/>
  <c r="C39" i="1"/>
  <c r="D39" i="1"/>
  <c r="I39" i="1"/>
  <c r="E90" i="6" s="1"/>
  <c r="K39" i="1"/>
  <c r="AC39" i="1"/>
  <c r="AE39" i="1"/>
  <c r="AF39" i="1"/>
  <c r="AG39" i="1"/>
  <c r="CU39" i="1" s="1"/>
  <c r="T39" i="1" s="1"/>
  <c r="AH39" i="1"/>
  <c r="CV39" i="1" s="1"/>
  <c r="U39" i="1" s="1"/>
  <c r="AI39" i="1"/>
  <c r="CW39" i="1" s="1"/>
  <c r="AJ39" i="1"/>
  <c r="CX39" i="1" s="1"/>
  <c r="W39" i="1" s="1"/>
  <c r="CQ39" i="1"/>
  <c r="FR39" i="1"/>
  <c r="GL39" i="1"/>
  <c r="GO39" i="1"/>
  <c r="GP39" i="1"/>
  <c r="GV39" i="1"/>
  <c r="HC39" i="1" s="1"/>
  <c r="GX39" i="1" s="1"/>
  <c r="I40" i="1"/>
  <c r="E95" i="6" s="1"/>
  <c r="AC40" i="1"/>
  <c r="H95" i="6" s="1"/>
  <c r="W95" i="6" s="1"/>
  <c r="AE40" i="1"/>
  <c r="AF40" i="1"/>
  <c r="AG40" i="1"/>
  <c r="CU40" i="1" s="1"/>
  <c r="AH40" i="1"/>
  <c r="CV40" i="1" s="1"/>
  <c r="U40" i="1" s="1"/>
  <c r="AI40" i="1"/>
  <c r="CW40" i="1" s="1"/>
  <c r="V40" i="1" s="1"/>
  <c r="AJ40" i="1"/>
  <c r="CR40" i="1"/>
  <c r="CT40" i="1"/>
  <c r="S40" i="1" s="1"/>
  <c r="CX40" i="1"/>
  <c r="FR40" i="1"/>
  <c r="GL40" i="1"/>
  <c r="GO40" i="1"/>
  <c r="GP40" i="1"/>
  <c r="GV40" i="1"/>
  <c r="HC40" i="1"/>
  <c r="GX40" i="1" s="1"/>
  <c r="C41" i="1"/>
  <c r="D41" i="1"/>
  <c r="I41" i="1"/>
  <c r="E97" i="6" s="1"/>
  <c r="K41" i="1"/>
  <c r="AC41" i="1"/>
  <c r="AD41" i="1"/>
  <c r="AE41" i="1"/>
  <c r="AF41" i="1"/>
  <c r="AG41" i="1"/>
  <c r="CU41" i="1" s="1"/>
  <c r="AH41" i="1"/>
  <c r="CV41" i="1" s="1"/>
  <c r="U41" i="1" s="1"/>
  <c r="AI41" i="1"/>
  <c r="CW41" i="1" s="1"/>
  <c r="V41" i="1" s="1"/>
  <c r="AJ41" i="1"/>
  <c r="CR41" i="1"/>
  <c r="Q41" i="1" s="1"/>
  <c r="K99" i="6" s="1"/>
  <c r="CT41" i="1"/>
  <c r="S41" i="1" s="1"/>
  <c r="K98" i="6" s="1"/>
  <c r="CX41" i="1"/>
  <c r="W41" i="1" s="1"/>
  <c r="FR41" i="1"/>
  <c r="GL41" i="1"/>
  <c r="GO41" i="1"/>
  <c r="GP41" i="1"/>
  <c r="GV41" i="1"/>
  <c r="HC41" i="1" s="1"/>
  <c r="C42" i="1"/>
  <c r="D42" i="1"/>
  <c r="I42" i="1"/>
  <c r="E105" i="6" s="1"/>
  <c r="K42" i="1"/>
  <c r="AC42" i="1"/>
  <c r="AE42" i="1"/>
  <c r="AF42" i="1"/>
  <c r="AG42" i="1"/>
  <c r="AH42" i="1"/>
  <c r="CV42" i="1" s="1"/>
  <c r="U42" i="1" s="1"/>
  <c r="AI42" i="1"/>
  <c r="CW42" i="1" s="1"/>
  <c r="V42" i="1" s="1"/>
  <c r="AJ42" i="1"/>
  <c r="CX42" i="1" s="1"/>
  <c r="W42" i="1" s="1"/>
  <c r="CT42" i="1"/>
  <c r="S42" i="1" s="1"/>
  <c r="K106" i="6" s="1"/>
  <c r="CU42" i="1"/>
  <c r="T42" i="1" s="1"/>
  <c r="FR42" i="1"/>
  <c r="GL42" i="1"/>
  <c r="GO42" i="1"/>
  <c r="GP42" i="1"/>
  <c r="GV42" i="1"/>
  <c r="HC42" i="1" s="1"/>
  <c r="GX42" i="1" s="1"/>
  <c r="C43" i="1"/>
  <c r="D43" i="1"/>
  <c r="I43" i="1"/>
  <c r="K43" i="1"/>
  <c r="AC43" i="1"/>
  <c r="AE43" i="1"/>
  <c r="AF43" i="1"/>
  <c r="AG43" i="1"/>
  <c r="CU43" i="1" s="1"/>
  <c r="AH43" i="1"/>
  <c r="CV43" i="1" s="1"/>
  <c r="AI43" i="1"/>
  <c r="CW43" i="1" s="1"/>
  <c r="AJ43" i="1"/>
  <c r="CR43" i="1"/>
  <c r="CT43" i="1"/>
  <c r="CX43" i="1"/>
  <c r="FR43" i="1"/>
  <c r="GL43" i="1"/>
  <c r="GO43" i="1"/>
  <c r="GP43" i="1"/>
  <c r="GV43" i="1"/>
  <c r="HC43" i="1" s="1"/>
  <c r="AC44" i="1"/>
  <c r="AD44" i="1"/>
  <c r="AE44" i="1"/>
  <c r="AF44" i="1"/>
  <c r="AG44" i="1"/>
  <c r="CU44" i="1" s="1"/>
  <c r="AH44" i="1"/>
  <c r="CV44" i="1" s="1"/>
  <c r="AI44" i="1"/>
  <c r="CW44" i="1" s="1"/>
  <c r="AJ44" i="1"/>
  <c r="CX44" i="1" s="1"/>
  <c r="CR44" i="1"/>
  <c r="CS44" i="1"/>
  <c r="FR44" i="1"/>
  <c r="GL44" i="1"/>
  <c r="GO44" i="1"/>
  <c r="GP44" i="1"/>
  <c r="GV44" i="1"/>
  <c r="HC44" i="1" s="1"/>
  <c r="AC45" i="1"/>
  <c r="AE45" i="1"/>
  <c r="AF45" i="1"/>
  <c r="AG45" i="1"/>
  <c r="CU45" i="1" s="1"/>
  <c r="AH45" i="1"/>
  <c r="CV45" i="1" s="1"/>
  <c r="AI45" i="1"/>
  <c r="AJ45" i="1"/>
  <c r="CX45" i="1" s="1"/>
  <c r="CT45" i="1"/>
  <c r="CW45" i="1"/>
  <c r="FR45" i="1"/>
  <c r="GL45" i="1"/>
  <c r="GO45" i="1"/>
  <c r="GP45" i="1"/>
  <c r="GV45" i="1"/>
  <c r="HC45" i="1"/>
  <c r="AC46" i="1"/>
  <c r="CQ46" i="1" s="1"/>
  <c r="AD46" i="1"/>
  <c r="AB46" i="1" s="1"/>
  <c r="AE46" i="1"/>
  <c r="AF46" i="1"/>
  <c r="AG46" i="1"/>
  <c r="CU46" i="1" s="1"/>
  <c r="AH46" i="1"/>
  <c r="CV46" i="1" s="1"/>
  <c r="AI46" i="1"/>
  <c r="CW46" i="1" s="1"/>
  <c r="AJ46" i="1"/>
  <c r="CX46" i="1" s="1"/>
  <c r="CR46" i="1"/>
  <c r="CS46" i="1"/>
  <c r="FR46" i="1"/>
  <c r="GL46" i="1"/>
  <c r="GO46" i="1"/>
  <c r="GP46" i="1"/>
  <c r="GV46" i="1"/>
  <c r="HC46" i="1" s="1"/>
  <c r="AC47" i="1"/>
  <c r="AE47" i="1"/>
  <c r="AF47" i="1"/>
  <c r="AG47" i="1"/>
  <c r="AH47" i="1"/>
  <c r="CV47" i="1" s="1"/>
  <c r="AI47" i="1"/>
  <c r="CW47" i="1" s="1"/>
  <c r="AJ47" i="1"/>
  <c r="CX47" i="1" s="1"/>
  <c r="CT47" i="1"/>
  <c r="CU47" i="1"/>
  <c r="FR47" i="1"/>
  <c r="GL47" i="1"/>
  <c r="GO47" i="1"/>
  <c r="GP47" i="1"/>
  <c r="GV47" i="1"/>
  <c r="HC47" i="1"/>
  <c r="AC48" i="1"/>
  <c r="AE48" i="1"/>
  <c r="AD48" i="1" s="1"/>
  <c r="AF48" i="1"/>
  <c r="AG48" i="1"/>
  <c r="CU48" i="1" s="1"/>
  <c r="AH48" i="1"/>
  <c r="CV48" i="1" s="1"/>
  <c r="AI48" i="1"/>
  <c r="CW48" i="1" s="1"/>
  <c r="AJ48" i="1"/>
  <c r="CR48" i="1"/>
  <c r="CS48" i="1"/>
  <c r="CX48" i="1"/>
  <c r="FR48" i="1"/>
  <c r="GL48" i="1"/>
  <c r="GO48" i="1"/>
  <c r="GP48" i="1"/>
  <c r="GV48" i="1"/>
  <c r="HC48" i="1"/>
  <c r="AC49" i="1"/>
  <c r="AD49" i="1"/>
  <c r="AE49" i="1"/>
  <c r="CS49" i="1" s="1"/>
  <c r="AF49" i="1"/>
  <c r="AG49" i="1"/>
  <c r="CU49" i="1" s="1"/>
  <c r="AH49" i="1"/>
  <c r="AI49" i="1"/>
  <c r="CW49" i="1" s="1"/>
  <c r="AJ49" i="1"/>
  <c r="CX49" i="1" s="1"/>
  <c r="CQ49" i="1"/>
  <c r="CV49" i="1"/>
  <c r="FR49" i="1"/>
  <c r="GL49" i="1"/>
  <c r="GO49" i="1"/>
  <c r="GP49" i="1"/>
  <c r="GV49" i="1"/>
  <c r="HC49" i="1" s="1"/>
  <c r="C50" i="1"/>
  <c r="D50" i="1"/>
  <c r="I50" i="1"/>
  <c r="K50" i="1"/>
  <c r="AC50" i="1"/>
  <c r="AE50" i="1"/>
  <c r="AF50" i="1"/>
  <c r="AG50" i="1"/>
  <c r="AH50" i="1"/>
  <c r="CV50" i="1" s="1"/>
  <c r="AI50" i="1"/>
  <c r="CW50" i="1" s="1"/>
  <c r="AJ50" i="1"/>
  <c r="CX50" i="1" s="1"/>
  <c r="W50" i="1" s="1"/>
  <c r="CT50" i="1"/>
  <c r="CU50" i="1"/>
  <c r="FR50" i="1"/>
  <c r="GL50" i="1"/>
  <c r="GO50" i="1"/>
  <c r="GP50" i="1"/>
  <c r="GV50" i="1"/>
  <c r="HC50" i="1" s="1"/>
  <c r="AC51" i="1"/>
  <c r="AD51" i="1"/>
  <c r="AB51" i="1" s="1"/>
  <c r="AE51" i="1"/>
  <c r="AF51" i="1"/>
  <c r="AG51" i="1"/>
  <c r="CU51" i="1" s="1"/>
  <c r="AH51" i="1"/>
  <c r="CV51" i="1" s="1"/>
  <c r="AI51" i="1"/>
  <c r="CW51" i="1" s="1"/>
  <c r="AJ51" i="1"/>
  <c r="CX51" i="1" s="1"/>
  <c r="CQ51" i="1"/>
  <c r="CT51" i="1"/>
  <c r="FR51" i="1"/>
  <c r="GL51" i="1"/>
  <c r="GO51" i="1"/>
  <c r="GP51" i="1"/>
  <c r="GV51" i="1"/>
  <c r="HC51" i="1" s="1"/>
  <c r="C52" i="1"/>
  <c r="D52" i="1"/>
  <c r="I52" i="1"/>
  <c r="E143" i="6" s="1"/>
  <c r="K52" i="1"/>
  <c r="AC52" i="1"/>
  <c r="AD52" i="1"/>
  <c r="AE52" i="1"/>
  <c r="AF52" i="1"/>
  <c r="AG52" i="1"/>
  <c r="CU52" i="1" s="1"/>
  <c r="T52" i="1" s="1"/>
  <c r="AH52" i="1"/>
  <c r="CV52" i="1" s="1"/>
  <c r="AI52" i="1"/>
  <c r="CW52" i="1" s="1"/>
  <c r="V52" i="1" s="1"/>
  <c r="AJ52" i="1"/>
  <c r="CX52" i="1" s="1"/>
  <c r="W52" i="1" s="1"/>
  <c r="CR52" i="1"/>
  <c r="Q52" i="1" s="1"/>
  <c r="K145" i="6" s="1"/>
  <c r="CS52" i="1"/>
  <c r="FR52" i="1"/>
  <c r="GL52" i="1"/>
  <c r="GO52" i="1"/>
  <c r="GP52" i="1"/>
  <c r="GV52" i="1"/>
  <c r="HC52" i="1" s="1"/>
  <c r="GX52" i="1" s="1"/>
  <c r="I53" i="1"/>
  <c r="E150" i="6" s="1"/>
  <c r="W53" i="1"/>
  <c r="AC53" i="1"/>
  <c r="AE53" i="1"/>
  <c r="AF53" i="1"/>
  <c r="AG53" i="1"/>
  <c r="CU53" i="1" s="1"/>
  <c r="T53" i="1" s="1"/>
  <c r="AH53" i="1"/>
  <c r="CV53" i="1" s="1"/>
  <c r="U53" i="1" s="1"/>
  <c r="AI53" i="1"/>
  <c r="CW53" i="1" s="1"/>
  <c r="AJ53" i="1"/>
  <c r="CX53" i="1" s="1"/>
  <c r="CT53" i="1"/>
  <c r="S53" i="1" s="1"/>
  <c r="FR53" i="1"/>
  <c r="GL53" i="1"/>
  <c r="GO53" i="1"/>
  <c r="GP53" i="1"/>
  <c r="GV53" i="1"/>
  <c r="HC53" i="1"/>
  <c r="GX53" i="1" s="1"/>
  <c r="C54" i="1"/>
  <c r="D54" i="1"/>
  <c r="I54" i="1"/>
  <c r="K54" i="1"/>
  <c r="AC54" i="1"/>
  <c r="H157" i="6" s="1"/>
  <c r="AE54" i="1"/>
  <c r="AF54" i="1"/>
  <c r="AG54" i="1"/>
  <c r="CU54" i="1" s="1"/>
  <c r="AH54" i="1"/>
  <c r="AI54" i="1"/>
  <c r="CW54" i="1" s="1"/>
  <c r="V54" i="1" s="1"/>
  <c r="AJ54" i="1"/>
  <c r="CX54" i="1" s="1"/>
  <c r="CV54" i="1"/>
  <c r="U54" i="1" s="1"/>
  <c r="FR54" i="1"/>
  <c r="GL54" i="1"/>
  <c r="GO54" i="1"/>
  <c r="GP54" i="1"/>
  <c r="GV54" i="1"/>
  <c r="HC54" i="1" s="1"/>
  <c r="GX54" i="1" s="1"/>
  <c r="AC55" i="1"/>
  <c r="AD55" i="1"/>
  <c r="AE55" i="1"/>
  <c r="CS55" i="1" s="1"/>
  <c r="AF55" i="1"/>
  <c r="CT55" i="1" s="1"/>
  <c r="AG55" i="1"/>
  <c r="CU55" i="1" s="1"/>
  <c r="AH55" i="1"/>
  <c r="CV55" i="1" s="1"/>
  <c r="AI55" i="1"/>
  <c r="CW55" i="1" s="1"/>
  <c r="AJ55" i="1"/>
  <c r="CR55" i="1"/>
  <c r="CX55" i="1"/>
  <c r="FR55" i="1"/>
  <c r="GL55" i="1"/>
  <c r="GO55" i="1"/>
  <c r="GP55" i="1"/>
  <c r="GV55" i="1"/>
  <c r="HC55" i="1" s="1"/>
  <c r="C56" i="1"/>
  <c r="D56" i="1"/>
  <c r="I56" i="1"/>
  <c r="K56" i="1"/>
  <c r="AC56" i="1"/>
  <c r="H169" i="6" s="1"/>
  <c r="AE56" i="1"/>
  <c r="AF56" i="1"/>
  <c r="AG56" i="1"/>
  <c r="CU56" i="1" s="1"/>
  <c r="AH56" i="1"/>
  <c r="CV56" i="1" s="1"/>
  <c r="U56" i="1" s="1"/>
  <c r="AI56" i="1"/>
  <c r="CW56" i="1" s="1"/>
  <c r="AJ56" i="1"/>
  <c r="CX56" i="1" s="1"/>
  <c r="W56" i="1" s="1"/>
  <c r="CT56" i="1"/>
  <c r="S56" i="1" s="1"/>
  <c r="K166" i="6" s="1"/>
  <c r="FR56" i="1"/>
  <c r="GL56" i="1"/>
  <c r="GO56" i="1"/>
  <c r="GP56" i="1"/>
  <c r="GV56" i="1"/>
  <c r="HC56" i="1"/>
  <c r="GX56" i="1" s="1"/>
  <c r="AC57" i="1"/>
  <c r="AD57" i="1"/>
  <c r="AB57" i="1" s="1"/>
  <c r="AE57" i="1"/>
  <c r="AF57" i="1"/>
  <c r="AG57" i="1"/>
  <c r="CU57" i="1" s="1"/>
  <c r="AH57" i="1"/>
  <c r="CV57" i="1" s="1"/>
  <c r="AI57" i="1"/>
  <c r="CW57" i="1" s="1"/>
  <c r="AJ57" i="1"/>
  <c r="CX57" i="1" s="1"/>
  <c r="CR57" i="1"/>
  <c r="CS57" i="1"/>
  <c r="CT57" i="1"/>
  <c r="FR57" i="1"/>
  <c r="GL57" i="1"/>
  <c r="GO57" i="1"/>
  <c r="GP57" i="1"/>
  <c r="GV57" i="1"/>
  <c r="HC57" i="1" s="1"/>
  <c r="I58" i="1"/>
  <c r="E174" i="6" s="1"/>
  <c r="AC58" i="1"/>
  <c r="AE58" i="1"/>
  <c r="AD58" i="1" s="1"/>
  <c r="AF58" i="1"/>
  <c r="AG58" i="1"/>
  <c r="CU58" i="1" s="1"/>
  <c r="AH58" i="1"/>
  <c r="AI58" i="1"/>
  <c r="CW58" i="1" s="1"/>
  <c r="AJ58" i="1"/>
  <c r="CR58" i="1"/>
  <c r="Q58" i="1" s="1"/>
  <c r="CS58" i="1"/>
  <c r="CV58" i="1"/>
  <c r="CX58" i="1"/>
  <c r="FR58" i="1"/>
  <c r="GL58" i="1"/>
  <c r="GO58" i="1"/>
  <c r="GP58" i="1"/>
  <c r="GV58" i="1"/>
  <c r="HC58" i="1" s="1"/>
  <c r="AC59" i="1"/>
  <c r="AE59" i="1"/>
  <c r="AF59" i="1"/>
  <c r="AG59" i="1"/>
  <c r="AH59" i="1"/>
  <c r="CV59" i="1" s="1"/>
  <c r="AI59" i="1"/>
  <c r="AJ59" i="1"/>
  <c r="CX59" i="1" s="1"/>
  <c r="CQ59" i="1"/>
  <c r="CU59" i="1"/>
  <c r="CW59" i="1"/>
  <c r="FR59" i="1"/>
  <c r="GL59" i="1"/>
  <c r="GO59" i="1"/>
  <c r="GP59" i="1"/>
  <c r="GV59" i="1"/>
  <c r="HC59" i="1" s="1"/>
  <c r="AC60" i="1"/>
  <c r="AE60" i="1"/>
  <c r="CS60" i="1" s="1"/>
  <c r="AF60" i="1"/>
  <c r="AG60" i="1"/>
  <c r="CU60" i="1" s="1"/>
  <c r="AH60" i="1"/>
  <c r="CV60" i="1" s="1"/>
  <c r="AI60" i="1"/>
  <c r="AJ60" i="1"/>
  <c r="CQ60" i="1"/>
  <c r="CR60" i="1"/>
  <c r="CW60" i="1"/>
  <c r="CX60" i="1"/>
  <c r="FR60" i="1"/>
  <c r="GL60" i="1"/>
  <c r="GO60" i="1"/>
  <c r="GP60" i="1"/>
  <c r="GV60" i="1"/>
  <c r="HC60" i="1" s="1"/>
  <c r="Q61" i="1"/>
  <c r="AC61" i="1"/>
  <c r="AD61" i="1"/>
  <c r="AE61" i="1"/>
  <c r="CS61" i="1" s="1"/>
  <c r="R61" i="1" s="1"/>
  <c r="AF61" i="1"/>
  <c r="AG61" i="1"/>
  <c r="AH61" i="1"/>
  <c r="AI61" i="1"/>
  <c r="AJ61" i="1"/>
  <c r="CX61" i="1" s="1"/>
  <c r="W61" i="1" s="1"/>
  <c r="CR61" i="1"/>
  <c r="CU61" i="1"/>
  <c r="T61" i="1" s="1"/>
  <c r="CV61" i="1"/>
  <c r="U61" i="1" s="1"/>
  <c r="L181" i="6" s="1"/>
  <c r="Q181" i="6" s="1"/>
  <c r="CW61" i="1"/>
  <c r="V61" i="1" s="1"/>
  <c r="FR61" i="1"/>
  <c r="GL61" i="1"/>
  <c r="GO61" i="1"/>
  <c r="GP61" i="1"/>
  <c r="GV61" i="1"/>
  <c r="HC61" i="1" s="1"/>
  <c r="GX61" i="1" s="1"/>
  <c r="Q62" i="1"/>
  <c r="R62" i="1"/>
  <c r="AC62" i="1"/>
  <c r="H182" i="6" s="1"/>
  <c r="G183" i="6" s="1"/>
  <c r="O183" i="6" s="1"/>
  <c r="AD62" i="1"/>
  <c r="AE62" i="1"/>
  <c r="CR62" i="1" s="1"/>
  <c r="AF62" i="1"/>
  <c r="AG62" i="1"/>
  <c r="AH62" i="1"/>
  <c r="CV62" i="1" s="1"/>
  <c r="U62" i="1" s="1"/>
  <c r="L183" i="6" s="1"/>
  <c r="Q183" i="6" s="1"/>
  <c r="AI62" i="1"/>
  <c r="CW62" i="1" s="1"/>
  <c r="V62" i="1" s="1"/>
  <c r="AJ62" i="1"/>
  <c r="CS62" i="1"/>
  <c r="CU62" i="1"/>
  <c r="T62" i="1" s="1"/>
  <c r="CX62" i="1"/>
  <c r="W62" i="1" s="1"/>
  <c r="FR62" i="1"/>
  <c r="GL62" i="1"/>
  <c r="GO62" i="1"/>
  <c r="GP62" i="1"/>
  <c r="GV62" i="1"/>
  <c r="HC62" i="1" s="1"/>
  <c r="GX62" i="1" s="1"/>
  <c r="C63" i="1"/>
  <c r="D63" i="1"/>
  <c r="I63" i="1"/>
  <c r="E184" i="6" s="1"/>
  <c r="K63" i="1"/>
  <c r="AC63" i="1"/>
  <c r="H188" i="6" s="1"/>
  <c r="AD63" i="1"/>
  <c r="AE63" i="1"/>
  <c r="AF63" i="1"/>
  <c r="AG63" i="1"/>
  <c r="AH63" i="1"/>
  <c r="CV63" i="1" s="1"/>
  <c r="U63" i="1" s="1"/>
  <c r="AI63" i="1"/>
  <c r="AJ63" i="1"/>
  <c r="CR63" i="1"/>
  <c r="Q63" i="1" s="1"/>
  <c r="K186" i="6" s="1"/>
  <c r="CU63" i="1"/>
  <c r="T63" i="1" s="1"/>
  <c r="CW63" i="1"/>
  <c r="V63" i="1" s="1"/>
  <c r="CX63" i="1"/>
  <c r="W63" i="1" s="1"/>
  <c r="FR63" i="1"/>
  <c r="GL63" i="1"/>
  <c r="GO63" i="1"/>
  <c r="GP63" i="1"/>
  <c r="GV63" i="1"/>
  <c r="HC63" i="1"/>
  <c r="GX63" i="1" s="1"/>
  <c r="I64" i="1"/>
  <c r="AC64" i="1"/>
  <c r="H192" i="6" s="1"/>
  <c r="W192" i="6" s="1"/>
  <c r="AE64" i="1"/>
  <c r="AF64" i="1"/>
  <c r="CT64" i="1" s="1"/>
  <c r="AG64" i="1"/>
  <c r="CU64" i="1" s="1"/>
  <c r="AH64" i="1"/>
  <c r="CV64" i="1" s="1"/>
  <c r="U64" i="1" s="1"/>
  <c r="AI64" i="1"/>
  <c r="CW64" i="1" s="1"/>
  <c r="AJ64" i="1"/>
  <c r="CX64" i="1" s="1"/>
  <c r="W64" i="1" s="1"/>
  <c r="FR64" i="1"/>
  <c r="GL64" i="1"/>
  <c r="GO64" i="1"/>
  <c r="GP64" i="1"/>
  <c r="GV64" i="1"/>
  <c r="HC64" i="1"/>
  <c r="I65" i="1"/>
  <c r="T65" i="1"/>
  <c r="AC65" i="1"/>
  <c r="H193" i="6" s="1"/>
  <c r="W193" i="6" s="1"/>
  <c r="AD65" i="1"/>
  <c r="AE65" i="1"/>
  <c r="AF65" i="1"/>
  <c r="AG65" i="1"/>
  <c r="CU65" i="1" s="1"/>
  <c r="AH65" i="1"/>
  <c r="CV65" i="1" s="1"/>
  <c r="U65" i="1" s="1"/>
  <c r="AI65" i="1"/>
  <c r="CW65" i="1" s="1"/>
  <c r="AJ65" i="1"/>
  <c r="CX65" i="1" s="1"/>
  <c r="CR65" i="1"/>
  <c r="CS65" i="1"/>
  <c r="FR65" i="1"/>
  <c r="GL65" i="1"/>
  <c r="GO65" i="1"/>
  <c r="GP65" i="1"/>
  <c r="GV65" i="1"/>
  <c r="HC65" i="1" s="1"/>
  <c r="GX65" i="1" s="1"/>
  <c r="I66" i="1"/>
  <c r="E194" i="6" s="1"/>
  <c r="AC66" i="1"/>
  <c r="AE66" i="1"/>
  <c r="AF66" i="1"/>
  <c r="AG66" i="1"/>
  <c r="CU66" i="1" s="1"/>
  <c r="AH66" i="1"/>
  <c r="CV66" i="1" s="1"/>
  <c r="AI66" i="1"/>
  <c r="CW66" i="1" s="1"/>
  <c r="AJ66" i="1"/>
  <c r="CX66" i="1" s="1"/>
  <c r="FR66" i="1"/>
  <c r="GL66" i="1"/>
  <c r="GO66" i="1"/>
  <c r="GP66" i="1"/>
  <c r="GV66" i="1"/>
  <c r="HC66" i="1" s="1"/>
  <c r="GX66" i="1" s="1"/>
  <c r="I67" i="1"/>
  <c r="E195" i="6" s="1"/>
  <c r="AC67" i="1"/>
  <c r="AE67" i="1"/>
  <c r="AF67" i="1"/>
  <c r="AG67" i="1"/>
  <c r="AH67" i="1"/>
  <c r="CV67" i="1" s="1"/>
  <c r="U67" i="1" s="1"/>
  <c r="AI67" i="1"/>
  <c r="CW67" i="1" s="1"/>
  <c r="V67" i="1" s="1"/>
  <c r="AJ67" i="1"/>
  <c r="CQ67" i="1"/>
  <c r="P67" i="1" s="1"/>
  <c r="CU67" i="1"/>
  <c r="CX67" i="1"/>
  <c r="W67" i="1" s="1"/>
  <c r="FR67" i="1"/>
  <c r="GL67" i="1"/>
  <c r="GO67" i="1"/>
  <c r="GP67" i="1"/>
  <c r="GV67" i="1"/>
  <c r="HC67" i="1" s="1"/>
  <c r="AC68" i="1"/>
  <c r="H197" i="6" s="1"/>
  <c r="G198" i="6" s="1"/>
  <c r="O198" i="6" s="1"/>
  <c r="AE68" i="1"/>
  <c r="CS68" i="1" s="1"/>
  <c r="R68" i="1" s="1"/>
  <c r="AF68" i="1"/>
  <c r="AG68" i="1"/>
  <c r="CU68" i="1" s="1"/>
  <c r="T68" i="1" s="1"/>
  <c r="AH68" i="1"/>
  <c r="CV68" i="1" s="1"/>
  <c r="U68" i="1" s="1"/>
  <c r="L198" i="6" s="1"/>
  <c r="Q198" i="6" s="1"/>
  <c r="AI68" i="1"/>
  <c r="AJ68" i="1"/>
  <c r="CX68" i="1" s="1"/>
  <c r="W68" i="1" s="1"/>
  <c r="CQ68" i="1"/>
  <c r="P68" i="1" s="1"/>
  <c r="CR68" i="1"/>
  <c r="Q68" i="1" s="1"/>
  <c r="CW68" i="1"/>
  <c r="V68" i="1" s="1"/>
  <c r="FR68" i="1"/>
  <c r="GL68" i="1"/>
  <c r="GO68" i="1"/>
  <c r="GP68" i="1"/>
  <c r="GV68" i="1"/>
  <c r="HC68" i="1" s="1"/>
  <c r="GX68" i="1" s="1"/>
  <c r="AC69" i="1"/>
  <c r="AE69" i="1"/>
  <c r="CS69" i="1" s="1"/>
  <c r="R69" i="1" s="1"/>
  <c r="AF69" i="1"/>
  <c r="AG69" i="1"/>
  <c r="AH69" i="1"/>
  <c r="AI69" i="1"/>
  <c r="CW69" i="1" s="1"/>
  <c r="V69" i="1" s="1"/>
  <c r="AJ69" i="1"/>
  <c r="CX69" i="1" s="1"/>
  <c r="W69" i="1" s="1"/>
  <c r="CU69" i="1"/>
  <c r="T69" i="1" s="1"/>
  <c r="CV69" i="1"/>
  <c r="U69" i="1" s="1"/>
  <c r="L200" i="6" s="1"/>
  <c r="Q200" i="6" s="1"/>
  <c r="FR69" i="1"/>
  <c r="GL69" i="1"/>
  <c r="GO69" i="1"/>
  <c r="GP69" i="1"/>
  <c r="GV69" i="1"/>
  <c r="HC69" i="1" s="1"/>
  <c r="GX69" i="1" s="1"/>
  <c r="AC70" i="1"/>
  <c r="H201" i="6" s="1"/>
  <c r="W202" i="6" s="1"/>
  <c r="AD70" i="1"/>
  <c r="AE70" i="1"/>
  <c r="CS70" i="1" s="1"/>
  <c r="R70" i="1" s="1"/>
  <c r="AF70" i="1"/>
  <c r="AG70" i="1"/>
  <c r="CU70" i="1" s="1"/>
  <c r="T70" i="1" s="1"/>
  <c r="AH70" i="1"/>
  <c r="AI70" i="1"/>
  <c r="AJ70" i="1"/>
  <c r="CX70" i="1" s="1"/>
  <c r="W70" i="1" s="1"/>
  <c r="CQ70" i="1"/>
  <c r="P70" i="1" s="1"/>
  <c r="CV70" i="1"/>
  <c r="U70" i="1" s="1"/>
  <c r="L202" i="6" s="1"/>
  <c r="Q202" i="6" s="1"/>
  <c r="CW70" i="1"/>
  <c r="V70" i="1" s="1"/>
  <c r="FR70" i="1"/>
  <c r="GL70" i="1"/>
  <c r="GO70" i="1"/>
  <c r="GP70" i="1"/>
  <c r="GV70" i="1"/>
  <c r="HC70" i="1" s="1"/>
  <c r="GX70" i="1"/>
  <c r="AC71" i="1"/>
  <c r="H203" i="6" s="1"/>
  <c r="G204" i="6" s="1"/>
  <c r="O204" i="6" s="1"/>
  <c r="AE71" i="1"/>
  <c r="CS71" i="1" s="1"/>
  <c r="R71" i="1" s="1"/>
  <c r="AF71" i="1"/>
  <c r="AG71" i="1"/>
  <c r="AH71" i="1"/>
  <c r="AI71" i="1"/>
  <c r="CW71" i="1" s="1"/>
  <c r="V71" i="1" s="1"/>
  <c r="AJ71" i="1"/>
  <c r="CX71" i="1" s="1"/>
  <c r="W71" i="1" s="1"/>
  <c r="CT71" i="1"/>
  <c r="S71" i="1" s="1"/>
  <c r="CU71" i="1"/>
  <c r="T71" i="1" s="1"/>
  <c r="CV71" i="1"/>
  <c r="U71" i="1" s="1"/>
  <c r="L204" i="6" s="1"/>
  <c r="Q204" i="6" s="1"/>
  <c r="FR71" i="1"/>
  <c r="GL71" i="1"/>
  <c r="GO71" i="1"/>
  <c r="GP71" i="1"/>
  <c r="GV71" i="1"/>
  <c r="HC71" i="1" s="1"/>
  <c r="GX71" i="1" s="1"/>
  <c r="AC72" i="1"/>
  <c r="H205" i="6" s="1"/>
  <c r="G206" i="6" s="1"/>
  <c r="O206" i="6" s="1"/>
  <c r="AD72" i="1"/>
  <c r="AE72" i="1"/>
  <c r="CS72" i="1" s="1"/>
  <c r="R72" i="1" s="1"/>
  <c r="AF72" i="1"/>
  <c r="AG72" i="1"/>
  <c r="CU72" i="1" s="1"/>
  <c r="T72" i="1" s="1"/>
  <c r="AH72" i="1"/>
  <c r="AI72" i="1"/>
  <c r="AJ72" i="1"/>
  <c r="CX72" i="1" s="1"/>
  <c r="W72" i="1" s="1"/>
  <c r="CQ72" i="1"/>
  <c r="P72" i="1" s="1"/>
  <c r="K205" i="6" s="1"/>
  <c r="J206" i="6" s="1"/>
  <c r="P206" i="6" s="1"/>
  <c r="CV72" i="1"/>
  <c r="U72" i="1" s="1"/>
  <c r="L206" i="6" s="1"/>
  <c r="Q206" i="6" s="1"/>
  <c r="CW72" i="1"/>
  <c r="V72" i="1" s="1"/>
  <c r="FR72" i="1"/>
  <c r="GL72" i="1"/>
  <c r="GO72" i="1"/>
  <c r="GP72" i="1"/>
  <c r="GV72" i="1"/>
  <c r="GX72" i="1"/>
  <c r="HC72" i="1"/>
  <c r="C73" i="1"/>
  <c r="D73" i="1"/>
  <c r="I73" i="1"/>
  <c r="E207" i="6" s="1"/>
  <c r="K73" i="1"/>
  <c r="AC73" i="1"/>
  <c r="H211" i="6" s="1"/>
  <c r="AD73" i="1"/>
  <c r="AE73" i="1"/>
  <c r="AF73" i="1"/>
  <c r="AG73" i="1"/>
  <c r="CU73" i="1" s="1"/>
  <c r="T73" i="1" s="1"/>
  <c r="AH73" i="1"/>
  <c r="CV73" i="1" s="1"/>
  <c r="U73" i="1" s="1"/>
  <c r="AI73" i="1"/>
  <c r="CW73" i="1" s="1"/>
  <c r="AJ73" i="1"/>
  <c r="CX73" i="1" s="1"/>
  <c r="CR73" i="1"/>
  <c r="CS73" i="1"/>
  <c r="CT73" i="1"/>
  <c r="FR73" i="1"/>
  <c r="GL73" i="1"/>
  <c r="GO73" i="1"/>
  <c r="GP73" i="1"/>
  <c r="GV73" i="1"/>
  <c r="HC73" i="1" s="1"/>
  <c r="GX73" i="1" s="1"/>
  <c r="K74" i="1"/>
  <c r="AC74" i="1"/>
  <c r="AD74" i="1"/>
  <c r="AE74" i="1"/>
  <c r="CS74" i="1" s="1"/>
  <c r="AF74" i="1"/>
  <c r="AG74" i="1"/>
  <c r="CU74" i="1" s="1"/>
  <c r="AH74" i="1"/>
  <c r="CV74" i="1" s="1"/>
  <c r="AI74" i="1"/>
  <c r="AJ74" i="1"/>
  <c r="CX74" i="1" s="1"/>
  <c r="CR74" i="1"/>
  <c r="CT74" i="1"/>
  <c r="CW74" i="1"/>
  <c r="FR74" i="1"/>
  <c r="GL74" i="1"/>
  <c r="GO74" i="1"/>
  <c r="GP74" i="1"/>
  <c r="GV74" i="1"/>
  <c r="HC74" i="1" s="1"/>
  <c r="C75" i="1"/>
  <c r="D75" i="1"/>
  <c r="I75" i="1"/>
  <c r="Q75" i="1" s="1"/>
  <c r="K220" i="6" s="1"/>
  <c r="K75" i="1"/>
  <c r="AC75" i="1"/>
  <c r="AD75" i="1"/>
  <c r="AE75" i="1"/>
  <c r="AF75" i="1"/>
  <c r="AG75" i="1"/>
  <c r="CU75" i="1" s="1"/>
  <c r="T75" i="1" s="1"/>
  <c r="AH75" i="1"/>
  <c r="CV75" i="1" s="1"/>
  <c r="AI75" i="1"/>
  <c r="CW75" i="1" s="1"/>
  <c r="AJ75" i="1"/>
  <c r="CR75" i="1"/>
  <c r="CS75" i="1"/>
  <c r="CX75" i="1"/>
  <c r="W75" i="1" s="1"/>
  <c r="FR75" i="1"/>
  <c r="GL75" i="1"/>
  <c r="GO75" i="1"/>
  <c r="GP75" i="1"/>
  <c r="GV75" i="1"/>
  <c r="HC75" i="1" s="1"/>
  <c r="AC76" i="1"/>
  <c r="AD76" i="1"/>
  <c r="AE76" i="1"/>
  <c r="CR76" i="1" s="1"/>
  <c r="AF76" i="1"/>
  <c r="AG76" i="1"/>
  <c r="CU76" i="1" s="1"/>
  <c r="AH76" i="1"/>
  <c r="AI76" i="1"/>
  <c r="CW76" i="1" s="1"/>
  <c r="AJ76" i="1"/>
  <c r="CX76" i="1" s="1"/>
  <c r="CQ76" i="1"/>
  <c r="CV76" i="1"/>
  <c r="FR76" i="1"/>
  <c r="GL76" i="1"/>
  <c r="GO76" i="1"/>
  <c r="GP76" i="1"/>
  <c r="GV76" i="1"/>
  <c r="HC76" i="1" s="1"/>
  <c r="K77" i="1"/>
  <c r="AC77" i="1"/>
  <c r="AE77" i="1"/>
  <c r="CS77" i="1" s="1"/>
  <c r="AF77" i="1"/>
  <c r="AG77" i="1"/>
  <c r="CU77" i="1" s="1"/>
  <c r="AH77" i="1"/>
  <c r="CV77" i="1" s="1"/>
  <c r="AI77" i="1"/>
  <c r="CW77" i="1" s="1"/>
  <c r="AJ77" i="1"/>
  <c r="CX77" i="1" s="1"/>
  <c r="CT77" i="1"/>
  <c r="FR77" i="1"/>
  <c r="GL77" i="1"/>
  <c r="GO77" i="1"/>
  <c r="GP77" i="1"/>
  <c r="GV77" i="1"/>
  <c r="HC77" i="1" s="1"/>
  <c r="AC78" i="1"/>
  <c r="AE78" i="1"/>
  <c r="AD78" i="1" s="1"/>
  <c r="AF78" i="1"/>
  <c r="AG78" i="1"/>
  <c r="CU78" i="1" s="1"/>
  <c r="AH78" i="1"/>
  <c r="CV78" i="1" s="1"/>
  <c r="AI78" i="1"/>
  <c r="AJ78" i="1"/>
  <c r="CX78" i="1" s="1"/>
  <c r="CR78" i="1"/>
  <c r="CS78" i="1"/>
  <c r="CW78" i="1"/>
  <c r="FR78" i="1"/>
  <c r="GL78" i="1"/>
  <c r="GO78" i="1"/>
  <c r="GP78" i="1"/>
  <c r="GV78" i="1"/>
  <c r="HC78" i="1"/>
  <c r="C79" i="1"/>
  <c r="D79" i="1"/>
  <c r="I79" i="1"/>
  <c r="Q79" i="1" s="1"/>
  <c r="K239" i="6" s="1"/>
  <c r="K79" i="1"/>
  <c r="W79" i="1"/>
  <c r="AC79" i="1"/>
  <c r="AD79" i="1"/>
  <c r="AE79" i="1"/>
  <c r="AF79" i="1"/>
  <c r="AG79" i="1"/>
  <c r="CU79" i="1" s="1"/>
  <c r="T79" i="1" s="1"/>
  <c r="AH79" i="1"/>
  <c r="AI79" i="1"/>
  <c r="CW79" i="1" s="1"/>
  <c r="V79" i="1" s="1"/>
  <c r="AJ79" i="1"/>
  <c r="CX79" i="1" s="1"/>
  <c r="CR79" i="1"/>
  <c r="CS79" i="1"/>
  <c r="R79" i="1" s="1"/>
  <c r="K240" i="6" s="1"/>
  <c r="CT79" i="1"/>
  <c r="S79" i="1" s="1"/>
  <c r="CV79" i="1"/>
  <c r="U79" i="1" s="1"/>
  <c r="FR79" i="1"/>
  <c r="GL79" i="1"/>
  <c r="GO79" i="1"/>
  <c r="GP79" i="1"/>
  <c r="GV79" i="1"/>
  <c r="HC79" i="1" s="1"/>
  <c r="GX79" i="1" s="1"/>
  <c r="AC80" i="1"/>
  <c r="AE80" i="1"/>
  <c r="AF80" i="1"/>
  <c r="AG80" i="1"/>
  <c r="AH80" i="1"/>
  <c r="CV80" i="1" s="1"/>
  <c r="AI80" i="1"/>
  <c r="CW80" i="1" s="1"/>
  <c r="AJ80" i="1"/>
  <c r="CX80" i="1" s="1"/>
  <c r="CU80" i="1"/>
  <c r="FR80" i="1"/>
  <c r="GL80" i="1"/>
  <c r="GO80" i="1"/>
  <c r="GP80" i="1"/>
  <c r="GV80" i="1"/>
  <c r="HC80" i="1" s="1"/>
  <c r="C81" i="1"/>
  <c r="D81" i="1"/>
  <c r="I81" i="1"/>
  <c r="I84" i="1" s="1"/>
  <c r="E259" i="6" s="1"/>
  <c r="K81" i="1"/>
  <c r="Q81" i="1"/>
  <c r="K251" i="6" s="1"/>
  <c r="V81" i="1"/>
  <c r="AC81" i="1"/>
  <c r="AD81" i="1"/>
  <c r="AE81" i="1"/>
  <c r="CS81" i="1" s="1"/>
  <c r="R81" i="1" s="1"/>
  <c r="K252" i="6" s="1"/>
  <c r="AF81" i="1"/>
  <c r="AG81" i="1"/>
  <c r="AH81" i="1"/>
  <c r="CV81" i="1" s="1"/>
  <c r="U81" i="1" s="1"/>
  <c r="AI81" i="1"/>
  <c r="CW81" i="1" s="1"/>
  <c r="AJ81" i="1"/>
  <c r="CR81" i="1"/>
  <c r="CU81" i="1"/>
  <c r="T81" i="1" s="1"/>
  <c r="CX81" i="1"/>
  <c r="W81" i="1" s="1"/>
  <c r="FR81" i="1"/>
  <c r="GL81" i="1"/>
  <c r="GO81" i="1"/>
  <c r="GP81" i="1"/>
  <c r="GV81" i="1"/>
  <c r="HC81" i="1" s="1"/>
  <c r="GX81" i="1" s="1"/>
  <c r="AC82" i="1"/>
  <c r="AE82" i="1"/>
  <c r="AF82" i="1"/>
  <c r="AG82" i="1"/>
  <c r="CU82" i="1" s="1"/>
  <c r="AH82" i="1"/>
  <c r="CV82" i="1" s="1"/>
  <c r="AI82" i="1"/>
  <c r="AJ82" i="1"/>
  <c r="CW82" i="1"/>
  <c r="CX82" i="1"/>
  <c r="FR82" i="1"/>
  <c r="GL82" i="1"/>
  <c r="GO82" i="1"/>
  <c r="GP82" i="1"/>
  <c r="GV82" i="1"/>
  <c r="HC82" i="1" s="1"/>
  <c r="I83" i="1"/>
  <c r="E258" i="6" s="1"/>
  <c r="AC83" i="1"/>
  <c r="AD83" i="1"/>
  <c r="AB83" i="1" s="1"/>
  <c r="AE83" i="1"/>
  <c r="AF83" i="1"/>
  <c r="AG83" i="1"/>
  <c r="CU83" i="1" s="1"/>
  <c r="T83" i="1" s="1"/>
  <c r="AH83" i="1"/>
  <c r="CV83" i="1" s="1"/>
  <c r="AI83" i="1"/>
  <c r="CW83" i="1" s="1"/>
  <c r="AJ83" i="1"/>
  <c r="CX83" i="1" s="1"/>
  <c r="CQ83" i="1"/>
  <c r="P83" i="1" s="1"/>
  <c r="CR83" i="1"/>
  <c r="Q83" i="1" s="1"/>
  <c r="CS83" i="1"/>
  <c r="R83" i="1" s="1"/>
  <c r="FR83" i="1"/>
  <c r="GL83" i="1"/>
  <c r="GO83" i="1"/>
  <c r="GP83" i="1"/>
  <c r="GV83" i="1"/>
  <c r="HC83" i="1" s="1"/>
  <c r="W84" i="1"/>
  <c r="AC84" i="1"/>
  <c r="AE84" i="1"/>
  <c r="CS84" i="1" s="1"/>
  <c r="AF84" i="1"/>
  <c r="AG84" i="1"/>
  <c r="AH84" i="1"/>
  <c r="CV84" i="1" s="1"/>
  <c r="AI84" i="1"/>
  <c r="CW84" i="1" s="1"/>
  <c r="AJ84" i="1"/>
  <c r="CX84" i="1" s="1"/>
  <c r="CU84" i="1"/>
  <c r="T84" i="1" s="1"/>
  <c r="FR84" i="1"/>
  <c r="GL84" i="1"/>
  <c r="GO84" i="1"/>
  <c r="GP84" i="1"/>
  <c r="GV84" i="1"/>
  <c r="HC84" i="1" s="1"/>
  <c r="I85" i="1"/>
  <c r="E260" i="6" s="1"/>
  <c r="AC85" i="1"/>
  <c r="AE85" i="1"/>
  <c r="AF85" i="1"/>
  <c r="AG85" i="1"/>
  <c r="AH85" i="1"/>
  <c r="CV85" i="1" s="1"/>
  <c r="AI85" i="1"/>
  <c r="CW85" i="1" s="1"/>
  <c r="V85" i="1" s="1"/>
  <c r="AJ85" i="1"/>
  <c r="CX85" i="1" s="1"/>
  <c r="CT85" i="1"/>
  <c r="CU85" i="1"/>
  <c r="FR85" i="1"/>
  <c r="GL85" i="1"/>
  <c r="GO85" i="1"/>
  <c r="GP85" i="1"/>
  <c r="GV85" i="1"/>
  <c r="HC85" i="1" s="1"/>
  <c r="GX85" i="1" s="1"/>
  <c r="AC86" i="1"/>
  <c r="AD86" i="1"/>
  <c r="AE86" i="1"/>
  <c r="CR86" i="1" s="1"/>
  <c r="AF86" i="1"/>
  <c r="AG86" i="1"/>
  <c r="CU86" i="1" s="1"/>
  <c r="AH86" i="1"/>
  <c r="CV86" i="1" s="1"/>
  <c r="AI86" i="1"/>
  <c r="CW86" i="1" s="1"/>
  <c r="AJ86" i="1"/>
  <c r="CS86" i="1"/>
  <c r="CX86" i="1"/>
  <c r="FR86" i="1"/>
  <c r="GL86" i="1"/>
  <c r="GO86" i="1"/>
  <c r="GP86" i="1"/>
  <c r="GV86" i="1"/>
  <c r="HC86" i="1" s="1"/>
  <c r="AC87" i="1"/>
  <c r="H263" i="6" s="1"/>
  <c r="AE87" i="1"/>
  <c r="AD87" i="1" s="1"/>
  <c r="AF87" i="1"/>
  <c r="AG87" i="1"/>
  <c r="AH87" i="1"/>
  <c r="AI87" i="1"/>
  <c r="CW87" i="1" s="1"/>
  <c r="V87" i="1" s="1"/>
  <c r="AJ87" i="1"/>
  <c r="CX87" i="1" s="1"/>
  <c r="W87" i="1" s="1"/>
  <c r="CQ87" i="1"/>
  <c r="P87" i="1" s="1"/>
  <c r="K263" i="6" s="1"/>
  <c r="J264" i="6" s="1"/>
  <c r="P264" i="6" s="1"/>
  <c r="CR87" i="1"/>
  <c r="Q87" i="1" s="1"/>
  <c r="CT87" i="1"/>
  <c r="S87" i="1" s="1"/>
  <c r="CU87" i="1"/>
  <c r="T87" i="1" s="1"/>
  <c r="CV87" i="1"/>
  <c r="U87" i="1" s="1"/>
  <c r="L264" i="6" s="1"/>
  <c r="Q264" i="6" s="1"/>
  <c r="FR87" i="1"/>
  <c r="GL87" i="1"/>
  <c r="GO87" i="1"/>
  <c r="GP87" i="1"/>
  <c r="GV87" i="1"/>
  <c r="HC87" i="1"/>
  <c r="GX87" i="1" s="1"/>
  <c r="Q88" i="1"/>
  <c r="AC88" i="1"/>
  <c r="AD88" i="1"/>
  <c r="AE88" i="1"/>
  <c r="CS88" i="1" s="1"/>
  <c r="R88" i="1" s="1"/>
  <c r="AF88" i="1"/>
  <c r="AG88" i="1"/>
  <c r="AH88" i="1"/>
  <c r="AI88" i="1"/>
  <c r="CW88" i="1" s="1"/>
  <c r="V88" i="1" s="1"/>
  <c r="AJ88" i="1"/>
  <c r="CX88" i="1" s="1"/>
  <c r="W88" i="1" s="1"/>
  <c r="CR88" i="1"/>
  <c r="CT88" i="1"/>
  <c r="S88" i="1" s="1"/>
  <c r="CU88" i="1"/>
  <c r="T88" i="1" s="1"/>
  <c r="CV88" i="1"/>
  <c r="U88" i="1" s="1"/>
  <c r="L266" i="6" s="1"/>
  <c r="Q266" i="6" s="1"/>
  <c r="FR88" i="1"/>
  <c r="GL88" i="1"/>
  <c r="GO88" i="1"/>
  <c r="GP88" i="1"/>
  <c r="GV88" i="1"/>
  <c r="HC88" i="1" s="1"/>
  <c r="GX88" i="1" s="1"/>
  <c r="C89" i="1"/>
  <c r="D89" i="1"/>
  <c r="I89" i="1"/>
  <c r="E267" i="6" s="1"/>
  <c r="K89" i="1"/>
  <c r="AC89" i="1"/>
  <c r="AE89" i="1"/>
  <c r="AF89" i="1"/>
  <c r="AG89" i="1"/>
  <c r="CU89" i="1" s="1"/>
  <c r="T89" i="1" s="1"/>
  <c r="AH89" i="1"/>
  <c r="CV89" i="1" s="1"/>
  <c r="U89" i="1" s="1"/>
  <c r="AI89" i="1"/>
  <c r="CW89" i="1" s="1"/>
  <c r="AJ89" i="1"/>
  <c r="CQ89" i="1"/>
  <c r="CR89" i="1"/>
  <c r="Q89" i="1" s="1"/>
  <c r="K269" i="6" s="1"/>
  <c r="CT89" i="1"/>
  <c r="CX89" i="1"/>
  <c r="FR89" i="1"/>
  <c r="GL89" i="1"/>
  <c r="GO89" i="1"/>
  <c r="GP89" i="1"/>
  <c r="GV89" i="1"/>
  <c r="HC89" i="1" s="1"/>
  <c r="GX89" i="1" s="1"/>
  <c r="Q90" i="1"/>
  <c r="R90" i="1"/>
  <c r="AC90" i="1"/>
  <c r="AE90" i="1"/>
  <c r="AD90" i="1" s="1"/>
  <c r="AF90" i="1"/>
  <c r="AG90" i="1"/>
  <c r="CU90" i="1" s="1"/>
  <c r="T90" i="1" s="1"/>
  <c r="AH90" i="1"/>
  <c r="AI90" i="1"/>
  <c r="AJ90" i="1"/>
  <c r="CX90" i="1" s="1"/>
  <c r="W90" i="1" s="1"/>
  <c r="CR90" i="1"/>
  <c r="CS90" i="1"/>
  <c r="CT90" i="1"/>
  <c r="S90" i="1" s="1"/>
  <c r="CV90" i="1"/>
  <c r="U90" i="1" s="1"/>
  <c r="L277" i="6" s="1"/>
  <c r="Q277" i="6" s="1"/>
  <c r="CW90" i="1"/>
  <c r="V90" i="1" s="1"/>
  <c r="FR90" i="1"/>
  <c r="GL90" i="1"/>
  <c r="GO90" i="1"/>
  <c r="GP90" i="1"/>
  <c r="GV90" i="1"/>
  <c r="HC90" i="1"/>
  <c r="GX90" i="1" s="1"/>
  <c r="AC91" i="1"/>
  <c r="AE91" i="1"/>
  <c r="AF91" i="1"/>
  <c r="AG91" i="1"/>
  <c r="AH91" i="1"/>
  <c r="AI91" i="1"/>
  <c r="CW91" i="1" s="1"/>
  <c r="V91" i="1" s="1"/>
  <c r="AJ91" i="1"/>
  <c r="CX91" i="1" s="1"/>
  <c r="W91" i="1" s="1"/>
  <c r="CU91" i="1"/>
  <c r="T91" i="1" s="1"/>
  <c r="CV91" i="1"/>
  <c r="U91" i="1" s="1"/>
  <c r="L279" i="6" s="1"/>
  <c r="Q279" i="6" s="1"/>
  <c r="FR91" i="1"/>
  <c r="GL91" i="1"/>
  <c r="GO91" i="1"/>
  <c r="GP91" i="1"/>
  <c r="GV91" i="1"/>
  <c r="HC91" i="1"/>
  <c r="GX91" i="1" s="1"/>
  <c r="AC92" i="1"/>
  <c r="AE92" i="1"/>
  <c r="AD92" i="1" s="1"/>
  <c r="AF92" i="1"/>
  <c r="AG92" i="1"/>
  <c r="CU92" i="1" s="1"/>
  <c r="T92" i="1" s="1"/>
  <c r="AH92" i="1"/>
  <c r="CV92" i="1" s="1"/>
  <c r="U92" i="1" s="1"/>
  <c r="L281" i="6" s="1"/>
  <c r="Q281" i="6" s="1"/>
  <c r="AI92" i="1"/>
  <c r="CW92" i="1" s="1"/>
  <c r="V92" i="1" s="1"/>
  <c r="AJ92" i="1"/>
  <c r="CX92" i="1" s="1"/>
  <c r="W92" i="1" s="1"/>
  <c r="CT92" i="1"/>
  <c r="S92" i="1" s="1"/>
  <c r="FR92" i="1"/>
  <c r="GL92" i="1"/>
  <c r="GO92" i="1"/>
  <c r="GP92" i="1"/>
  <c r="GV92" i="1"/>
  <c r="HC92" i="1"/>
  <c r="GX92" i="1" s="1"/>
  <c r="AC93" i="1"/>
  <c r="AE93" i="1"/>
  <c r="AD93" i="1" s="1"/>
  <c r="AF93" i="1"/>
  <c r="AG93" i="1"/>
  <c r="CU93" i="1" s="1"/>
  <c r="T93" i="1" s="1"/>
  <c r="AH93" i="1"/>
  <c r="CV93" i="1" s="1"/>
  <c r="U93" i="1" s="1"/>
  <c r="L283" i="6" s="1"/>
  <c r="Q283" i="6" s="1"/>
  <c r="AI93" i="1"/>
  <c r="CW93" i="1" s="1"/>
  <c r="V93" i="1" s="1"/>
  <c r="AJ93" i="1"/>
  <c r="CX93" i="1" s="1"/>
  <c r="W93" i="1" s="1"/>
  <c r="CR93" i="1"/>
  <c r="Q93" i="1" s="1"/>
  <c r="CT93" i="1"/>
  <c r="S93" i="1" s="1"/>
  <c r="FR93" i="1"/>
  <c r="GL93" i="1"/>
  <c r="GO93" i="1"/>
  <c r="GP93" i="1"/>
  <c r="GV93" i="1"/>
  <c r="GX93" i="1"/>
  <c r="HC93" i="1"/>
  <c r="S94" i="1"/>
  <c r="AC94" i="1"/>
  <c r="AE94" i="1"/>
  <c r="AF94" i="1"/>
  <c r="AG94" i="1"/>
  <c r="AH94" i="1"/>
  <c r="CV94" i="1" s="1"/>
  <c r="U94" i="1" s="1"/>
  <c r="L285" i="6" s="1"/>
  <c r="Q285" i="6" s="1"/>
  <c r="AI94" i="1"/>
  <c r="CW94" i="1" s="1"/>
  <c r="V94" i="1" s="1"/>
  <c r="AJ94" i="1"/>
  <c r="CX94" i="1" s="1"/>
  <c r="W94" i="1" s="1"/>
  <c r="CT94" i="1"/>
  <c r="CU94" i="1"/>
  <c r="T94" i="1" s="1"/>
  <c r="FR94" i="1"/>
  <c r="GL94" i="1"/>
  <c r="GO94" i="1"/>
  <c r="GP94" i="1"/>
  <c r="GV94" i="1"/>
  <c r="HC94" i="1" s="1"/>
  <c r="GX94" i="1" s="1"/>
  <c r="C95" i="1"/>
  <c r="D95" i="1"/>
  <c r="I95" i="1"/>
  <c r="K95" i="1"/>
  <c r="AC95" i="1"/>
  <c r="AE95" i="1"/>
  <c r="AF95" i="1"/>
  <c r="AG95" i="1"/>
  <c r="CU95" i="1" s="1"/>
  <c r="T95" i="1" s="1"/>
  <c r="AH95" i="1"/>
  <c r="AI95" i="1"/>
  <c r="CW95" i="1" s="1"/>
  <c r="AJ95" i="1"/>
  <c r="CX95" i="1" s="1"/>
  <c r="W95" i="1" s="1"/>
  <c r="CR95" i="1"/>
  <c r="CV95" i="1"/>
  <c r="U95" i="1" s="1"/>
  <c r="FR95" i="1"/>
  <c r="GL95" i="1"/>
  <c r="GO95" i="1"/>
  <c r="GP95" i="1"/>
  <c r="GV95" i="1"/>
  <c r="HC95" i="1" s="1"/>
  <c r="GX95" i="1" s="1"/>
  <c r="AC96" i="1"/>
  <c r="AE96" i="1"/>
  <c r="CS96" i="1" s="1"/>
  <c r="AF96" i="1"/>
  <c r="AG96" i="1"/>
  <c r="CU96" i="1" s="1"/>
  <c r="AH96" i="1"/>
  <c r="CV96" i="1" s="1"/>
  <c r="AI96" i="1"/>
  <c r="AJ96" i="1"/>
  <c r="CX96" i="1" s="1"/>
  <c r="CR96" i="1"/>
  <c r="CT96" i="1"/>
  <c r="CW96" i="1"/>
  <c r="FR96" i="1"/>
  <c r="GL96" i="1"/>
  <c r="GO96" i="1"/>
  <c r="GP96" i="1"/>
  <c r="GV96" i="1"/>
  <c r="HC96" i="1" s="1"/>
  <c r="C97" i="1"/>
  <c r="D97" i="1"/>
  <c r="I97" i="1"/>
  <c r="K97" i="1"/>
  <c r="AC97" i="1"/>
  <c r="AE97" i="1"/>
  <c r="AF97" i="1"/>
  <c r="AG97" i="1"/>
  <c r="CU97" i="1" s="1"/>
  <c r="AH97" i="1"/>
  <c r="AI97" i="1"/>
  <c r="CW97" i="1" s="1"/>
  <c r="AJ97" i="1"/>
  <c r="CR97" i="1"/>
  <c r="CV97" i="1"/>
  <c r="CX97" i="1"/>
  <c r="FR97" i="1"/>
  <c r="GL97" i="1"/>
  <c r="GO97" i="1"/>
  <c r="GP97" i="1"/>
  <c r="GV97" i="1"/>
  <c r="HC97" i="1" s="1"/>
  <c r="AC98" i="1"/>
  <c r="AE98" i="1"/>
  <c r="AD98" i="1" s="1"/>
  <c r="AF98" i="1"/>
  <c r="AG98" i="1"/>
  <c r="AH98" i="1"/>
  <c r="CV98" i="1" s="1"/>
  <c r="AI98" i="1"/>
  <c r="CW98" i="1" s="1"/>
  <c r="AJ98" i="1"/>
  <c r="CX98" i="1" s="1"/>
  <c r="CQ98" i="1"/>
  <c r="CS98" i="1"/>
  <c r="CT98" i="1"/>
  <c r="CU98" i="1"/>
  <c r="FR98" i="1"/>
  <c r="GL98" i="1"/>
  <c r="GO98" i="1"/>
  <c r="GP98" i="1"/>
  <c r="GV98" i="1"/>
  <c r="HC98" i="1"/>
  <c r="AC99" i="1"/>
  <c r="H309" i="6" s="1"/>
  <c r="G310" i="6" s="1"/>
  <c r="O310" i="6" s="1"/>
  <c r="AE99" i="1"/>
  <c r="AD99" i="1" s="1"/>
  <c r="AF99" i="1"/>
  <c r="AG99" i="1"/>
  <c r="CU99" i="1" s="1"/>
  <c r="T99" i="1" s="1"/>
  <c r="AH99" i="1"/>
  <c r="CV99" i="1" s="1"/>
  <c r="U99" i="1" s="1"/>
  <c r="L310" i="6" s="1"/>
  <c r="Q310" i="6" s="1"/>
  <c r="AI99" i="1"/>
  <c r="CW99" i="1" s="1"/>
  <c r="V99" i="1" s="1"/>
  <c r="AJ99" i="1"/>
  <c r="CX99" i="1" s="1"/>
  <c r="W99" i="1" s="1"/>
  <c r="CR99" i="1"/>
  <c r="Q99" i="1" s="1"/>
  <c r="CS99" i="1"/>
  <c r="R99" i="1" s="1"/>
  <c r="FR99" i="1"/>
  <c r="GL99" i="1"/>
  <c r="GO99" i="1"/>
  <c r="GP99" i="1"/>
  <c r="GV99" i="1"/>
  <c r="HC99" i="1" s="1"/>
  <c r="GX99" i="1" s="1"/>
  <c r="AC100" i="1"/>
  <c r="AE100" i="1"/>
  <c r="AD100" i="1" s="1"/>
  <c r="AB100" i="1" s="1"/>
  <c r="AF100" i="1"/>
  <c r="AG100" i="1"/>
  <c r="AH100" i="1"/>
  <c r="CV100" i="1" s="1"/>
  <c r="U100" i="1" s="1"/>
  <c r="L312" i="6" s="1"/>
  <c r="Q312" i="6" s="1"/>
  <c r="AI100" i="1"/>
  <c r="CW100" i="1" s="1"/>
  <c r="V100" i="1" s="1"/>
  <c r="AJ100" i="1"/>
  <c r="CX100" i="1" s="1"/>
  <c r="W100" i="1" s="1"/>
  <c r="CT100" i="1"/>
  <c r="S100" i="1" s="1"/>
  <c r="CU100" i="1"/>
  <c r="T100" i="1" s="1"/>
  <c r="FR100" i="1"/>
  <c r="GL100" i="1"/>
  <c r="GO100" i="1"/>
  <c r="GP100" i="1"/>
  <c r="GV100" i="1"/>
  <c r="HC100" i="1" s="1"/>
  <c r="GX100" i="1" s="1"/>
  <c r="C101" i="1"/>
  <c r="D101" i="1"/>
  <c r="I101" i="1"/>
  <c r="K101" i="1"/>
  <c r="AC101" i="1"/>
  <c r="AE101" i="1"/>
  <c r="CS101" i="1" s="1"/>
  <c r="R101" i="1" s="1"/>
  <c r="K317" i="6" s="1"/>
  <c r="AF101" i="1"/>
  <c r="AG101" i="1"/>
  <c r="AH101" i="1"/>
  <c r="AI101" i="1"/>
  <c r="CW101" i="1" s="1"/>
  <c r="V101" i="1" s="1"/>
  <c r="AJ101" i="1"/>
  <c r="CX101" i="1" s="1"/>
  <c r="W101" i="1" s="1"/>
  <c r="CU101" i="1"/>
  <c r="T101" i="1" s="1"/>
  <c r="CV101" i="1"/>
  <c r="U101" i="1" s="1"/>
  <c r="FR101" i="1"/>
  <c r="GL101" i="1"/>
  <c r="GO101" i="1"/>
  <c r="GP101" i="1"/>
  <c r="GV101" i="1"/>
  <c r="HC101" i="1" s="1"/>
  <c r="AC102" i="1"/>
  <c r="AE102" i="1"/>
  <c r="AD102" i="1" s="1"/>
  <c r="AF102" i="1"/>
  <c r="AG102" i="1"/>
  <c r="AH102" i="1"/>
  <c r="CV102" i="1" s="1"/>
  <c r="AI102" i="1"/>
  <c r="CW102" i="1" s="1"/>
  <c r="AJ102" i="1"/>
  <c r="CX102" i="1" s="1"/>
  <c r="CU102" i="1"/>
  <c r="FR102" i="1"/>
  <c r="GL102" i="1"/>
  <c r="GO102" i="1"/>
  <c r="GP102" i="1"/>
  <c r="GV102" i="1"/>
  <c r="HC102" i="1" s="1"/>
  <c r="AC103" i="1"/>
  <c r="AD103" i="1"/>
  <c r="AE103" i="1"/>
  <c r="CR103" i="1" s="1"/>
  <c r="AF103" i="1"/>
  <c r="AG103" i="1"/>
  <c r="AH103" i="1"/>
  <c r="CV103" i="1" s="1"/>
  <c r="AI103" i="1"/>
  <c r="CW103" i="1" s="1"/>
  <c r="AJ103" i="1"/>
  <c r="CX103" i="1" s="1"/>
  <c r="CQ103" i="1"/>
  <c r="CS103" i="1"/>
  <c r="CU103" i="1"/>
  <c r="FR103" i="1"/>
  <c r="GL103" i="1"/>
  <c r="GO103" i="1"/>
  <c r="GP103" i="1"/>
  <c r="GV103" i="1"/>
  <c r="HC103" i="1" s="1"/>
  <c r="I104" i="1"/>
  <c r="K104" i="1"/>
  <c r="AC104" i="1"/>
  <c r="H327" i="6" s="1"/>
  <c r="AE104" i="1"/>
  <c r="CR104" i="1" s="1"/>
  <c r="Q104" i="1" s="1"/>
  <c r="AF104" i="1"/>
  <c r="AG104" i="1"/>
  <c r="AH104" i="1"/>
  <c r="CV104" i="1" s="1"/>
  <c r="U104" i="1" s="1"/>
  <c r="L329" i="6" s="1"/>
  <c r="Q329" i="6" s="1"/>
  <c r="AI104" i="1"/>
  <c r="CW104" i="1" s="1"/>
  <c r="V104" i="1" s="1"/>
  <c r="AJ104" i="1"/>
  <c r="CX104" i="1" s="1"/>
  <c r="W104" i="1" s="1"/>
  <c r="CQ104" i="1"/>
  <c r="P104" i="1" s="1"/>
  <c r="K327" i="6" s="1"/>
  <c r="J329" i="6" s="1"/>
  <c r="P329" i="6" s="1"/>
  <c r="CT104" i="1"/>
  <c r="CU104" i="1"/>
  <c r="T104" i="1" s="1"/>
  <c r="FR104" i="1"/>
  <c r="GL104" i="1"/>
  <c r="GO104" i="1"/>
  <c r="GP104" i="1"/>
  <c r="GV104" i="1"/>
  <c r="HC104" i="1"/>
  <c r="GX104" i="1" s="1"/>
  <c r="I105" i="1"/>
  <c r="AC105" i="1"/>
  <c r="AE105" i="1"/>
  <c r="CS105" i="1" s="1"/>
  <c r="R105" i="1" s="1"/>
  <c r="AF105" i="1"/>
  <c r="AG105" i="1"/>
  <c r="AH105" i="1"/>
  <c r="CV105" i="1" s="1"/>
  <c r="U105" i="1" s="1"/>
  <c r="L332" i="6" s="1"/>
  <c r="Q332" i="6" s="1"/>
  <c r="AI105" i="1"/>
  <c r="CW105" i="1" s="1"/>
  <c r="AJ105" i="1"/>
  <c r="CX105" i="1" s="1"/>
  <c r="CQ105" i="1"/>
  <c r="CU105" i="1"/>
  <c r="FR105" i="1"/>
  <c r="GL105" i="1"/>
  <c r="GO105" i="1"/>
  <c r="GP105" i="1"/>
  <c r="GV105" i="1"/>
  <c r="HC105" i="1" s="1"/>
  <c r="B107" i="1"/>
  <c r="B26" i="1" s="1"/>
  <c r="C107" i="1"/>
  <c r="C26" i="1" s="1"/>
  <c r="D107" i="1"/>
  <c r="D26" i="1" s="1"/>
  <c r="F107" i="1"/>
  <c r="F26" i="1" s="1"/>
  <c r="G107" i="1"/>
  <c r="BX107" i="1"/>
  <c r="CK107" i="1"/>
  <c r="CK26" i="1" s="1"/>
  <c r="CL107" i="1"/>
  <c r="CL26" i="1" s="1"/>
  <c r="CM107" i="1"/>
  <c r="CM26" i="1" s="1"/>
  <c r="D137" i="1"/>
  <c r="E139" i="1"/>
  <c r="Z139" i="1"/>
  <c r="AA139" i="1"/>
  <c r="AM139" i="1"/>
  <c r="AN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DB139" i="1"/>
  <c r="DC139" i="1"/>
  <c r="DD139" i="1"/>
  <c r="DE139" i="1"/>
  <c r="DF139" i="1"/>
  <c r="DG139" i="1"/>
  <c r="DH139" i="1"/>
  <c r="DI139" i="1"/>
  <c r="DJ139" i="1"/>
  <c r="DK139" i="1"/>
  <c r="DL139" i="1"/>
  <c r="DM139" i="1"/>
  <c r="DN139" i="1"/>
  <c r="DO139" i="1"/>
  <c r="DP139" i="1"/>
  <c r="DQ139" i="1"/>
  <c r="DR139" i="1"/>
  <c r="DS139" i="1"/>
  <c r="DT139" i="1"/>
  <c r="DU139" i="1"/>
  <c r="DV139" i="1"/>
  <c r="DW139" i="1"/>
  <c r="DX139" i="1"/>
  <c r="DY139" i="1"/>
  <c r="DZ139" i="1"/>
  <c r="EA139" i="1"/>
  <c r="EB139" i="1"/>
  <c r="EC139" i="1"/>
  <c r="ED139" i="1"/>
  <c r="EE139" i="1"/>
  <c r="EF139" i="1"/>
  <c r="EG139" i="1"/>
  <c r="EH139" i="1"/>
  <c r="EI139" i="1"/>
  <c r="EJ139" i="1"/>
  <c r="EK139" i="1"/>
  <c r="EL139" i="1"/>
  <c r="EM139" i="1"/>
  <c r="EN139" i="1"/>
  <c r="EO139" i="1"/>
  <c r="EP139" i="1"/>
  <c r="EQ139" i="1"/>
  <c r="ER139" i="1"/>
  <c r="ES139" i="1"/>
  <c r="ET139" i="1"/>
  <c r="EU139" i="1"/>
  <c r="EV139" i="1"/>
  <c r="EW139" i="1"/>
  <c r="EX139" i="1"/>
  <c r="EY139" i="1"/>
  <c r="EZ139" i="1"/>
  <c r="FA139" i="1"/>
  <c r="FB139" i="1"/>
  <c r="FC139" i="1"/>
  <c r="FD139" i="1"/>
  <c r="FE139" i="1"/>
  <c r="FF139" i="1"/>
  <c r="FG139" i="1"/>
  <c r="FH139" i="1"/>
  <c r="FI139" i="1"/>
  <c r="FJ139" i="1"/>
  <c r="FK139" i="1"/>
  <c r="FL139" i="1"/>
  <c r="FM139" i="1"/>
  <c r="FN139" i="1"/>
  <c r="FO139" i="1"/>
  <c r="FP139" i="1"/>
  <c r="FQ139" i="1"/>
  <c r="FR139" i="1"/>
  <c r="FS139" i="1"/>
  <c r="FT139" i="1"/>
  <c r="FU139" i="1"/>
  <c r="FV139" i="1"/>
  <c r="FW139" i="1"/>
  <c r="FX139" i="1"/>
  <c r="FY139" i="1"/>
  <c r="FZ139" i="1"/>
  <c r="GA139" i="1"/>
  <c r="GB139" i="1"/>
  <c r="GC139" i="1"/>
  <c r="GD139" i="1"/>
  <c r="GE139" i="1"/>
  <c r="GF139" i="1"/>
  <c r="GG139" i="1"/>
  <c r="GH139" i="1"/>
  <c r="GI139" i="1"/>
  <c r="GJ139" i="1"/>
  <c r="GK139" i="1"/>
  <c r="GL139" i="1"/>
  <c r="GM139" i="1"/>
  <c r="GN139" i="1"/>
  <c r="GO139" i="1"/>
  <c r="GP139" i="1"/>
  <c r="GQ139" i="1"/>
  <c r="GR139" i="1"/>
  <c r="GS139" i="1"/>
  <c r="GT139" i="1"/>
  <c r="GU139" i="1"/>
  <c r="GV139" i="1"/>
  <c r="GW139" i="1"/>
  <c r="GX139" i="1"/>
  <c r="C141" i="1"/>
  <c r="D141" i="1"/>
  <c r="I141" i="1"/>
  <c r="K141" i="1"/>
  <c r="AC141" i="1"/>
  <c r="CQ141" i="1" s="1"/>
  <c r="AE141" i="1"/>
  <c r="AF141" i="1"/>
  <c r="AG141" i="1"/>
  <c r="AH141" i="1"/>
  <c r="AI141" i="1"/>
  <c r="CW141" i="1" s="1"/>
  <c r="AJ141" i="1"/>
  <c r="CT141" i="1"/>
  <c r="CU141" i="1"/>
  <c r="CV141" i="1"/>
  <c r="U141" i="1" s="1"/>
  <c r="CX141" i="1"/>
  <c r="FR141" i="1"/>
  <c r="GL141" i="1"/>
  <c r="GO141" i="1"/>
  <c r="GP141" i="1"/>
  <c r="GV141" i="1"/>
  <c r="HC141" i="1" s="1"/>
  <c r="C142" i="1"/>
  <c r="D142" i="1"/>
  <c r="I142" i="1"/>
  <c r="K142" i="1"/>
  <c r="W142" i="1"/>
  <c r="AC142" i="1"/>
  <c r="H353" i="6" s="1"/>
  <c r="AD142" i="1"/>
  <c r="AE142" i="1"/>
  <c r="AF142" i="1"/>
  <c r="AG142" i="1"/>
  <c r="CU142" i="1" s="1"/>
  <c r="AH142" i="1"/>
  <c r="CV142" i="1" s="1"/>
  <c r="AI142" i="1"/>
  <c r="CW142" i="1" s="1"/>
  <c r="V142" i="1" s="1"/>
  <c r="AJ142" i="1"/>
  <c r="CX142" i="1" s="1"/>
  <c r="CR142" i="1"/>
  <c r="Q142" i="1" s="1"/>
  <c r="K351" i="6" s="1"/>
  <c r="CT142" i="1"/>
  <c r="S142" i="1" s="1"/>
  <c r="FR142" i="1"/>
  <c r="BY167" i="1" s="1"/>
  <c r="GL142" i="1"/>
  <c r="GO142" i="1"/>
  <c r="GP142" i="1"/>
  <c r="GV142" i="1"/>
  <c r="HC142" i="1" s="1"/>
  <c r="AC143" i="1"/>
  <c r="AE143" i="1"/>
  <c r="CR143" i="1" s="1"/>
  <c r="AF143" i="1"/>
  <c r="AG143" i="1"/>
  <c r="CU143" i="1" s="1"/>
  <c r="AH143" i="1"/>
  <c r="CV143" i="1" s="1"/>
  <c r="AI143" i="1"/>
  <c r="CW143" i="1" s="1"/>
  <c r="AJ143" i="1"/>
  <c r="CX143" i="1"/>
  <c r="FR143" i="1"/>
  <c r="GL143" i="1"/>
  <c r="GO143" i="1"/>
  <c r="GP143" i="1"/>
  <c r="GV143" i="1"/>
  <c r="HC143" i="1" s="1"/>
  <c r="C144" i="1"/>
  <c r="D144" i="1"/>
  <c r="I144" i="1"/>
  <c r="K144" i="1"/>
  <c r="AC144" i="1"/>
  <c r="AE144" i="1"/>
  <c r="AF144" i="1"/>
  <c r="AG144" i="1"/>
  <c r="CU144" i="1" s="1"/>
  <c r="T144" i="1" s="1"/>
  <c r="AH144" i="1"/>
  <c r="CV144" i="1" s="1"/>
  <c r="U144" i="1" s="1"/>
  <c r="AI144" i="1"/>
  <c r="CW144" i="1" s="1"/>
  <c r="V144" i="1" s="1"/>
  <c r="AJ144" i="1"/>
  <c r="CX144" i="1" s="1"/>
  <c r="W144" i="1" s="1"/>
  <c r="FR144" i="1"/>
  <c r="GL144" i="1"/>
  <c r="GO144" i="1"/>
  <c r="GP144" i="1"/>
  <c r="GV144" i="1"/>
  <c r="HC144" i="1" s="1"/>
  <c r="GX144" i="1" s="1"/>
  <c r="I145" i="1"/>
  <c r="K145" i="1"/>
  <c r="AC145" i="1"/>
  <c r="AE145" i="1"/>
  <c r="AD145" i="1" s="1"/>
  <c r="AF145" i="1"/>
  <c r="AG145" i="1"/>
  <c r="AH145" i="1"/>
  <c r="AI145" i="1"/>
  <c r="CW145" i="1" s="1"/>
  <c r="V145" i="1" s="1"/>
  <c r="AJ145" i="1"/>
  <c r="CX145" i="1" s="1"/>
  <c r="CR145" i="1"/>
  <c r="CS145" i="1"/>
  <c r="CU145" i="1"/>
  <c r="CV145" i="1"/>
  <c r="U145" i="1" s="1"/>
  <c r="L370" i="6" s="1"/>
  <c r="Q370" i="6" s="1"/>
  <c r="FR145" i="1"/>
  <c r="GL145" i="1"/>
  <c r="GO145" i="1"/>
  <c r="GP145" i="1"/>
  <c r="GV145" i="1"/>
  <c r="HC145" i="1"/>
  <c r="AC146" i="1"/>
  <c r="AE146" i="1"/>
  <c r="AF146" i="1"/>
  <c r="AG146" i="1"/>
  <c r="CU146" i="1" s="1"/>
  <c r="T146" i="1" s="1"/>
  <c r="AH146" i="1"/>
  <c r="CV146" i="1" s="1"/>
  <c r="U146" i="1" s="1"/>
  <c r="L372" i="6" s="1"/>
  <c r="Q372" i="6" s="1"/>
  <c r="AI146" i="1"/>
  <c r="CW146" i="1" s="1"/>
  <c r="V146" i="1" s="1"/>
  <c r="AJ146" i="1"/>
  <c r="CX146" i="1" s="1"/>
  <c r="W146" i="1" s="1"/>
  <c r="FR146" i="1"/>
  <c r="GL146" i="1"/>
  <c r="GO146" i="1"/>
  <c r="GP146" i="1"/>
  <c r="GV146" i="1"/>
  <c r="HC146" i="1"/>
  <c r="GX146" i="1" s="1"/>
  <c r="R147" i="1"/>
  <c r="AC147" i="1"/>
  <c r="AE147" i="1"/>
  <c r="AD147" i="1" s="1"/>
  <c r="AF147" i="1"/>
  <c r="AG147" i="1"/>
  <c r="AH147" i="1"/>
  <c r="CV147" i="1" s="1"/>
  <c r="U147" i="1" s="1"/>
  <c r="L374" i="6" s="1"/>
  <c r="Q374" i="6" s="1"/>
  <c r="AI147" i="1"/>
  <c r="AJ147" i="1"/>
  <c r="CX147" i="1" s="1"/>
  <c r="W147" i="1" s="1"/>
  <c r="CR147" i="1"/>
  <c r="Q147" i="1" s="1"/>
  <c r="CS147" i="1"/>
  <c r="CU147" i="1"/>
  <c r="T147" i="1" s="1"/>
  <c r="CW147" i="1"/>
  <c r="V147" i="1" s="1"/>
  <c r="FR147" i="1"/>
  <c r="GL147" i="1"/>
  <c r="GO147" i="1"/>
  <c r="GP147" i="1"/>
  <c r="GV147" i="1"/>
  <c r="HC147" i="1"/>
  <c r="GX147" i="1" s="1"/>
  <c r="AC148" i="1"/>
  <c r="H375" i="6" s="1"/>
  <c r="AE148" i="1"/>
  <c r="AD148" i="1" s="1"/>
  <c r="AF148" i="1"/>
  <c r="AG148" i="1"/>
  <c r="CU148" i="1" s="1"/>
  <c r="T148" i="1" s="1"/>
  <c r="AH148" i="1"/>
  <c r="CV148" i="1" s="1"/>
  <c r="U148" i="1" s="1"/>
  <c r="L376" i="6" s="1"/>
  <c r="Q376" i="6" s="1"/>
  <c r="AI148" i="1"/>
  <c r="AJ148" i="1"/>
  <c r="CW148" i="1"/>
  <c r="V148" i="1" s="1"/>
  <c r="CX148" i="1"/>
  <c r="W148" i="1" s="1"/>
  <c r="FR148" i="1"/>
  <c r="GL148" i="1"/>
  <c r="GO148" i="1"/>
  <c r="CC167" i="1" s="1"/>
  <c r="CC139" i="1" s="1"/>
  <c r="GP148" i="1"/>
  <c r="GV148" i="1"/>
  <c r="HC148" i="1"/>
  <c r="GX148" i="1" s="1"/>
  <c r="AC149" i="1"/>
  <c r="AE149" i="1"/>
  <c r="AD149" i="1" s="1"/>
  <c r="AF149" i="1"/>
  <c r="AG149" i="1"/>
  <c r="CU149" i="1" s="1"/>
  <c r="T149" i="1" s="1"/>
  <c r="AH149" i="1"/>
  <c r="CV149" i="1" s="1"/>
  <c r="U149" i="1" s="1"/>
  <c r="L378" i="6" s="1"/>
  <c r="Q378" i="6" s="1"/>
  <c r="AI149" i="1"/>
  <c r="CW149" i="1" s="1"/>
  <c r="V149" i="1" s="1"/>
  <c r="AJ149" i="1"/>
  <c r="CX149" i="1" s="1"/>
  <c r="W149" i="1" s="1"/>
  <c r="FR149" i="1"/>
  <c r="GL149" i="1"/>
  <c r="GO149" i="1"/>
  <c r="GP149" i="1"/>
  <c r="GV149" i="1"/>
  <c r="HC149" i="1" s="1"/>
  <c r="GX149" i="1" s="1"/>
  <c r="AC150" i="1"/>
  <c r="H379" i="6" s="1"/>
  <c r="W380" i="6" s="1"/>
  <c r="AE150" i="1"/>
  <c r="AF150" i="1"/>
  <c r="AG150" i="1"/>
  <c r="AH150" i="1"/>
  <c r="CV150" i="1" s="1"/>
  <c r="U150" i="1" s="1"/>
  <c r="L380" i="6" s="1"/>
  <c r="Q380" i="6" s="1"/>
  <c r="AI150" i="1"/>
  <c r="CW150" i="1" s="1"/>
  <c r="V150" i="1" s="1"/>
  <c r="AJ150" i="1"/>
  <c r="CX150" i="1" s="1"/>
  <c r="W150" i="1" s="1"/>
  <c r="CQ150" i="1"/>
  <c r="P150" i="1" s="1"/>
  <c r="K379" i="6" s="1"/>
  <c r="J380" i="6" s="1"/>
  <c r="P380" i="6" s="1"/>
  <c r="CU150" i="1"/>
  <c r="T150" i="1" s="1"/>
  <c r="FR150" i="1"/>
  <c r="GL150" i="1"/>
  <c r="GO150" i="1"/>
  <c r="GP150" i="1"/>
  <c r="GV150" i="1"/>
  <c r="HC150" i="1"/>
  <c r="GX150" i="1" s="1"/>
  <c r="T151" i="1"/>
  <c r="V151" i="1"/>
  <c r="AC151" i="1"/>
  <c r="H381" i="6" s="1"/>
  <c r="AE151" i="1"/>
  <c r="CS151" i="1" s="1"/>
  <c r="R151" i="1" s="1"/>
  <c r="AF151" i="1"/>
  <c r="AG151" i="1"/>
  <c r="AH151" i="1"/>
  <c r="AI151" i="1"/>
  <c r="AJ151" i="1"/>
  <c r="CU151" i="1"/>
  <c r="CV151" i="1"/>
  <c r="U151" i="1" s="1"/>
  <c r="L382" i="6" s="1"/>
  <c r="Q382" i="6" s="1"/>
  <c r="CW151" i="1"/>
  <c r="CX151" i="1"/>
  <c r="W151" i="1" s="1"/>
  <c r="FR151" i="1"/>
  <c r="GL151" i="1"/>
  <c r="GO151" i="1"/>
  <c r="GP151" i="1"/>
  <c r="GV151" i="1"/>
  <c r="HC151" i="1"/>
  <c r="GX151" i="1" s="1"/>
  <c r="C152" i="1"/>
  <c r="D152" i="1"/>
  <c r="I152" i="1"/>
  <c r="K152" i="1"/>
  <c r="AC152" i="1"/>
  <c r="CQ152" i="1" s="1"/>
  <c r="AE152" i="1"/>
  <c r="AF152" i="1"/>
  <c r="CT152" i="1" s="1"/>
  <c r="S152" i="1" s="1"/>
  <c r="K385" i="6" s="1"/>
  <c r="AG152" i="1"/>
  <c r="CU152" i="1" s="1"/>
  <c r="T152" i="1" s="1"/>
  <c r="AH152" i="1"/>
  <c r="AI152" i="1"/>
  <c r="AJ152" i="1"/>
  <c r="CX152" i="1" s="1"/>
  <c r="CV152" i="1"/>
  <c r="CW152" i="1"/>
  <c r="FR152" i="1"/>
  <c r="GL152" i="1"/>
  <c r="GO152" i="1"/>
  <c r="GP152" i="1"/>
  <c r="GV152" i="1"/>
  <c r="HC152" i="1" s="1"/>
  <c r="C153" i="1"/>
  <c r="D153" i="1"/>
  <c r="I153" i="1"/>
  <c r="K153" i="1"/>
  <c r="T153" i="1"/>
  <c r="U153" i="1"/>
  <c r="AC153" i="1"/>
  <c r="AE153" i="1"/>
  <c r="CR153" i="1" s="1"/>
  <c r="Q153" i="1" s="1"/>
  <c r="K395" i="6" s="1"/>
  <c r="AF153" i="1"/>
  <c r="AG153" i="1"/>
  <c r="AH153" i="1"/>
  <c r="AI153" i="1"/>
  <c r="AJ153" i="1"/>
  <c r="CU153" i="1"/>
  <c r="CV153" i="1"/>
  <c r="CW153" i="1"/>
  <c r="V153" i="1" s="1"/>
  <c r="CX153" i="1"/>
  <c r="W153" i="1" s="1"/>
  <c r="FR153" i="1"/>
  <c r="GL153" i="1"/>
  <c r="GO153" i="1"/>
  <c r="GP153" i="1"/>
  <c r="GV153" i="1"/>
  <c r="HC153" i="1" s="1"/>
  <c r="C154" i="1"/>
  <c r="D154" i="1"/>
  <c r="I154" i="1"/>
  <c r="K154" i="1"/>
  <c r="AC154" i="1"/>
  <c r="AE154" i="1"/>
  <c r="CS154" i="1" s="1"/>
  <c r="R154" i="1" s="1"/>
  <c r="AF154" i="1"/>
  <c r="AG154" i="1"/>
  <c r="CU154" i="1" s="1"/>
  <c r="T154" i="1" s="1"/>
  <c r="AH154" i="1"/>
  <c r="CV154" i="1" s="1"/>
  <c r="U154" i="1" s="1"/>
  <c r="AI154" i="1"/>
  <c r="CW154" i="1" s="1"/>
  <c r="V154" i="1" s="1"/>
  <c r="AJ154" i="1"/>
  <c r="CX154" i="1" s="1"/>
  <c r="W154" i="1" s="1"/>
  <c r="CQ154" i="1"/>
  <c r="P154" i="1" s="1"/>
  <c r="CR154" i="1"/>
  <c r="Q154" i="1" s="1"/>
  <c r="FR154" i="1"/>
  <c r="GL154" i="1"/>
  <c r="GO154" i="1"/>
  <c r="GP154" i="1"/>
  <c r="GV154" i="1"/>
  <c r="HC154" i="1"/>
  <c r="GX154" i="1" s="1"/>
  <c r="I155" i="1"/>
  <c r="E409" i="6" s="1"/>
  <c r="K155" i="1"/>
  <c r="AC155" i="1"/>
  <c r="AE155" i="1"/>
  <c r="AD155" i="1" s="1"/>
  <c r="AF155" i="1"/>
  <c r="AG155" i="1"/>
  <c r="CU155" i="1" s="1"/>
  <c r="AH155" i="1"/>
  <c r="CV155" i="1" s="1"/>
  <c r="U155" i="1" s="1"/>
  <c r="L410" i="6" s="1"/>
  <c r="Q410" i="6" s="1"/>
  <c r="AI155" i="1"/>
  <c r="AJ155" i="1"/>
  <c r="CX155" i="1" s="1"/>
  <c r="CR155" i="1"/>
  <c r="CS155" i="1"/>
  <c r="CW155" i="1"/>
  <c r="FR155" i="1"/>
  <c r="GL155" i="1"/>
  <c r="GO155" i="1"/>
  <c r="GP155" i="1"/>
  <c r="GV155" i="1"/>
  <c r="HC155" i="1" s="1"/>
  <c r="AC156" i="1"/>
  <c r="H411" i="6" s="1"/>
  <c r="W412" i="6" s="1"/>
  <c r="AE156" i="1"/>
  <c r="CS156" i="1" s="1"/>
  <c r="R156" i="1" s="1"/>
  <c r="AF156" i="1"/>
  <c r="AG156" i="1"/>
  <c r="CU156" i="1" s="1"/>
  <c r="T156" i="1" s="1"/>
  <c r="AH156" i="1"/>
  <c r="CV156" i="1" s="1"/>
  <c r="U156" i="1" s="1"/>
  <c r="L412" i="6" s="1"/>
  <c r="Q412" i="6" s="1"/>
  <c r="AI156" i="1"/>
  <c r="CW156" i="1" s="1"/>
  <c r="V156" i="1" s="1"/>
  <c r="AJ156" i="1"/>
  <c r="CX156" i="1"/>
  <c r="W156" i="1" s="1"/>
  <c r="FR156" i="1"/>
  <c r="GL156" i="1"/>
  <c r="GO156" i="1"/>
  <c r="GP156" i="1"/>
  <c r="GV156" i="1"/>
  <c r="HC156" i="1" s="1"/>
  <c r="GX156" i="1"/>
  <c r="AC157" i="1"/>
  <c r="H413" i="6" s="1"/>
  <c r="AE157" i="1"/>
  <c r="CS157" i="1" s="1"/>
  <c r="R157" i="1" s="1"/>
  <c r="AF157" i="1"/>
  <c r="AG157" i="1"/>
  <c r="CU157" i="1" s="1"/>
  <c r="T157" i="1" s="1"/>
  <c r="AH157" i="1"/>
  <c r="CV157" i="1" s="1"/>
  <c r="U157" i="1" s="1"/>
  <c r="L414" i="6" s="1"/>
  <c r="Q414" i="6" s="1"/>
  <c r="AI157" i="1"/>
  <c r="CW157" i="1" s="1"/>
  <c r="V157" i="1" s="1"/>
  <c r="AJ157" i="1"/>
  <c r="CX157" i="1" s="1"/>
  <c r="W157" i="1" s="1"/>
  <c r="CQ157" i="1"/>
  <c r="P157" i="1" s="1"/>
  <c r="K413" i="6" s="1"/>
  <c r="J414" i="6" s="1"/>
  <c r="P414" i="6" s="1"/>
  <c r="CT157" i="1"/>
  <c r="S157" i="1" s="1"/>
  <c r="CY157" i="1" s="1"/>
  <c r="X157" i="1" s="1"/>
  <c r="T413" i="6" s="1"/>
  <c r="FR157" i="1"/>
  <c r="GL157" i="1"/>
  <c r="GO157" i="1"/>
  <c r="GP157" i="1"/>
  <c r="GV157" i="1"/>
  <c r="HC157" i="1" s="1"/>
  <c r="GX157" i="1" s="1"/>
  <c r="P158" i="1"/>
  <c r="T158" i="1"/>
  <c r="AC158" i="1"/>
  <c r="H415" i="6" s="1"/>
  <c r="AD158" i="1"/>
  <c r="AE158" i="1"/>
  <c r="CS158" i="1" s="1"/>
  <c r="R158" i="1" s="1"/>
  <c r="AF158" i="1"/>
  <c r="AG158" i="1"/>
  <c r="AH158" i="1"/>
  <c r="CV158" i="1" s="1"/>
  <c r="U158" i="1" s="1"/>
  <c r="L416" i="6" s="1"/>
  <c r="Q416" i="6" s="1"/>
  <c r="AI158" i="1"/>
  <c r="CW158" i="1" s="1"/>
  <c r="V158" i="1" s="1"/>
  <c r="AJ158" i="1"/>
  <c r="CX158" i="1" s="1"/>
  <c r="W158" i="1" s="1"/>
  <c r="CQ158" i="1"/>
  <c r="CR158" i="1"/>
  <c r="Q158" i="1" s="1"/>
  <c r="CT158" i="1"/>
  <c r="S158" i="1" s="1"/>
  <c r="CY158" i="1" s="1"/>
  <c r="X158" i="1" s="1"/>
  <c r="T415" i="6" s="1"/>
  <c r="CU158" i="1"/>
  <c r="FR158" i="1"/>
  <c r="GL158" i="1"/>
  <c r="GO158" i="1"/>
  <c r="GP158" i="1"/>
  <c r="GV158" i="1"/>
  <c r="HC158" i="1" s="1"/>
  <c r="GX158" i="1" s="1"/>
  <c r="C159" i="1"/>
  <c r="D159" i="1"/>
  <c r="I159" i="1"/>
  <c r="K159" i="1"/>
  <c r="P159" i="1"/>
  <c r="K421" i="6" s="1"/>
  <c r="AC159" i="1"/>
  <c r="AE159" i="1"/>
  <c r="AF159" i="1"/>
  <c r="AG159" i="1"/>
  <c r="CU159" i="1" s="1"/>
  <c r="T159" i="1" s="1"/>
  <c r="AH159" i="1"/>
  <c r="CV159" i="1" s="1"/>
  <c r="U159" i="1" s="1"/>
  <c r="AI159" i="1"/>
  <c r="CW159" i="1" s="1"/>
  <c r="AJ159" i="1"/>
  <c r="CX159" i="1" s="1"/>
  <c r="W159" i="1" s="1"/>
  <c r="CQ159" i="1"/>
  <c r="CR159" i="1"/>
  <c r="Q159" i="1" s="1"/>
  <c r="K420" i="6" s="1"/>
  <c r="CT159" i="1"/>
  <c r="S159" i="1" s="1"/>
  <c r="FR159" i="1"/>
  <c r="GL159" i="1"/>
  <c r="GO159" i="1"/>
  <c r="GP159" i="1"/>
  <c r="GV159" i="1"/>
  <c r="HC159" i="1" s="1"/>
  <c r="C160" i="1"/>
  <c r="D160" i="1"/>
  <c r="I160" i="1"/>
  <c r="E426" i="6" s="1"/>
  <c r="K160" i="1"/>
  <c r="AC160" i="1"/>
  <c r="AE160" i="1"/>
  <c r="AF160" i="1"/>
  <c r="AG160" i="1"/>
  <c r="CU160" i="1" s="1"/>
  <c r="AH160" i="1"/>
  <c r="CV160" i="1" s="1"/>
  <c r="AI160" i="1"/>
  <c r="CW160" i="1" s="1"/>
  <c r="AJ160" i="1"/>
  <c r="CX160" i="1" s="1"/>
  <c r="CQ160" i="1"/>
  <c r="P160" i="1" s="1"/>
  <c r="CR160" i="1"/>
  <c r="Q160" i="1" s="1"/>
  <c r="K428" i="6" s="1"/>
  <c r="CT160" i="1"/>
  <c r="FR160" i="1"/>
  <c r="GL160" i="1"/>
  <c r="GO160" i="1"/>
  <c r="GP160" i="1"/>
  <c r="GV160" i="1"/>
  <c r="HC160" i="1" s="1"/>
  <c r="AC161" i="1"/>
  <c r="AE161" i="1"/>
  <c r="CS161" i="1" s="1"/>
  <c r="R161" i="1" s="1"/>
  <c r="AF161" i="1"/>
  <c r="CT161" i="1" s="1"/>
  <c r="S161" i="1" s="1"/>
  <c r="AG161" i="1"/>
  <c r="AH161" i="1"/>
  <c r="CV161" i="1" s="1"/>
  <c r="U161" i="1" s="1"/>
  <c r="L436" i="6" s="1"/>
  <c r="Q436" i="6" s="1"/>
  <c r="AI161" i="1"/>
  <c r="CW161" i="1" s="1"/>
  <c r="V161" i="1" s="1"/>
  <c r="AJ161" i="1"/>
  <c r="CU161" i="1"/>
  <c r="T161" i="1" s="1"/>
  <c r="CX161" i="1"/>
  <c r="W161" i="1" s="1"/>
  <c r="FR161" i="1"/>
  <c r="GL161" i="1"/>
  <c r="GO161" i="1"/>
  <c r="GP161" i="1"/>
  <c r="GV161" i="1"/>
  <c r="HC161" i="1" s="1"/>
  <c r="GX161" i="1" s="1"/>
  <c r="AC162" i="1"/>
  <c r="H437" i="6" s="1"/>
  <c r="G438" i="6" s="1"/>
  <c r="O438" i="6" s="1"/>
  <c r="AE162" i="1"/>
  <c r="CS162" i="1" s="1"/>
  <c r="R162" i="1" s="1"/>
  <c r="AF162" i="1"/>
  <c r="AG162" i="1"/>
  <c r="CU162" i="1" s="1"/>
  <c r="T162" i="1" s="1"/>
  <c r="AH162" i="1"/>
  <c r="CV162" i="1" s="1"/>
  <c r="U162" i="1" s="1"/>
  <c r="L438" i="6" s="1"/>
  <c r="Q438" i="6" s="1"/>
  <c r="AI162" i="1"/>
  <c r="CW162" i="1" s="1"/>
  <c r="V162" i="1" s="1"/>
  <c r="AJ162" i="1"/>
  <c r="CX162" i="1"/>
  <c r="W162" i="1" s="1"/>
  <c r="FR162" i="1"/>
  <c r="GL162" i="1"/>
  <c r="GO162" i="1"/>
  <c r="GP162" i="1"/>
  <c r="GV162" i="1"/>
  <c r="HC162" i="1" s="1"/>
  <c r="GX162" i="1" s="1"/>
  <c r="C163" i="1"/>
  <c r="D163" i="1"/>
  <c r="I163" i="1"/>
  <c r="K163" i="1"/>
  <c r="AC163" i="1"/>
  <c r="H444" i="6" s="1"/>
  <c r="AE163" i="1"/>
  <c r="CR163" i="1" s="1"/>
  <c r="Q163" i="1" s="1"/>
  <c r="K442" i="6" s="1"/>
  <c r="AF163" i="1"/>
  <c r="CT163" i="1" s="1"/>
  <c r="S163" i="1" s="1"/>
  <c r="AG163" i="1"/>
  <c r="CU163" i="1" s="1"/>
  <c r="T163" i="1" s="1"/>
  <c r="AH163" i="1"/>
  <c r="CV163" i="1" s="1"/>
  <c r="U163" i="1" s="1"/>
  <c r="AI163" i="1"/>
  <c r="CW163" i="1" s="1"/>
  <c r="AJ163" i="1"/>
  <c r="CX163" i="1"/>
  <c r="W163" i="1" s="1"/>
  <c r="FR163" i="1"/>
  <c r="GL163" i="1"/>
  <c r="GO163" i="1"/>
  <c r="GP163" i="1"/>
  <c r="GV163" i="1"/>
  <c r="HC163" i="1" s="1"/>
  <c r="I164" i="1"/>
  <c r="AC164" i="1"/>
  <c r="AE164" i="1"/>
  <c r="CR164" i="1" s="1"/>
  <c r="AF164" i="1"/>
  <c r="CT164" i="1" s="1"/>
  <c r="S164" i="1" s="1"/>
  <c r="AG164" i="1"/>
  <c r="CU164" i="1" s="1"/>
  <c r="T164" i="1" s="1"/>
  <c r="AH164" i="1"/>
  <c r="CV164" i="1" s="1"/>
  <c r="U164" i="1" s="1"/>
  <c r="AI164" i="1"/>
  <c r="AJ164" i="1"/>
  <c r="CW164" i="1"/>
  <c r="V164" i="1" s="1"/>
  <c r="CX164" i="1"/>
  <c r="W164" i="1" s="1"/>
  <c r="FR164" i="1"/>
  <c r="GL164" i="1"/>
  <c r="GO164" i="1"/>
  <c r="GP164" i="1"/>
  <c r="GV164" i="1"/>
  <c r="HC164" i="1"/>
  <c r="GX164" i="1" s="1"/>
  <c r="AC165" i="1"/>
  <c r="AE165" i="1"/>
  <c r="CR165" i="1" s="1"/>
  <c r="Q165" i="1" s="1"/>
  <c r="AF165" i="1"/>
  <c r="AG165" i="1"/>
  <c r="CU165" i="1" s="1"/>
  <c r="T165" i="1" s="1"/>
  <c r="AH165" i="1"/>
  <c r="CV165" i="1" s="1"/>
  <c r="U165" i="1" s="1"/>
  <c r="L451" i="6" s="1"/>
  <c r="Q451" i="6" s="1"/>
  <c r="AI165" i="1"/>
  <c r="AJ165" i="1"/>
  <c r="CX165" i="1" s="1"/>
  <c r="W165" i="1" s="1"/>
  <c r="CW165" i="1"/>
  <c r="V165" i="1" s="1"/>
  <c r="FR165" i="1"/>
  <c r="GL165" i="1"/>
  <c r="GO165" i="1"/>
  <c r="GP165" i="1"/>
  <c r="GV165" i="1"/>
  <c r="HC165" i="1" s="1"/>
  <c r="GX165" i="1" s="1"/>
  <c r="B167" i="1"/>
  <c r="B139" i="1" s="1"/>
  <c r="C167" i="1"/>
  <c r="C139" i="1" s="1"/>
  <c r="D167" i="1"/>
  <c r="D139" i="1" s="1"/>
  <c r="F167" i="1"/>
  <c r="F139" i="1" s="1"/>
  <c r="G167" i="1"/>
  <c r="BX167" i="1"/>
  <c r="BX139" i="1" s="1"/>
  <c r="CK167" i="1"/>
  <c r="CK139" i="1" s="1"/>
  <c r="CL167" i="1"/>
  <c r="CL139" i="1" s="1"/>
  <c r="CM167" i="1"/>
  <c r="CM139" i="1" s="1"/>
  <c r="D197" i="1"/>
  <c r="E199" i="1"/>
  <c r="Z199" i="1"/>
  <c r="AA199" i="1"/>
  <c r="AM199" i="1"/>
  <c r="AN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DB199" i="1"/>
  <c r="DC199" i="1"/>
  <c r="DD199" i="1"/>
  <c r="DE199" i="1"/>
  <c r="DF199" i="1"/>
  <c r="DG199" i="1"/>
  <c r="DH199" i="1"/>
  <c r="DI199" i="1"/>
  <c r="DJ199" i="1"/>
  <c r="DK199" i="1"/>
  <c r="DL199" i="1"/>
  <c r="DM199" i="1"/>
  <c r="DN199" i="1"/>
  <c r="DO199" i="1"/>
  <c r="DP199" i="1"/>
  <c r="DQ199" i="1"/>
  <c r="DR199" i="1"/>
  <c r="DS199" i="1"/>
  <c r="DT199" i="1"/>
  <c r="DU199" i="1"/>
  <c r="DV199" i="1"/>
  <c r="DW199" i="1"/>
  <c r="DX199" i="1"/>
  <c r="DY199" i="1"/>
  <c r="DZ199" i="1"/>
  <c r="EA199" i="1"/>
  <c r="EB199" i="1"/>
  <c r="EC199" i="1"/>
  <c r="ED199" i="1"/>
  <c r="EE199" i="1"/>
  <c r="EF199" i="1"/>
  <c r="EG199" i="1"/>
  <c r="EH199" i="1"/>
  <c r="EI199" i="1"/>
  <c r="EJ199" i="1"/>
  <c r="EK199" i="1"/>
  <c r="EL199" i="1"/>
  <c r="EM199" i="1"/>
  <c r="EN199" i="1"/>
  <c r="EO199" i="1"/>
  <c r="EP199" i="1"/>
  <c r="EQ199" i="1"/>
  <c r="ER199" i="1"/>
  <c r="ES199" i="1"/>
  <c r="ET199" i="1"/>
  <c r="EU199" i="1"/>
  <c r="EV199" i="1"/>
  <c r="EW199" i="1"/>
  <c r="EX199" i="1"/>
  <c r="EY199" i="1"/>
  <c r="EZ199" i="1"/>
  <c r="FA199" i="1"/>
  <c r="FB199" i="1"/>
  <c r="FC199" i="1"/>
  <c r="FD199" i="1"/>
  <c r="FE199" i="1"/>
  <c r="FF199" i="1"/>
  <c r="FG199" i="1"/>
  <c r="FH199" i="1"/>
  <c r="FI199" i="1"/>
  <c r="FJ199" i="1"/>
  <c r="FK199" i="1"/>
  <c r="FL199" i="1"/>
  <c r="FM199" i="1"/>
  <c r="FN199" i="1"/>
  <c r="FO199" i="1"/>
  <c r="FP199" i="1"/>
  <c r="FQ199" i="1"/>
  <c r="FR199" i="1"/>
  <c r="FS199" i="1"/>
  <c r="FT199" i="1"/>
  <c r="FU199" i="1"/>
  <c r="FV199" i="1"/>
  <c r="FW199" i="1"/>
  <c r="FX199" i="1"/>
  <c r="FY199" i="1"/>
  <c r="FZ199" i="1"/>
  <c r="GA199" i="1"/>
  <c r="GB199" i="1"/>
  <c r="GC199" i="1"/>
  <c r="GD199" i="1"/>
  <c r="GE199" i="1"/>
  <c r="GF199" i="1"/>
  <c r="GG199" i="1"/>
  <c r="GH199" i="1"/>
  <c r="GI199" i="1"/>
  <c r="GJ199" i="1"/>
  <c r="GK199" i="1"/>
  <c r="GL199" i="1"/>
  <c r="GM199" i="1"/>
  <c r="GN199" i="1"/>
  <c r="GO199" i="1"/>
  <c r="GP199" i="1"/>
  <c r="GQ199" i="1"/>
  <c r="GR199" i="1"/>
  <c r="GS199" i="1"/>
  <c r="GT199" i="1"/>
  <c r="GU199" i="1"/>
  <c r="GV199" i="1"/>
  <c r="GW199" i="1"/>
  <c r="GX199" i="1"/>
  <c r="C201" i="1"/>
  <c r="D201" i="1"/>
  <c r="I201" i="1"/>
  <c r="I202" i="1" s="1"/>
  <c r="K201" i="1"/>
  <c r="AC201" i="1"/>
  <c r="CQ201" i="1" s="1"/>
  <c r="AE201" i="1"/>
  <c r="AF201" i="1"/>
  <c r="AG201" i="1"/>
  <c r="CU201" i="1" s="1"/>
  <c r="AH201" i="1"/>
  <c r="CV201" i="1" s="1"/>
  <c r="U201" i="1" s="1"/>
  <c r="AI201" i="1"/>
  <c r="CW201" i="1" s="1"/>
  <c r="AJ201" i="1"/>
  <c r="CX201" i="1" s="1"/>
  <c r="CR201" i="1"/>
  <c r="Q201" i="1" s="1"/>
  <c r="K461" i="6" s="1"/>
  <c r="CS201" i="1"/>
  <c r="R201" i="1" s="1"/>
  <c r="K462" i="6" s="1"/>
  <c r="FR201" i="1"/>
  <c r="GL201" i="1"/>
  <c r="GO201" i="1"/>
  <c r="GP201" i="1"/>
  <c r="GV201" i="1"/>
  <c r="HC201" i="1"/>
  <c r="AC202" i="1"/>
  <c r="CQ202" i="1" s="1"/>
  <c r="AE202" i="1"/>
  <c r="AD202" i="1" s="1"/>
  <c r="AF202" i="1"/>
  <c r="AG202" i="1"/>
  <c r="AH202" i="1"/>
  <c r="CV202" i="1" s="1"/>
  <c r="AI202" i="1"/>
  <c r="CW202" i="1" s="1"/>
  <c r="AJ202" i="1"/>
  <c r="CU202" i="1"/>
  <c r="CX202" i="1"/>
  <c r="FR202" i="1"/>
  <c r="GL202" i="1"/>
  <c r="BZ221" i="1" s="1"/>
  <c r="BZ199" i="1" s="1"/>
  <c r="GO202" i="1"/>
  <c r="GP202" i="1"/>
  <c r="GV202" i="1"/>
  <c r="HC202" i="1" s="1"/>
  <c r="C203" i="1"/>
  <c r="D203" i="1"/>
  <c r="I203" i="1"/>
  <c r="K203" i="1"/>
  <c r="AC203" i="1"/>
  <c r="H473" i="6" s="1"/>
  <c r="AE203" i="1"/>
  <c r="AF203" i="1"/>
  <c r="AG203" i="1"/>
  <c r="CU203" i="1" s="1"/>
  <c r="AH203" i="1"/>
  <c r="CV203" i="1" s="1"/>
  <c r="U203" i="1" s="1"/>
  <c r="AI203" i="1"/>
  <c r="CW203" i="1" s="1"/>
  <c r="V203" i="1" s="1"/>
  <c r="AJ203" i="1"/>
  <c r="CX203" i="1" s="1"/>
  <c r="FR203" i="1"/>
  <c r="GL203" i="1"/>
  <c r="GO203" i="1"/>
  <c r="GP203" i="1"/>
  <c r="GV203" i="1"/>
  <c r="HC203" i="1" s="1"/>
  <c r="GX203" i="1" s="1"/>
  <c r="AC204" i="1"/>
  <c r="AE204" i="1"/>
  <c r="AD204" i="1" s="1"/>
  <c r="AF204" i="1"/>
  <c r="AG204" i="1"/>
  <c r="AH204" i="1"/>
  <c r="CV204" i="1" s="1"/>
  <c r="AI204" i="1"/>
  <c r="AJ204" i="1"/>
  <c r="CT204" i="1"/>
  <c r="CU204" i="1"/>
  <c r="CW204" i="1"/>
  <c r="CX204" i="1"/>
  <c r="FR204" i="1"/>
  <c r="GL204" i="1"/>
  <c r="GO204" i="1"/>
  <c r="GP204" i="1"/>
  <c r="GV204" i="1"/>
  <c r="HC204" i="1" s="1"/>
  <c r="C205" i="1"/>
  <c r="D205" i="1"/>
  <c r="I205" i="1"/>
  <c r="I206" i="1" s="1"/>
  <c r="K205" i="1"/>
  <c r="AC205" i="1"/>
  <c r="H485" i="6" s="1"/>
  <c r="AE205" i="1"/>
  <c r="AF205" i="1"/>
  <c r="AG205" i="1"/>
  <c r="CU205" i="1" s="1"/>
  <c r="AH205" i="1"/>
  <c r="CV205" i="1" s="1"/>
  <c r="AI205" i="1"/>
  <c r="AJ205" i="1"/>
  <c r="CX205" i="1" s="1"/>
  <c r="W205" i="1" s="1"/>
  <c r="CR205" i="1"/>
  <c r="Q205" i="1" s="1"/>
  <c r="K483" i="6" s="1"/>
  <c r="CS205" i="1"/>
  <c r="R205" i="1" s="1"/>
  <c r="K484" i="6" s="1"/>
  <c r="CT205" i="1"/>
  <c r="S205" i="1" s="1"/>
  <c r="K482" i="6" s="1"/>
  <c r="CW205" i="1"/>
  <c r="V205" i="1" s="1"/>
  <c r="FR205" i="1"/>
  <c r="GL205" i="1"/>
  <c r="GO205" i="1"/>
  <c r="GP205" i="1"/>
  <c r="GV205" i="1"/>
  <c r="HC205" i="1" s="1"/>
  <c r="AC206" i="1"/>
  <c r="AE206" i="1"/>
  <c r="AD206" i="1" s="1"/>
  <c r="AF206" i="1"/>
  <c r="AG206" i="1"/>
  <c r="CU206" i="1" s="1"/>
  <c r="AH206" i="1"/>
  <c r="AI206" i="1"/>
  <c r="AJ206" i="1"/>
  <c r="CX206" i="1" s="1"/>
  <c r="CV206" i="1"/>
  <c r="CW206" i="1"/>
  <c r="FR206" i="1"/>
  <c r="GL206" i="1"/>
  <c r="GO206" i="1"/>
  <c r="GP206" i="1"/>
  <c r="GV206" i="1"/>
  <c r="HC206" i="1" s="1"/>
  <c r="AC207" i="1"/>
  <c r="AE207" i="1"/>
  <c r="CS207" i="1" s="1"/>
  <c r="AF207" i="1"/>
  <c r="AG207" i="1"/>
  <c r="CU207" i="1" s="1"/>
  <c r="AH207" i="1"/>
  <c r="CV207" i="1" s="1"/>
  <c r="AI207" i="1"/>
  <c r="CW207" i="1" s="1"/>
  <c r="AJ207" i="1"/>
  <c r="CX207" i="1" s="1"/>
  <c r="FR207" i="1"/>
  <c r="GL207" i="1"/>
  <c r="GO207" i="1"/>
  <c r="GP207" i="1"/>
  <c r="GV207" i="1"/>
  <c r="HC207" i="1" s="1"/>
  <c r="I208" i="1"/>
  <c r="E491" i="6" s="1"/>
  <c r="Q208" i="1"/>
  <c r="AC208" i="1"/>
  <c r="H491" i="6" s="1"/>
  <c r="W491" i="6" s="1"/>
  <c r="AD208" i="1"/>
  <c r="AE208" i="1"/>
  <c r="CS208" i="1" s="1"/>
  <c r="AF208" i="1"/>
  <c r="AG208" i="1"/>
  <c r="AH208" i="1"/>
  <c r="AI208" i="1"/>
  <c r="CW208" i="1" s="1"/>
  <c r="AJ208" i="1"/>
  <c r="CR208" i="1"/>
  <c r="CT208" i="1"/>
  <c r="CU208" i="1"/>
  <c r="T208" i="1" s="1"/>
  <c r="CV208" i="1"/>
  <c r="U208" i="1" s="1"/>
  <c r="CX208" i="1"/>
  <c r="W208" i="1" s="1"/>
  <c r="FR208" i="1"/>
  <c r="GL208" i="1"/>
  <c r="GO208" i="1"/>
  <c r="GP208" i="1"/>
  <c r="GV208" i="1"/>
  <c r="HC208" i="1" s="1"/>
  <c r="AC209" i="1"/>
  <c r="H493" i="6" s="1"/>
  <c r="AE209" i="1"/>
  <c r="CS209" i="1" s="1"/>
  <c r="R209" i="1" s="1"/>
  <c r="AF209" i="1"/>
  <c r="CT209" i="1" s="1"/>
  <c r="S209" i="1" s="1"/>
  <c r="AG209" i="1"/>
  <c r="CU209" i="1" s="1"/>
  <c r="T209" i="1" s="1"/>
  <c r="AH209" i="1"/>
  <c r="AI209" i="1"/>
  <c r="CW209" i="1" s="1"/>
  <c r="V209" i="1" s="1"/>
  <c r="AJ209" i="1"/>
  <c r="CV209" i="1"/>
  <c r="U209" i="1" s="1"/>
  <c r="L494" i="6" s="1"/>
  <c r="Q494" i="6" s="1"/>
  <c r="CX209" i="1"/>
  <c r="W209" i="1" s="1"/>
  <c r="FR209" i="1"/>
  <c r="GL209" i="1"/>
  <c r="GO209" i="1"/>
  <c r="GP209" i="1"/>
  <c r="GV209" i="1"/>
  <c r="HC209" i="1" s="1"/>
  <c r="GX209" i="1" s="1"/>
  <c r="AC210" i="1"/>
  <c r="AE210" i="1"/>
  <c r="CR210" i="1" s="1"/>
  <c r="Q210" i="1" s="1"/>
  <c r="AF210" i="1"/>
  <c r="AG210" i="1"/>
  <c r="CU210" i="1" s="1"/>
  <c r="T210" i="1" s="1"/>
  <c r="AH210" i="1"/>
  <c r="CV210" i="1" s="1"/>
  <c r="U210" i="1" s="1"/>
  <c r="L496" i="6" s="1"/>
  <c r="Q496" i="6" s="1"/>
  <c r="AI210" i="1"/>
  <c r="CW210" i="1" s="1"/>
  <c r="V210" i="1" s="1"/>
  <c r="AJ210" i="1"/>
  <c r="CX210" i="1" s="1"/>
  <c r="W210" i="1" s="1"/>
  <c r="FR210" i="1"/>
  <c r="GL210" i="1"/>
  <c r="GO210" i="1"/>
  <c r="GP210" i="1"/>
  <c r="GV210" i="1"/>
  <c r="HC210" i="1" s="1"/>
  <c r="GX210" i="1" s="1"/>
  <c r="Q211" i="1"/>
  <c r="AC211" i="1"/>
  <c r="AE211" i="1"/>
  <c r="AD211" i="1" s="1"/>
  <c r="AF211" i="1"/>
  <c r="AG211" i="1"/>
  <c r="CU211" i="1" s="1"/>
  <c r="T211" i="1" s="1"/>
  <c r="AH211" i="1"/>
  <c r="CV211" i="1" s="1"/>
  <c r="U211" i="1" s="1"/>
  <c r="L498" i="6" s="1"/>
  <c r="Q498" i="6" s="1"/>
  <c r="AI211" i="1"/>
  <c r="CW211" i="1" s="1"/>
  <c r="V211" i="1" s="1"/>
  <c r="AJ211" i="1"/>
  <c r="CX211" i="1" s="1"/>
  <c r="W211" i="1" s="1"/>
  <c r="CR211" i="1"/>
  <c r="CS211" i="1"/>
  <c r="R211" i="1" s="1"/>
  <c r="CT211" i="1"/>
  <c r="S211" i="1" s="1"/>
  <c r="CY211" i="1" s="1"/>
  <c r="X211" i="1" s="1"/>
  <c r="T497" i="6" s="1"/>
  <c r="FR211" i="1"/>
  <c r="GL211" i="1"/>
  <c r="GO211" i="1"/>
  <c r="GP211" i="1"/>
  <c r="GV211" i="1"/>
  <c r="HC211" i="1" s="1"/>
  <c r="GX211" i="1" s="1"/>
  <c r="C212" i="1"/>
  <c r="D212" i="1"/>
  <c r="I212" i="1"/>
  <c r="K212" i="1"/>
  <c r="AC212" i="1"/>
  <c r="AE212" i="1"/>
  <c r="CS212" i="1" s="1"/>
  <c r="AF212" i="1"/>
  <c r="AG212" i="1"/>
  <c r="AH212" i="1"/>
  <c r="CV212" i="1" s="1"/>
  <c r="AI212" i="1"/>
  <c r="AJ212" i="1"/>
  <c r="CR212" i="1"/>
  <c r="CT212" i="1"/>
  <c r="CU212" i="1"/>
  <c r="CW212" i="1"/>
  <c r="CX212" i="1"/>
  <c r="W212" i="1" s="1"/>
  <c r="FR212" i="1"/>
  <c r="GL212" i="1"/>
  <c r="GO212" i="1"/>
  <c r="GP212" i="1"/>
  <c r="GV212" i="1"/>
  <c r="HC212" i="1" s="1"/>
  <c r="GX212" i="1" s="1"/>
  <c r="AC213" i="1"/>
  <c r="H507" i="6" s="1"/>
  <c r="G508" i="6" s="1"/>
  <c r="O508" i="6" s="1"/>
  <c r="AE213" i="1"/>
  <c r="CS213" i="1" s="1"/>
  <c r="R213" i="1" s="1"/>
  <c r="AF213" i="1"/>
  <c r="AG213" i="1"/>
  <c r="CU213" i="1" s="1"/>
  <c r="T213" i="1" s="1"/>
  <c r="AH213" i="1"/>
  <c r="CV213" i="1" s="1"/>
  <c r="U213" i="1" s="1"/>
  <c r="L508" i="6" s="1"/>
  <c r="Q508" i="6" s="1"/>
  <c r="AI213" i="1"/>
  <c r="AJ213" i="1"/>
  <c r="CW213" i="1"/>
  <c r="V213" i="1" s="1"/>
  <c r="CX213" i="1"/>
  <c r="W213" i="1" s="1"/>
  <c r="FR213" i="1"/>
  <c r="GL213" i="1"/>
  <c r="GO213" i="1"/>
  <c r="GP213" i="1"/>
  <c r="GV213" i="1"/>
  <c r="HC213" i="1" s="1"/>
  <c r="GX213" i="1" s="1"/>
  <c r="C214" i="1"/>
  <c r="D214" i="1"/>
  <c r="AC214" i="1"/>
  <c r="CQ214" i="1" s="1"/>
  <c r="P214" i="1" s="1"/>
  <c r="AE214" i="1"/>
  <c r="AD214" i="1" s="1"/>
  <c r="AF214" i="1"/>
  <c r="AG214" i="1"/>
  <c r="CU214" i="1" s="1"/>
  <c r="T214" i="1" s="1"/>
  <c r="AH214" i="1"/>
  <c r="CV214" i="1" s="1"/>
  <c r="U214" i="1" s="1"/>
  <c r="AI214" i="1"/>
  <c r="CW214" i="1" s="1"/>
  <c r="V214" i="1" s="1"/>
  <c r="AJ214" i="1"/>
  <c r="CX214" i="1" s="1"/>
  <c r="W214" i="1" s="1"/>
  <c r="CR214" i="1"/>
  <c r="Q214" i="1" s="1"/>
  <c r="FR214" i="1"/>
  <c r="GL214" i="1"/>
  <c r="GO214" i="1"/>
  <c r="GP214" i="1"/>
  <c r="GV214" i="1"/>
  <c r="HC214" i="1"/>
  <c r="GX214" i="1" s="1"/>
  <c r="C215" i="1"/>
  <c r="D215" i="1"/>
  <c r="I215" i="1"/>
  <c r="K215" i="1"/>
  <c r="AC215" i="1"/>
  <c r="AE215" i="1"/>
  <c r="AF215" i="1"/>
  <c r="AG215" i="1"/>
  <c r="CU215" i="1" s="1"/>
  <c r="T215" i="1" s="1"/>
  <c r="AH215" i="1"/>
  <c r="CV215" i="1" s="1"/>
  <c r="U215" i="1" s="1"/>
  <c r="AI215" i="1"/>
  <c r="CW215" i="1" s="1"/>
  <c r="V215" i="1" s="1"/>
  <c r="AJ215" i="1"/>
  <c r="CX215" i="1" s="1"/>
  <c r="W215" i="1" s="1"/>
  <c r="FR215" i="1"/>
  <c r="GL215" i="1"/>
  <c r="GO215" i="1"/>
  <c r="GP215" i="1"/>
  <c r="GV215" i="1"/>
  <c r="HC215" i="1"/>
  <c r="GX215" i="1" s="1"/>
  <c r="C216" i="1"/>
  <c r="D216" i="1"/>
  <c r="I216" i="1"/>
  <c r="K216" i="1"/>
  <c r="AC216" i="1"/>
  <c r="AE216" i="1"/>
  <c r="AF216" i="1"/>
  <c r="AG216" i="1"/>
  <c r="CU216" i="1" s="1"/>
  <c r="AH216" i="1"/>
  <c r="AI216" i="1"/>
  <c r="CW216" i="1" s="1"/>
  <c r="AJ216" i="1"/>
  <c r="CX216" i="1" s="1"/>
  <c r="W216" i="1" s="1"/>
  <c r="CR216" i="1"/>
  <c r="CS216" i="1"/>
  <c r="R216" i="1" s="1"/>
  <c r="K529" i="6" s="1"/>
  <c r="CV216" i="1"/>
  <c r="U216" i="1" s="1"/>
  <c r="FR216" i="1"/>
  <c r="GL216" i="1"/>
  <c r="GO216" i="1"/>
  <c r="GP216" i="1"/>
  <c r="GV216" i="1"/>
  <c r="HC216" i="1"/>
  <c r="O217" i="1"/>
  <c r="P217" i="1"/>
  <c r="Q217" i="1"/>
  <c r="R217" i="1"/>
  <c r="S217" i="1"/>
  <c r="T217" i="1"/>
  <c r="U217" i="1"/>
  <c r="L536" i="6" s="1"/>
  <c r="Q536" i="6" s="1"/>
  <c r="V217" i="1"/>
  <c r="W217" i="1"/>
  <c r="X217" i="1"/>
  <c r="T535" i="6" s="1"/>
  <c r="Y217" i="1"/>
  <c r="V535" i="6" s="1"/>
  <c r="AB217" i="1"/>
  <c r="H535" i="6" s="1"/>
  <c r="G536" i="6" s="1"/>
  <c r="O536" i="6" s="1"/>
  <c r="AC217" i="1"/>
  <c r="AD217" i="1"/>
  <c r="AE217" i="1"/>
  <c r="AF217" i="1"/>
  <c r="AG217" i="1"/>
  <c r="AH217" i="1"/>
  <c r="AI217" i="1"/>
  <c r="AJ217" i="1"/>
  <c r="FR217" i="1"/>
  <c r="GL217" i="1"/>
  <c r="GO217" i="1"/>
  <c r="GP217" i="1"/>
  <c r="GV217" i="1"/>
  <c r="GX217" i="1"/>
  <c r="O218" i="1"/>
  <c r="P218" i="1"/>
  <c r="Q218" i="1"/>
  <c r="R218" i="1"/>
  <c r="S218" i="1"/>
  <c r="T218" i="1"/>
  <c r="U218" i="1"/>
  <c r="L538" i="6" s="1"/>
  <c r="Q538" i="6" s="1"/>
  <c r="V218" i="1"/>
  <c r="W218" i="1"/>
  <c r="X218" i="1"/>
  <c r="T537" i="6" s="1"/>
  <c r="Y218" i="1"/>
  <c r="V537" i="6" s="1"/>
  <c r="AB218" i="1"/>
  <c r="H537" i="6" s="1"/>
  <c r="W538" i="6" s="1"/>
  <c r="AC218" i="1"/>
  <c r="AD218" i="1"/>
  <c r="AE218" i="1"/>
  <c r="AF218" i="1"/>
  <c r="AG218" i="1"/>
  <c r="AH218" i="1"/>
  <c r="AI218" i="1"/>
  <c r="AJ218" i="1"/>
  <c r="FR218" i="1"/>
  <c r="GL218" i="1"/>
  <c r="GO218" i="1"/>
  <c r="GP218" i="1"/>
  <c r="GV218" i="1"/>
  <c r="GX218" i="1"/>
  <c r="O219" i="1"/>
  <c r="P219" i="1"/>
  <c r="Q219" i="1"/>
  <c r="R219" i="1"/>
  <c r="S219" i="1"/>
  <c r="T219" i="1"/>
  <c r="U219" i="1"/>
  <c r="L540" i="6" s="1"/>
  <c r="Q540" i="6" s="1"/>
  <c r="V219" i="1"/>
  <c r="W219" i="1"/>
  <c r="X219" i="1"/>
  <c r="T539" i="6" s="1"/>
  <c r="Y219" i="1"/>
  <c r="V539" i="6" s="1"/>
  <c r="AB219" i="1"/>
  <c r="AC219" i="1"/>
  <c r="AD219" i="1"/>
  <c r="AE219" i="1"/>
  <c r="AF219" i="1"/>
  <c r="AG219" i="1"/>
  <c r="AH219" i="1"/>
  <c r="AI219" i="1"/>
  <c r="AJ219" i="1"/>
  <c r="FR219" i="1"/>
  <c r="GL219" i="1"/>
  <c r="GO219" i="1"/>
  <c r="GP219" i="1"/>
  <c r="GV219" i="1"/>
  <c r="GX219" i="1"/>
  <c r="B221" i="1"/>
  <c r="B199" i="1" s="1"/>
  <c r="C221" i="1"/>
  <c r="C199" i="1" s="1"/>
  <c r="D221" i="1"/>
  <c r="D199" i="1" s="1"/>
  <c r="F221" i="1"/>
  <c r="F199" i="1" s="1"/>
  <c r="G221" i="1"/>
  <c r="BX221" i="1"/>
  <c r="BX199" i="1" s="1"/>
  <c r="CK221" i="1"/>
  <c r="CK199" i="1" s="1"/>
  <c r="CL221" i="1"/>
  <c r="CL199" i="1" s="1"/>
  <c r="B251" i="1"/>
  <c r="B22" i="1" s="1"/>
  <c r="C251" i="1"/>
  <c r="C22" i="1" s="1"/>
  <c r="D251" i="1"/>
  <c r="D22" i="1" s="1"/>
  <c r="F251" i="1"/>
  <c r="F22" i="1" s="1"/>
  <c r="G251" i="1"/>
  <c r="B283" i="1"/>
  <c r="B18" i="1" s="1"/>
  <c r="C283" i="1"/>
  <c r="C18" i="1" s="1"/>
  <c r="D283" i="1"/>
  <c r="D18" i="1" s="1"/>
  <c r="F283" i="1"/>
  <c r="F18" i="1" s="1"/>
  <c r="G283" i="1"/>
  <c r="B20" i="2"/>
  <c r="B21" i="2"/>
  <c r="B22" i="2"/>
  <c r="B23" i="2"/>
  <c r="B24" i="2"/>
  <c r="B25" i="2"/>
  <c r="B26" i="2"/>
  <c r="B27" i="2"/>
  <c r="B28" i="2"/>
  <c r="B29" i="2"/>
  <c r="B30" i="2"/>
  <c r="B32" i="2"/>
  <c r="B33" i="2"/>
  <c r="B35" i="2"/>
  <c r="B36" i="2"/>
  <c r="B37" i="2"/>
  <c r="B39" i="2"/>
  <c r="B40" i="2"/>
  <c r="B41" i="2"/>
  <c r="B42" i="2"/>
  <c r="B43" i="2"/>
  <c r="B44" i="2"/>
  <c r="B45" i="2"/>
  <c r="B46" i="2"/>
  <c r="B47" i="2"/>
  <c r="B48" i="2"/>
  <c r="W198" i="6" l="1"/>
  <c r="U206" i="1"/>
  <c r="E489" i="6"/>
  <c r="L476" i="6"/>
  <c r="L477" i="6"/>
  <c r="Q477" i="6" s="1"/>
  <c r="L447" i="6"/>
  <c r="L449" i="6"/>
  <c r="Q449" i="6" s="1"/>
  <c r="K419" i="6"/>
  <c r="L523" i="6"/>
  <c r="L524" i="6"/>
  <c r="Q524" i="6" s="1"/>
  <c r="K441" i="6"/>
  <c r="L534" i="6"/>
  <c r="Q534" i="6" s="1"/>
  <c r="L533" i="6"/>
  <c r="GX206" i="1"/>
  <c r="P202" i="1"/>
  <c r="E466" i="6"/>
  <c r="L424" i="6"/>
  <c r="L425" i="6"/>
  <c r="Q425" i="6" s="1"/>
  <c r="L514" i="6"/>
  <c r="Q514" i="6" s="1"/>
  <c r="L513" i="6"/>
  <c r="K430" i="6"/>
  <c r="L294" i="6"/>
  <c r="L295" i="6"/>
  <c r="Q295" i="6" s="1"/>
  <c r="GX202" i="1"/>
  <c r="L467" i="6"/>
  <c r="Q467" i="6" s="1"/>
  <c r="L465" i="6"/>
  <c r="CZ161" i="1"/>
  <c r="Y161" i="1" s="1"/>
  <c r="V435" i="6" s="1"/>
  <c r="CY161" i="1"/>
  <c r="X161" i="1" s="1"/>
  <c r="T435" i="6" s="1"/>
  <c r="C331" i="6"/>
  <c r="E330" i="6"/>
  <c r="CT102" i="1"/>
  <c r="CQ96" i="1"/>
  <c r="CQ92" i="1"/>
  <c r="P92" i="1" s="1"/>
  <c r="K280" i="6" s="1"/>
  <c r="J281" i="6" s="1"/>
  <c r="P281" i="6" s="1"/>
  <c r="H280" i="6"/>
  <c r="L274" i="6"/>
  <c r="L275" i="6"/>
  <c r="Q275" i="6" s="1"/>
  <c r="U45" i="1"/>
  <c r="C114" i="6"/>
  <c r="E113" i="6"/>
  <c r="I46" i="1"/>
  <c r="E124" i="6" s="1"/>
  <c r="K49" i="1"/>
  <c r="I48" i="1"/>
  <c r="I45" i="1"/>
  <c r="GX45" i="1" s="1"/>
  <c r="K48" i="1"/>
  <c r="I44" i="1"/>
  <c r="I47" i="1"/>
  <c r="E125" i="6" s="1"/>
  <c r="CS34" i="1"/>
  <c r="H71" i="6"/>
  <c r="CR34" i="1"/>
  <c r="CQ165" i="1"/>
  <c r="P165" i="1" s="1"/>
  <c r="H450" i="6"/>
  <c r="CQ164" i="1"/>
  <c r="P164" i="1" s="1"/>
  <c r="CP164" i="1" s="1"/>
  <c r="O164" i="1" s="1"/>
  <c r="K448" i="6" s="1"/>
  <c r="H448" i="6"/>
  <c r="W448" i="6" s="1"/>
  <c r="U160" i="1"/>
  <c r="CX186" i="3"/>
  <c r="E402" i="6"/>
  <c r="C403" i="6"/>
  <c r="CS153" i="1"/>
  <c r="R153" i="1" s="1"/>
  <c r="K396" i="6" s="1"/>
  <c r="E383" i="6"/>
  <c r="C384" i="6"/>
  <c r="AB149" i="1"/>
  <c r="CS144" i="1"/>
  <c r="R144" i="1" s="1"/>
  <c r="K363" i="6" s="1"/>
  <c r="H362" i="6"/>
  <c r="H363" i="6"/>
  <c r="R363" i="6" s="1"/>
  <c r="AD143" i="1"/>
  <c r="CQ142" i="1"/>
  <c r="P142" i="1" s="1"/>
  <c r="K353" i="6" s="1"/>
  <c r="I143" i="1"/>
  <c r="C349" i="6"/>
  <c r="E348" i="6"/>
  <c r="G26" i="1"/>
  <c r="AF334" i="6"/>
  <c r="A334" i="6"/>
  <c r="E327" i="6"/>
  <c r="C328" i="6"/>
  <c r="S299" i="6"/>
  <c r="U299" i="6"/>
  <c r="H300" i="6"/>
  <c r="R300" i="6" s="1"/>
  <c r="CT97" i="1"/>
  <c r="AD94" i="1"/>
  <c r="CR94" i="1"/>
  <c r="Q94" i="1" s="1"/>
  <c r="S278" i="6"/>
  <c r="U278" i="6"/>
  <c r="CT91" i="1"/>
  <c r="S91" i="1" s="1"/>
  <c r="H265" i="6"/>
  <c r="CQ88" i="1"/>
  <c r="P88" i="1" s="1"/>
  <c r="CT75" i="1"/>
  <c r="S75" i="1" s="1"/>
  <c r="H219" i="6"/>
  <c r="U218" i="6"/>
  <c r="H224" i="6" s="1"/>
  <c r="S218" i="6"/>
  <c r="H223" i="6" s="1"/>
  <c r="L215" i="6"/>
  <c r="Q215" i="6" s="1"/>
  <c r="L214" i="6"/>
  <c r="CT59" i="1"/>
  <c r="H168" i="6"/>
  <c r="R168" i="6" s="1"/>
  <c r="H167" i="6"/>
  <c r="CR56" i="1"/>
  <c r="Q56" i="1" s="1"/>
  <c r="K167" i="6" s="1"/>
  <c r="V48" i="1"/>
  <c r="T45" i="1"/>
  <c r="AD34" i="1"/>
  <c r="AB34" i="1" s="1"/>
  <c r="S437" i="6"/>
  <c r="U437" i="6"/>
  <c r="CQ153" i="1"/>
  <c r="P153" i="1" s="1"/>
  <c r="H397" i="6"/>
  <c r="G382" i="6"/>
  <c r="O382" i="6" s="1"/>
  <c r="W382" i="6"/>
  <c r="Q216" i="1"/>
  <c r="K528" i="6" s="1"/>
  <c r="U507" i="6"/>
  <c r="S507" i="6"/>
  <c r="T212" i="1"/>
  <c r="U450" i="6"/>
  <c r="S450" i="6"/>
  <c r="R145" i="1"/>
  <c r="S212" i="1"/>
  <c r="K501" i="6" s="1"/>
  <c r="S208" i="1"/>
  <c r="H435" i="6"/>
  <c r="CX188" i="3"/>
  <c r="E417" i="6"/>
  <c r="C418" i="6"/>
  <c r="G376" i="6"/>
  <c r="O376" i="6" s="1"/>
  <c r="W376" i="6"/>
  <c r="K350" i="6"/>
  <c r="U495" i="6"/>
  <c r="S495" i="6"/>
  <c r="V159" i="1"/>
  <c r="L321" i="6"/>
  <c r="L323" i="6"/>
  <c r="Q323" i="6" s="1"/>
  <c r="GX216" i="1"/>
  <c r="CC221" i="1"/>
  <c r="W202" i="1"/>
  <c r="T201" i="1"/>
  <c r="T216" i="1"/>
  <c r="CQ215" i="1"/>
  <c r="P215" i="1" s="1"/>
  <c r="K520" i="6" s="1"/>
  <c r="H520" i="6"/>
  <c r="AD210" i="1"/>
  <c r="GX205" i="1"/>
  <c r="CR204" i="1"/>
  <c r="H460" i="6"/>
  <c r="R460" i="6" s="1"/>
  <c r="U458" i="6"/>
  <c r="S458" i="6"/>
  <c r="G139" i="1"/>
  <c r="A453" i="6"/>
  <c r="CT162" i="1"/>
  <c r="S162" i="1" s="1"/>
  <c r="CY162" i="1" s="1"/>
  <c r="X162" i="1" s="1"/>
  <c r="T437" i="6" s="1"/>
  <c r="CR161" i="1"/>
  <c r="Q161" i="1" s="1"/>
  <c r="GX160" i="1"/>
  <c r="T160" i="1"/>
  <c r="U413" i="6"/>
  <c r="S413" i="6"/>
  <c r="H404" i="6"/>
  <c r="U402" i="6"/>
  <c r="H406" i="6" s="1"/>
  <c r="S402" i="6"/>
  <c r="H405" i="6" s="1"/>
  <c r="CQ151" i="1"/>
  <c r="P151" i="1" s="1"/>
  <c r="K381" i="6" s="1"/>
  <c r="J382" i="6" s="1"/>
  <c r="P382" i="6" s="1"/>
  <c r="CT150" i="1"/>
  <c r="S150" i="1" s="1"/>
  <c r="CP150" i="1" s="1"/>
  <c r="O150" i="1" s="1"/>
  <c r="U379" i="6"/>
  <c r="S379" i="6"/>
  <c r="CQ149" i="1"/>
  <c r="P149" i="1" s="1"/>
  <c r="H377" i="6"/>
  <c r="AD144" i="1"/>
  <c r="W143" i="1"/>
  <c r="H357" i="6"/>
  <c r="W357" i="6" s="1"/>
  <c r="E313" i="6"/>
  <c r="C314" i="6"/>
  <c r="K103" i="1"/>
  <c r="CS100" i="1"/>
  <c r="R100" i="1" s="1"/>
  <c r="CZ100" i="1" s="1"/>
  <c r="Y100" i="1" s="1"/>
  <c r="V311" i="6" s="1"/>
  <c r="U309" i="6"/>
  <c r="S309" i="6"/>
  <c r="AD97" i="1"/>
  <c r="H301" i="6"/>
  <c r="H302" i="6"/>
  <c r="R302" i="6" s="1"/>
  <c r="CT95" i="1"/>
  <c r="S95" i="1" s="1"/>
  <c r="K288" i="6" s="1"/>
  <c r="U286" i="6"/>
  <c r="H293" i="6" s="1"/>
  <c r="S286" i="6"/>
  <c r="H292" i="6" s="1"/>
  <c r="H288" i="6"/>
  <c r="CQ94" i="1"/>
  <c r="P94" i="1" s="1"/>
  <c r="K284" i="6" s="1"/>
  <c r="J285" i="6" s="1"/>
  <c r="P285" i="6" s="1"/>
  <c r="H284" i="6"/>
  <c r="AD91" i="1"/>
  <c r="CR91" i="1"/>
  <c r="Q91" i="1" s="1"/>
  <c r="CT82" i="1"/>
  <c r="CT80" i="1"/>
  <c r="CR51" i="1"/>
  <c r="CS51" i="1"/>
  <c r="I49" i="1"/>
  <c r="U48" i="1"/>
  <c r="L129" i="6" s="1"/>
  <c r="Q129" i="6" s="1"/>
  <c r="S47" i="1"/>
  <c r="S43" i="1"/>
  <c r="K115" i="6" s="1"/>
  <c r="T206" i="1"/>
  <c r="G199" i="1"/>
  <c r="A542" i="6"/>
  <c r="CT206" i="1"/>
  <c r="S206" i="1" s="1"/>
  <c r="U489" i="6"/>
  <c r="S489" i="6"/>
  <c r="AB202" i="1"/>
  <c r="V155" i="1"/>
  <c r="S383" i="6"/>
  <c r="H388" i="6" s="1"/>
  <c r="H385" i="6"/>
  <c r="U383" i="6"/>
  <c r="H389" i="6" s="1"/>
  <c r="CT148" i="1"/>
  <c r="S148" i="1" s="1"/>
  <c r="U375" i="6"/>
  <c r="S375" i="6"/>
  <c r="CQ204" i="1"/>
  <c r="W201" i="1"/>
  <c r="CP158" i="1"/>
  <c r="O158" i="1" s="1"/>
  <c r="K415" i="6"/>
  <c r="J416" i="6" s="1"/>
  <c r="P416" i="6" s="1"/>
  <c r="R155" i="1"/>
  <c r="CZ155" i="1" s="1"/>
  <c r="Y155" i="1" s="1"/>
  <c r="V409" i="6" s="1"/>
  <c r="L400" i="6"/>
  <c r="L401" i="6"/>
  <c r="Q401" i="6" s="1"/>
  <c r="AD152" i="1"/>
  <c r="AB152" i="1" s="1"/>
  <c r="H386" i="6"/>
  <c r="H387" i="6"/>
  <c r="R387" i="6" s="1"/>
  <c r="GX145" i="1"/>
  <c r="E369" i="6"/>
  <c r="L347" i="6"/>
  <c r="Q347" i="6" s="1"/>
  <c r="L346" i="6"/>
  <c r="AD209" i="1"/>
  <c r="CQ206" i="1"/>
  <c r="H489" i="6"/>
  <c r="W489" i="6" s="1"/>
  <c r="CT203" i="1"/>
  <c r="S203" i="1" s="1"/>
  <c r="H470" i="6"/>
  <c r="S468" i="6"/>
  <c r="H474" i="6" s="1"/>
  <c r="U468" i="6"/>
  <c r="H475" i="6" s="1"/>
  <c r="G22" i="1"/>
  <c r="A544" i="6"/>
  <c r="CP218" i="1"/>
  <c r="CT215" i="1"/>
  <c r="S215" i="1" s="1"/>
  <c r="K517" i="6" s="1"/>
  <c r="H517" i="6"/>
  <c r="U515" i="6"/>
  <c r="H522" i="6" s="1"/>
  <c r="S515" i="6"/>
  <c r="H521" i="6" s="1"/>
  <c r="AD213" i="1"/>
  <c r="CT207" i="1"/>
  <c r="CQ205" i="1"/>
  <c r="P205" i="1" s="1"/>
  <c r="CS203" i="1"/>
  <c r="R203" i="1" s="1"/>
  <c r="K472" i="6" s="1"/>
  <c r="H472" i="6"/>
  <c r="R472" i="6" s="1"/>
  <c r="H471" i="6"/>
  <c r="AD165" i="1"/>
  <c r="AB165" i="1" s="1"/>
  <c r="AD163" i="1"/>
  <c r="GX159" i="1"/>
  <c r="W155" i="1"/>
  <c r="CT149" i="1"/>
  <c r="S149" i="1" s="1"/>
  <c r="CY149" i="1" s="1"/>
  <c r="X149" i="1" s="1"/>
  <c r="S377" i="6"/>
  <c r="U377" i="6"/>
  <c r="CQ146" i="1"/>
  <c r="P146" i="1" s="1"/>
  <c r="K371" i="6" s="1"/>
  <c r="J372" i="6" s="1"/>
  <c r="P372" i="6" s="1"/>
  <c r="H371" i="6"/>
  <c r="AD215" i="1"/>
  <c r="AB215" i="1" s="1"/>
  <c r="H519" i="6"/>
  <c r="R519" i="6" s="1"/>
  <c r="H518" i="6"/>
  <c r="CT214" i="1"/>
  <c r="S214" i="1" s="1"/>
  <c r="K510" i="6" s="1"/>
  <c r="H510" i="6"/>
  <c r="U509" i="6"/>
  <c r="H512" i="6" s="1"/>
  <c r="S509" i="6"/>
  <c r="H511" i="6" s="1"/>
  <c r="CT216" i="1"/>
  <c r="S216" i="1" s="1"/>
  <c r="K527" i="6" s="1"/>
  <c r="U525" i="6"/>
  <c r="H532" i="6" s="1"/>
  <c r="S525" i="6"/>
  <c r="H531" i="6" s="1"/>
  <c r="H527" i="6"/>
  <c r="CT213" i="1"/>
  <c r="S213" i="1" s="1"/>
  <c r="U212" i="1"/>
  <c r="U497" i="6"/>
  <c r="S497" i="6"/>
  <c r="AB210" i="1"/>
  <c r="H495" i="6"/>
  <c r="CR209" i="1"/>
  <c r="Q209" i="1" s="1"/>
  <c r="GX208" i="1"/>
  <c r="V208" i="1"/>
  <c r="CS206" i="1"/>
  <c r="R206" i="1" s="1"/>
  <c r="U205" i="1"/>
  <c r="AD201" i="1"/>
  <c r="AB201" i="1" s="1"/>
  <c r="H462" i="6"/>
  <c r="R462" i="6" s="1"/>
  <c r="H461" i="6"/>
  <c r="CT165" i="1"/>
  <c r="S165" i="1" s="1"/>
  <c r="CR162" i="1"/>
  <c r="Q162" i="1" s="1"/>
  <c r="CQ161" i="1"/>
  <c r="P161" i="1" s="1"/>
  <c r="U426" i="6"/>
  <c r="H432" i="6" s="1"/>
  <c r="S426" i="6"/>
  <c r="H431" i="6" s="1"/>
  <c r="H427" i="6"/>
  <c r="U417" i="6"/>
  <c r="H423" i="6" s="1"/>
  <c r="S417" i="6"/>
  <c r="H422" i="6" s="1"/>
  <c r="H419" i="6"/>
  <c r="GX155" i="1"/>
  <c r="T155" i="1"/>
  <c r="C393" i="6"/>
  <c r="E392" i="6"/>
  <c r="CS152" i="1"/>
  <c r="CS148" i="1"/>
  <c r="R148" i="1" s="1"/>
  <c r="CQ144" i="1"/>
  <c r="P144" i="1" s="1"/>
  <c r="K364" i="6" s="1"/>
  <c r="H364" i="6"/>
  <c r="V141" i="1"/>
  <c r="AI167" i="1" s="1"/>
  <c r="CQ91" i="1"/>
  <c r="P91" i="1" s="1"/>
  <c r="H278" i="6"/>
  <c r="L161" i="6"/>
  <c r="Q161" i="6" s="1"/>
  <c r="L160" i="6"/>
  <c r="W47" i="1"/>
  <c r="Q43" i="1"/>
  <c r="K116" i="6" s="1"/>
  <c r="G380" i="6"/>
  <c r="O380" i="6" s="1"/>
  <c r="U439" i="6"/>
  <c r="S439" i="6"/>
  <c r="H441" i="6"/>
  <c r="R441" i="6" s="1"/>
  <c r="CT146" i="1"/>
  <c r="S146" i="1" s="1"/>
  <c r="S371" i="6"/>
  <c r="U371" i="6"/>
  <c r="V201" i="1"/>
  <c r="AD162" i="1"/>
  <c r="Q155" i="1"/>
  <c r="CT143" i="1"/>
  <c r="S143" i="1" s="1"/>
  <c r="U357" i="6"/>
  <c r="S357" i="6"/>
  <c r="V216" i="1"/>
  <c r="U359" i="6"/>
  <c r="H366" i="6" s="1"/>
  <c r="S359" i="6"/>
  <c r="H365" i="6" s="1"/>
  <c r="H361" i="6"/>
  <c r="CQ208" i="1"/>
  <c r="P208" i="1" s="1"/>
  <c r="V206" i="1"/>
  <c r="CS204" i="1"/>
  <c r="CP219" i="1"/>
  <c r="H539" i="6"/>
  <c r="CP217" i="1"/>
  <c r="AD216" i="1"/>
  <c r="H528" i="6"/>
  <c r="H529" i="6"/>
  <c r="R529" i="6" s="1"/>
  <c r="CR213" i="1"/>
  <c r="Q213" i="1" s="1"/>
  <c r="CQ209" i="1"/>
  <c r="P209" i="1" s="1"/>
  <c r="CR206" i="1"/>
  <c r="T205" i="1"/>
  <c r="E468" i="6"/>
  <c r="C469" i="6"/>
  <c r="P201" i="1"/>
  <c r="CS165" i="1"/>
  <c r="R165" i="1" s="1"/>
  <c r="CS164" i="1"/>
  <c r="R164" i="1" s="1"/>
  <c r="CQ162" i="1"/>
  <c r="P162" i="1" s="1"/>
  <c r="CS160" i="1"/>
  <c r="R160" i="1" s="1"/>
  <c r="K429" i="6" s="1"/>
  <c r="H428" i="6"/>
  <c r="H429" i="6"/>
  <c r="R429" i="6" s="1"/>
  <c r="CS159" i="1"/>
  <c r="R159" i="1" s="1"/>
  <c r="CY159" i="1" s="1"/>
  <c r="X159" i="1" s="1"/>
  <c r="T417" i="6" s="1"/>
  <c r="K422" i="6" s="1"/>
  <c r="H420" i="6"/>
  <c r="U415" i="6"/>
  <c r="S415" i="6"/>
  <c r="CZ157" i="1"/>
  <c r="Y157" i="1" s="1"/>
  <c r="V413" i="6" s="1"/>
  <c r="G414" i="6"/>
  <c r="O414" i="6" s="1"/>
  <c r="W414" i="6"/>
  <c r="CT155" i="1"/>
  <c r="S155" i="1" s="1"/>
  <c r="U409" i="6"/>
  <c r="S409" i="6"/>
  <c r="AD154" i="1"/>
  <c r="AB154" i="1" s="1"/>
  <c r="GX153" i="1"/>
  <c r="CR148" i="1"/>
  <c r="Q148" i="1" s="1"/>
  <c r="CT147" i="1"/>
  <c r="S147" i="1" s="1"/>
  <c r="U373" i="6"/>
  <c r="S373" i="6"/>
  <c r="CT145" i="1"/>
  <c r="S145" i="1" s="1"/>
  <c r="U369" i="6"/>
  <c r="S369" i="6"/>
  <c r="CS143" i="1"/>
  <c r="U142" i="1"/>
  <c r="CT103" i="1"/>
  <c r="U324" i="6"/>
  <c r="H291" i="6"/>
  <c r="CQ95" i="1"/>
  <c r="P95" i="1" s="1"/>
  <c r="CY88" i="1"/>
  <c r="X88" i="1" s="1"/>
  <c r="T265" i="6" s="1"/>
  <c r="CZ88" i="1"/>
  <c r="Y88" i="1" s="1"/>
  <c r="V265" i="6" s="1"/>
  <c r="CR85" i="1"/>
  <c r="CS85" i="1"/>
  <c r="AD85" i="1"/>
  <c r="AB85" i="1" s="1"/>
  <c r="CQ80" i="1"/>
  <c r="GX58" i="1"/>
  <c r="W438" i="6"/>
  <c r="H502" i="6"/>
  <c r="CT202" i="1"/>
  <c r="U466" i="6"/>
  <c r="S466" i="6"/>
  <c r="CX212" i="3"/>
  <c r="E458" i="6"/>
  <c r="C459" i="6"/>
  <c r="E525" i="6"/>
  <c r="C526" i="6"/>
  <c r="S493" i="6"/>
  <c r="U493" i="6"/>
  <c r="CX233" i="3"/>
  <c r="E499" i="6"/>
  <c r="C500" i="6"/>
  <c r="H466" i="6"/>
  <c r="W466" i="6" s="1"/>
  <c r="U448" i="6"/>
  <c r="S448" i="6"/>
  <c r="AD161" i="1"/>
  <c r="AB161" i="1" s="1"/>
  <c r="L367" i="6"/>
  <c r="L368" i="6"/>
  <c r="Q368" i="6" s="1"/>
  <c r="S141" i="1"/>
  <c r="K341" i="6" s="1"/>
  <c r="C340" i="6"/>
  <c r="E339" i="6"/>
  <c r="CS163" i="1"/>
  <c r="R163" i="1" s="1"/>
  <c r="K443" i="6" s="1"/>
  <c r="H442" i="6"/>
  <c r="H443" i="6"/>
  <c r="R443" i="6" s="1"/>
  <c r="S411" i="6"/>
  <c r="U411" i="6"/>
  <c r="Q145" i="1"/>
  <c r="W494" i="6"/>
  <c r="G494" i="6"/>
  <c r="O494" i="6" s="1"/>
  <c r="E480" i="6"/>
  <c r="C481" i="6"/>
  <c r="GX201" i="1"/>
  <c r="AD164" i="1"/>
  <c r="AB164" i="1" s="1"/>
  <c r="L407" i="6"/>
  <c r="L408" i="6"/>
  <c r="Q408" i="6" s="1"/>
  <c r="W145" i="1"/>
  <c r="CQ216" i="1"/>
  <c r="P216" i="1" s="1"/>
  <c r="K530" i="6" s="1"/>
  <c r="H530" i="6"/>
  <c r="BY221" i="1"/>
  <c r="CQ213" i="1"/>
  <c r="P213" i="1" s="1"/>
  <c r="K507" i="6" s="1"/>
  <c r="J508" i="6" s="1"/>
  <c r="P508" i="6" s="1"/>
  <c r="H501" i="6"/>
  <c r="U499" i="6"/>
  <c r="H504" i="6" s="1"/>
  <c r="S499" i="6"/>
  <c r="H503" i="6" s="1"/>
  <c r="CT210" i="1"/>
  <c r="S210" i="1" s="1"/>
  <c r="I207" i="1"/>
  <c r="E490" i="6" s="1"/>
  <c r="W206" i="1"/>
  <c r="H482" i="6"/>
  <c r="R482" i="6" s="1"/>
  <c r="U480" i="6"/>
  <c r="S480" i="6"/>
  <c r="CD221" i="1"/>
  <c r="V202" i="1"/>
  <c r="CQ163" i="1"/>
  <c r="P163" i="1" s="1"/>
  <c r="E439" i="6"/>
  <c r="C440" i="6"/>
  <c r="AD160" i="1"/>
  <c r="AD159" i="1"/>
  <c r="CT156" i="1"/>
  <c r="S156" i="1" s="1"/>
  <c r="CY156" i="1" s="1"/>
  <c r="X156" i="1" s="1"/>
  <c r="T411" i="6" s="1"/>
  <c r="AB155" i="1"/>
  <c r="E359" i="6"/>
  <c r="C360" i="6"/>
  <c r="GX142" i="1"/>
  <c r="T142" i="1"/>
  <c r="S327" i="6"/>
  <c r="U327" i="6"/>
  <c r="I102" i="1"/>
  <c r="U322" i="6" s="1"/>
  <c r="AB99" i="1"/>
  <c r="W97" i="1"/>
  <c r="E299" i="6"/>
  <c r="CT78" i="1"/>
  <c r="AB78" i="1"/>
  <c r="K201" i="6"/>
  <c r="J202" i="6" s="1"/>
  <c r="P202" i="6" s="1"/>
  <c r="U197" i="6"/>
  <c r="S197" i="6"/>
  <c r="CT68" i="1"/>
  <c r="S68" i="1" s="1"/>
  <c r="AD64" i="1"/>
  <c r="CR64" i="1"/>
  <c r="CS64" i="1"/>
  <c r="R64" i="1" s="1"/>
  <c r="GX50" i="1"/>
  <c r="P49" i="1"/>
  <c r="CS38" i="1"/>
  <c r="R38" i="1" s="1"/>
  <c r="CR38" i="1"/>
  <c r="Q38" i="1" s="1"/>
  <c r="E77" i="6"/>
  <c r="W36" i="1"/>
  <c r="GX36" i="1"/>
  <c r="I37" i="1"/>
  <c r="E82" i="6" s="1"/>
  <c r="C516" i="6"/>
  <c r="E515" i="6"/>
  <c r="AB211" i="1"/>
  <c r="H497" i="6"/>
  <c r="CS210" i="1"/>
  <c r="R210" i="1" s="1"/>
  <c r="S491" i="6"/>
  <c r="U491" i="6"/>
  <c r="H484" i="6"/>
  <c r="R484" i="6" s="1"/>
  <c r="H483" i="6"/>
  <c r="CQ203" i="1"/>
  <c r="P203" i="1" s="1"/>
  <c r="K473" i="6" s="1"/>
  <c r="U202" i="1"/>
  <c r="Q164" i="1"/>
  <c r="E448" i="6"/>
  <c r="H430" i="6"/>
  <c r="H421" i="6"/>
  <c r="CQ156" i="1"/>
  <c r="P156" i="1" s="1"/>
  <c r="K411" i="6" s="1"/>
  <c r="J412" i="6" s="1"/>
  <c r="P412" i="6" s="1"/>
  <c r="CQ155" i="1"/>
  <c r="P155" i="1" s="1"/>
  <c r="H409" i="6"/>
  <c r="CT154" i="1"/>
  <c r="S154" i="1" s="1"/>
  <c r="CY154" i="1" s="1"/>
  <c r="X154" i="1" s="1"/>
  <c r="T402" i="6" s="1"/>
  <c r="K405" i="6" s="1"/>
  <c r="GX152" i="1"/>
  <c r="CS149" i="1"/>
  <c r="R149" i="1" s="1"/>
  <c r="CQ147" i="1"/>
  <c r="P147" i="1" s="1"/>
  <c r="H373" i="6"/>
  <c r="CQ145" i="1"/>
  <c r="P145" i="1" s="1"/>
  <c r="H369" i="6"/>
  <c r="CT144" i="1"/>
  <c r="S144" i="1" s="1"/>
  <c r="K361" i="6" s="1"/>
  <c r="CQ143" i="1"/>
  <c r="P143" i="1" s="1"/>
  <c r="H350" i="6"/>
  <c r="R350" i="6" s="1"/>
  <c r="U348" i="6"/>
  <c r="S348" i="6"/>
  <c r="H354" i="6" s="1"/>
  <c r="H341" i="6"/>
  <c r="U339" i="6"/>
  <c r="H345" i="6" s="1"/>
  <c r="S339" i="6"/>
  <c r="H344" i="6" s="1"/>
  <c r="GX105" i="1"/>
  <c r="AB103" i="1"/>
  <c r="CS102" i="1"/>
  <c r="R102" i="1" s="1"/>
  <c r="GX101" i="1"/>
  <c r="CT99" i="1"/>
  <c r="S99" i="1" s="1"/>
  <c r="R84" i="1"/>
  <c r="V83" i="1"/>
  <c r="V66" i="1"/>
  <c r="W49" i="1"/>
  <c r="U43" i="1"/>
  <c r="V37" i="1"/>
  <c r="W310" i="6"/>
  <c r="G412" i="6"/>
  <c r="O412" i="6" s="1"/>
  <c r="CS215" i="1"/>
  <c r="R215" i="1" s="1"/>
  <c r="K519" i="6" s="1"/>
  <c r="CS214" i="1"/>
  <c r="R214" i="1" s="1"/>
  <c r="CZ214" i="1" s="1"/>
  <c r="Y214" i="1" s="1"/>
  <c r="V509" i="6" s="1"/>
  <c r="K512" i="6" s="1"/>
  <c r="AD212" i="1"/>
  <c r="AB212" i="1" s="1"/>
  <c r="R208" i="1"/>
  <c r="CQ207" i="1"/>
  <c r="AD205" i="1"/>
  <c r="AB205" i="1" s="1"/>
  <c r="CT201" i="1"/>
  <c r="S201" i="1" s="1"/>
  <c r="K460" i="6" s="1"/>
  <c r="GX163" i="1"/>
  <c r="V163" i="1"/>
  <c r="G416" i="6"/>
  <c r="O416" i="6" s="1"/>
  <c r="W416" i="6"/>
  <c r="CT153" i="1"/>
  <c r="S153" i="1" s="1"/>
  <c r="K394" i="6" s="1"/>
  <c r="U392" i="6"/>
  <c r="H399" i="6" s="1"/>
  <c r="H394" i="6"/>
  <c r="S392" i="6"/>
  <c r="H398" i="6" s="1"/>
  <c r="CT151" i="1"/>
  <c r="S151" i="1" s="1"/>
  <c r="CY151" i="1" s="1"/>
  <c r="X151" i="1" s="1"/>
  <c r="T381" i="6" s="1"/>
  <c r="S381" i="6"/>
  <c r="U381" i="6"/>
  <c r="CR149" i="1"/>
  <c r="Q149" i="1" s="1"/>
  <c r="AB147" i="1"/>
  <c r="AB145" i="1"/>
  <c r="CR144" i="1"/>
  <c r="Q144" i="1" s="1"/>
  <c r="K362" i="6" s="1"/>
  <c r="CS142" i="1"/>
  <c r="R142" i="1" s="1"/>
  <c r="H352" i="6"/>
  <c r="R352" i="6" s="1"/>
  <c r="H351" i="6"/>
  <c r="H343" i="6"/>
  <c r="R343" i="6" s="1"/>
  <c r="H342" i="6"/>
  <c r="CT105" i="1"/>
  <c r="S105" i="1" s="1"/>
  <c r="S330" i="6"/>
  <c r="U330" i="6"/>
  <c r="AD104" i="1"/>
  <c r="CR102" i="1"/>
  <c r="Q102" i="1" s="1"/>
  <c r="CT101" i="1"/>
  <c r="S101" i="1" s="1"/>
  <c r="H315" i="6"/>
  <c r="R315" i="6" s="1"/>
  <c r="U313" i="6"/>
  <c r="S313" i="6"/>
  <c r="S89" i="1"/>
  <c r="K268" i="6" s="1"/>
  <c r="GX84" i="1"/>
  <c r="CQ84" i="1"/>
  <c r="P84" i="1" s="1"/>
  <c r="H259" i="6"/>
  <c r="W259" i="6" s="1"/>
  <c r="U83" i="1"/>
  <c r="GX47" i="1"/>
  <c r="CQ44" i="1"/>
  <c r="P44" i="1" s="1"/>
  <c r="H122" i="6"/>
  <c r="W122" i="6" s="1"/>
  <c r="AB44" i="1"/>
  <c r="T43" i="1"/>
  <c r="L104" i="6"/>
  <c r="Q104" i="6" s="1"/>
  <c r="L103" i="6"/>
  <c r="CR33" i="1"/>
  <c r="CS33" i="1"/>
  <c r="S435" i="6"/>
  <c r="U435" i="6"/>
  <c r="S160" i="1"/>
  <c r="CP160" i="1" s="1"/>
  <c r="O160" i="1" s="1"/>
  <c r="AD153" i="1"/>
  <c r="H396" i="6"/>
  <c r="R396" i="6" s="1"/>
  <c r="H395" i="6"/>
  <c r="CD167" i="1"/>
  <c r="V143" i="1"/>
  <c r="AB142" i="1"/>
  <c r="G329" i="6"/>
  <c r="O329" i="6" s="1"/>
  <c r="W329" i="6"/>
  <c r="T103" i="1"/>
  <c r="W102" i="1"/>
  <c r="H317" i="6"/>
  <c r="R317" i="6" s="1"/>
  <c r="H316" i="6"/>
  <c r="AD101" i="1"/>
  <c r="CR101" i="1"/>
  <c r="Q101" i="1" s="1"/>
  <c r="K316" i="6" s="1"/>
  <c r="CQ93" i="1"/>
  <c r="P93" i="1" s="1"/>
  <c r="H282" i="6"/>
  <c r="H230" i="6"/>
  <c r="CQ77" i="1"/>
  <c r="U74" i="1"/>
  <c r="L217" i="6" s="1"/>
  <c r="Q217" i="6" s="1"/>
  <c r="S195" i="6"/>
  <c r="U195" i="6"/>
  <c r="CT67" i="1"/>
  <c r="S67" i="1" s="1"/>
  <c r="T66" i="1"/>
  <c r="CX60" i="3"/>
  <c r="E133" i="6"/>
  <c r="C134" i="6"/>
  <c r="I51" i="1"/>
  <c r="E141" i="6" s="1"/>
  <c r="CQ29" i="1"/>
  <c r="P29" i="1" s="1"/>
  <c r="K49" i="6" s="1"/>
  <c r="J50" i="6" s="1"/>
  <c r="P50" i="6" s="1"/>
  <c r="H49" i="6"/>
  <c r="AB29" i="1"/>
  <c r="H330" i="6"/>
  <c r="S104" i="1"/>
  <c r="V102" i="1"/>
  <c r="H311" i="6"/>
  <c r="CQ100" i="1"/>
  <c r="P100" i="1" s="1"/>
  <c r="K311" i="6" s="1"/>
  <c r="J312" i="6" s="1"/>
  <c r="P312" i="6" s="1"/>
  <c r="CQ99" i="1"/>
  <c r="P99" i="1" s="1"/>
  <c r="P89" i="1"/>
  <c r="K271" i="6" s="1"/>
  <c r="GX83" i="1"/>
  <c r="H253" i="6"/>
  <c r="CQ81" i="1"/>
  <c r="P81" i="1" s="1"/>
  <c r="K253" i="6" s="1"/>
  <c r="H241" i="6"/>
  <c r="CQ79" i="1"/>
  <c r="P79" i="1" s="1"/>
  <c r="K241" i="6" s="1"/>
  <c r="CS67" i="1"/>
  <c r="R67" i="1" s="1"/>
  <c r="CR67" i="1"/>
  <c r="Q67" i="1" s="1"/>
  <c r="AD67" i="1"/>
  <c r="AB67" i="1" s="1"/>
  <c r="CQ55" i="1"/>
  <c r="CQ52" i="1"/>
  <c r="P52" i="1" s="1"/>
  <c r="AB52" i="1"/>
  <c r="H125" i="6"/>
  <c r="W125" i="6" s="1"/>
  <c r="CR39" i="1"/>
  <c r="Q39" i="1" s="1"/>
  <c r="CS39" i="1"/>
  <c r="R39" i="1" s="1"/>
  <c r="CS104" i="1"/>
  <c r="R104" i="1" s="1"/>
  <c r="W264" i="6"/>
  <c r="G264" i="6"/>
  <c r="O264" i="6" s="1"/>
  <c r="L245" i="6"/>
  <c r="Q245" i="6" s="1"/>
  <c r="L244" i="6"/>
  <c r="U58" i="1"/>
  <c r="L172" i="6"/>
  <c r="L176" i="6"/>
  <c r="Q176" i="6" s="1"/>
  <c r="T50" i="1"/>
  <c r="AD39" i="1"/>
  <c r="AB39" i="1" s="1"/>
  <c r="GX37" i="1"/>
  <c r="CR37" i="1"/>
  <c r="Q37" i="1" s="1"/>
  <c r="CS37" i="1"/>
  <c r="R37" i="1" s="1"/>
  <c r="G538" i="6"/>
  <c r="O538" i="6" s="1"/>
  <c r="W508" i="6"/>
  <c r="K105" i="1"/>
  <c r="I103" i="1"/>
  <c r="V103" i="1" s="1"/>
  <c r="AB98" i="1"/>
  <c r="AD96" i="1"/>
  <c r="AB96" i="1" s="1"/>
  <c r="CZ79" i="1"/>
  <c r="Y79" i="1" s="1"/>
  <c r="V236" i="6" s="1"/>
  <c r="K243" i="6" s="1"/>
  <c r="K238" i="6"/>
  <c r="CY79" i="1"/>
  <c r="X79" i="1" s="1"/>
  <c r="T236" i="6" s="1"/>
  <c r="K242" i="6" s="1"/>
  <c r="R58" i="1"/>
  <c r="S50" i="1"/>
  <c r="K135" i="6" s="1"/>
  <c r="AD37" i="1"/>
  <c r="U36" i="1"/>
  <c r="H54" i="6"/>
  <c r="H55" i="6"/>
  <c r="R55" i="6" s="1"/>
  <c r="CR30" i="1"/>
  <c r="Q30" i="1" s="1"/>
  <c r="K54" i="6" s="1"/>
  <c r="CS30" i="1"/>
  <c r="R30" i="1" s="1"/>
  <c r="K55" i="6" s="1"/>
  <c r="W536" i="6"/>
  <c r="BY107" i="1"/>
  <c r="BY26" i="1" s="1"/>
  <c r="I77" i="1"/>
  <c r="T77" i="1" s="1"/>
  <c r="H220" i="6"/>
  <c r="H221" i="6"/>
  <c r="R221" i="6" s="1"/>
  <c r="U207" i="6"/>
  <c r="H213" i="6" s="1"/>
  <c r="S207" i="6"/>
  <c r="H212" i="6" s="1"/>
  <c r="H208" i="6"/>
  <c r="GX64" i="1"/>
  <c r="E192" i="6"/>
  <c r="CQ63" i="1"/>
  <c r="P63" i="1" s="1"/>
  <c r="K188" i="6" s="1"/>
  <c r="U150" i="6"/>
  <c r="S150" i="6"/>
  <c r="H141" i="6"/>
  <c r="W141" i="6" s="1"/>
  <c r="V49" i="1"/>
  <c r="U123" i="6"/>
  <c r="S123" i="6"/>
  <c r="GX41" i="1"/>
  <c r="T41" i="1"/>
  <c r="T40" i="1"/>
  <c r="H82" i="6"/>
  <c r="W82" i="6" s="1"/>
  <c r="H66" i="6"/>
  <c r="W66" i="6" s="1"/>
  <c r="H303" i="6"/>
  <c r="Q95" i="1"/>
  <c r="K289" i="6" s="1"/>
  <c r="S280" i="6"/>
  <c r="U280" i="6"/>
  <c r="CS87" i="1"/>
  <c r="R87" i="1" s="1"/>
  <c r="CT86" i="1"/>
  <c r="W83" i="1"/>
  <c r="K80" i="1"/>
  <c r="CQ78" i="1"/>
  <c r="H233" i="6"/>
  <c r="H210" i="6"/>
  <c r="R210" i="6" s="1"/>
  <c r="H209" i="6"/>
  <c r="AD68" i="1"/>
  <c r="AB68" i="1" s="1"/>
  <c r="H195" i="6"/>
  <c r="W195" i="6" s="1"/>
  <c r="CT65" i="1"/>
  <c r="S65" i="1" s="1"/>
  <c r="U193" i="6"/>
  <c r="S193" i="6"/>
  <c r="V58" i="1"/>
  <c r="S173" i="6"/>
  <c r="V50" i="1"/>
  <c r="GX49" i="1"/>
  <c r="CT48" i="1"/>
  <c r="S48" i="1" s="1"/>
  <c r="U127" i="6"/>
  <c r="S127" i="6"/>
  <c r="V43" i="1"/>
  <c r="U97" i="6"/>
  <c r="H102" i="6" s="1"/>
  <c r="S97" i="6"/>
  <c r="H101" i="6" s="1"/>
  <c r="H98" i="6"/>
  <c r="S95" i="6"/>
  <c r="U95" i="6"/>
  <c r="V39" i="1"/>
  <c r="S37" i="1"/>
  <c r="CP37" i="1" s="1"/>
  <c r="O37" i="1" s="1"/>
  <c r="K82" i="6" s="1"/>
  <c r="V36" i="1"/>
  <c r="CT31" i="1"/>
  <c r="S31" i="1" s="1"/>
  <c r="U59" i="6"/>
  <c r="S59" i="6"/>
  <c r="E286" i="6"/>
  <c r="C287" i="6"/>
  <c r="V89" i="1"/>
  <c r="S260" i="6"/>
  <c r="U260" i="6"/>
  <c r="CQ82" i="1"/>
  <c r="I80" i="1"/>
  <c r="H246" i="6" s="1"/>
  <c r="H222" i="6"/>
  <c r="AB73" i="1"/>
  <c r="U203" i="6"/>
  <c r="S203" i="6"/>
  <c r="U199" i="6"/>
  <c r="S199" i="6"/>
  <c r="T67" i="1"/>
  <c r="W66" i="1"/>
  <c r="CT54" i="1"/>
  <c r="S54" i="1" s="1"/>
  <c r="U152" i="6"/>
  <c r="H159" i="6" s="1"/>
  <c r="S152" i="6"/>
  <c r="H158" i="6" s="1"/>
  <c r="H154" i="6"/>
  <c r="CQ53" i="1"/>
  <c r="P53" i="1" s="1"/>
  <c r="H150" i="6"/>
  <c r="W150" i="6" s="1"/>
  <c r="R52" i="1"/>
  <c r="K146" i="6" s="1"/>
  <c r="U50" i="1"/>
  <c r="T49" i="1"/>
  <c r="CQ45" i="1"/>
  <c r="P45" i="1" s="1"/>
  <c r="H123" i="6"/>
  <c r="W123" i="6" s="1"/>
  <c r="L111" i="6"/>
  <c r="L112" i="6"/>
  <c r="Q112" i="6" s="1"/>
  <c r="CS41" i="1"/>
  <c r="R41" i="1" s="1"/>
  <c r="K100" i="6" s="1"/>
  <c r="H99" i="6"/>
  <c r="H100" i="6"/>
  <c r="R100" i="6" s="1"/>
  <c r="T32" i="1"/>
  <c r="AB76" i="1"/>
  <c r="U205" i="6"/>
  <c r="S205" i="6"/>
  <c r="U201" i="6"/>
  <c r="S201" i="6"/>
  <c r="L191" i="6"/>
  <c r="L196" i="6"/>
  <c r="Q196" i="6" s="1"/>
  <c r="CT61" i="1"/>
  <c r="S61" i="1" s="1"/>
  <c r="CP61" i="1" s="1"/>
  <c r="O61" i="1" s="1"/>
  <c r="U180" i="6"/>
  <c r="S180" i="6"/>
  <c r="C165" i="6"/>
  <c r="E164" i="6"/>
  <c r="AD54" i="1"/>
  <c r="H156" i="6"/>
  <c r="R156" i="6" s="1"/>
  <c r="H155" i="6"/>
  <c r="U130" i="6"/>
  <c r="S130" i="6"/>
  <c r="H127" i="6"/>
  <c r="T47" i="1"/>
  <c r="GX43" i="1"/>
  <c r="T36" i="1"/>
  <c r="C69" i="6"/>
  <c r="E68" i="6"/>
  <c r="S61" i="6"/>
  <c r="H62" i="6"/>
  <c r="R62" i="6" s="1"/>
  <c r="U61" i="6"/>
  <c r="H59" i="6"/>
  <c r="W59" i="6" s="1"/>
  <c r="CX4" i="3"/>
  <c r="E51" i="6"/>
  <c r="C52" i="6"/>
  <c r="U102" i="1"/>
  <c r="I96" i="1"/>
  <c r="W96" i="1" s="1"/>
  <c r="V95" i="1"/>
  <c r="C237" i="6"/>
  <c r="E236" i="6"/>
  <c r="K78" i="1"/>
  <c r="W77" i="1"/>
  <c r="V75" i="1"/>
  <c r="AB74" i="1"/>
  <c r="S73" i="1"/>
  <c r="K208" i="6" s="1"/>
  <c r="W73" i="1"/>
  <c r="AD71" i="1"/>
  <c r="AB71" i="1" s="1"/>
  <c r="AD69" i="1"/>
  <c r="U66" i="1"/>
  <c r="CT60" i="1"/>
  <c r="CT58" i="1"/>
  <c r="S58" i="1" s="1"/>
  <c r="S174" i="6"/>
  <c r="U174" i="6"/>
  <c r="P51" i="1"/>
  <c r="S133" i="6"/>
  <c r="U133" i="6"/>
  <c r="H135" i="6"/>
  <c r="R135" i="6" s="1"/>
  <c r="R49" i="1"/>
  <c r="H115" i="6"/>
  <c r="R115" i="6" s="1"/>
  <c r="U113" i="6"/>
  <c r="S113" i="6"/>
  <c r="U105" i="6"/>
  <c r="H110" i="6" s="1"/>
  <c r="H106" i="6"/>
  <c r="S105" i="6"/>
  <c r="H109" i="6" s="1"/>
  <c r="P39" i="1"/>
  <c r="P37" i="1"/>
  <c r="S77" i="6"/>
  <c r="H78" i="6"/>
  <c r="R78" i="6" s="1"/>
  <c r="U77" i="6"/>
  <c r="S40" i="6"/>
  <c r="H45" i="6" s="1"/>
  <c r="U40" i="6"/>
  <c r="H46" i="6" s="1"/>
  <c r="H42" i="6"/>
  <c r="U282" i="6"/>
  <c r="S282" i="6"/>
  <c r="H268" i="6"/>
  <c r="U267" i="6"/>
  <c r="H273" i="6" s="1"/>
  <c r="S267" i="6"/>
  <c r="H272" i="6" s="1"/>
  <c r="H260" i="6"/>
  <c r="W260" i="6" s="1"/>
  <c r="CT83" i="1"/>
  <c r="S83" i="1" s="1"/>
  <c r="S258" i="6"/>
  <c r="U258" i="6"/>
  <c r="Q78" i="1"/>
  <c r="I78" i="1"/>
  <c r="R75" i="1"/>
  <c r="K221" i="6" s="1"/>
  <c r="R73" i="1"/>
  <c r="Q73" i="1"/>
  <c r="K209" i="6" s="1"/>
  <c r="AB72" i="1"/>
  <c r="AB69" i="1"/>
  <c r="H199" i="6"/>
  <c r="CT63" i="1"/>
  <c r="S63" i="1" s="1"/>
  <c r="U184" i="6"/>
  <c r="H185" i="6"/>
  <c r="R185" i="6" s="1"/>
  <c r="S184" i="6"/>
  <c r="CT62" i="1"/>
  <c r="S62" i="1" s="1"/>
  <c r="CY62" i="1" s="1"/>
  <c r="X62" i="1" s="1"/>
  <c r="T182" i="6" s="1"/>
  <c r="S182" i="6"/>
  <c r="U182" i="6"/>
  <c r="H136" i="6"/>
  <c r="H137" i="6"/>
  <c r="R137" i="6" s="1"/>
  <c r="CT46" i="1"/>
  <c r="U124" i="6"/>
  <c r="V45" i="1"/>
  <c r="CS43" i="1"/>
  <c r="R43" i="1" s="1"/>
  <c r="H117" i="6"/>
  <c r="R117" i="6" s="1"/>
  <c r="H116" i="6"/>
  <c r="H108" i="6"/>
  <c r="R108" i="6" s="1"/>
  <c r="H107" i="6"/>
  <c r="W37" i="1"/>
  <c r="P32" i="1"/>
  <c r="T31" i="1"/>
  <c r="E59" i="6"/>
  <c r="H44" i="6"/>
  <c r="R44" i="6" s="1"/>
  <c r="H43" i="6"/>
  <c r="W204" i="6"/>
  <c r="W206" i="6"/>
  <c r="G202" i="6"/>
  <c r="O202" i="6" s="1"/>
  <c r="CS89" i="1"/>
  <c r="R89" i="1" s="1"/>
  <c r="K270" i="6" s="1"/>
  <c r="H269" i="6"/>
  <c r="H270" i="6"/>
  <c r="R270" i="6" s="1"/>
  <c r="V84" i="1"/>
  <c r="L262" i="6"/>
  <c r="Q262" i="6" s="1"/>
  <c r="L256" i="6"/>
  <c r="I82" i="1"/>
  <c r="U82" i="1" s="1"/>
  <c r="E249" i="6"/>
  <c r="U77" i="1"/>
  <c r="L232" i="6" s="1"/>
  <c r="Q232" i="6" s="1"/>
  <c r="Q74" i="1"/>
  <c r="CP68" i="1"/>
  <c r="O68" i="1" s="1"/>
  <c r="K197" i="6"/>
  <c r="J198" i="6" s="1"/>
  <c r="P198" i="6" s="1"/>
  <c r="GX67" i="1"/>
  <c r="CT66" i="1"/>
  <c r="S66" i="1" s="1"/>
  <c r="U194" i="6"/>
  <c r="S194" i="6"/>
  <c r="Q65" i="1"/>
  <c r="E193" i="6"/>
  <c r="CS63" i="1"/>
  <c r="R63" i="1" s="1"/>
  <c r="K187" i="6" s="1"/>
  <c r="H187" i="6"/>
  <c r="R187" i="6" s="1"/>
  <c r="H186" i="6"/>
  <c r="CQ61" i="1"/>
  <c r="P61" i="1" s="1"/>
  <c r="K180" i="6" s="1"/>
  <c r="J181" i="6" s="1"/>
  <c r="P181" i="6" s="1"/>
  <c r="H180" i="6"/>
  <c r="AD60" i="1"/>
  <c r="H174" i="6"/>
  <c r="W174" i="6" s="1"/>
  <c r="I57" i="1"/>
  <c r="E173" i="6" s="1"/>
  <c r="V56" i="1"/>
  <c r="U52" i="1"/>
  <c r="H130" i="6"/>
  <c r="V47" i="1"/>
  <c r="AD43" i="1"/>
  <c r="W40" i="1"/>
  <c r="AD35" i="1"/>
  <c r="W183" i="6"/>
  <c r="U276" i="6"/>
  <c r="S276" i="6"/>
  <c r="W89" i="1"/>
  <c r="H271" i="6"/>
  <c r="U265" i="6"/>
  <c r="S265" i="6"/>
  <c r="R86" i="1"/>
  <c r="U84" i="1"/>
  <c r="S236" i="6"/>
  <c r="H242" i="6" s="1"/>
  <c r="H238" i="6"/>
  <c r="U236" i="6"/>
  <c r="H243" i="6" s="1"/>
  <c r="GX78" i="1"/>
  <c r="W78" i="1"/>
  <c r="CT76" i="1"/>
  <c r="I76" i="1"/>
  <c r="E218" i="6"/>
  <c r="CQ74" i="1"/>
  <c r="P74" i="1" s="1"/>
  <c r="K216" i="6" s="1"/>
  <c r="J217" i="6" s="1"/>
  <c r="P217" i="6" s="1"/>
  <c r="CQ73" i="1"/>
  <c r="P73" i="1" s="1"/>
  <c r="AB61" i="1"/>
  <c r="Q57" i="1"/>
  <c r="U51" i="1"/>
  <c r="U49" i="1"/>
  <c r="L132" i="6" s="1"/>
  <c r="Q132" i="6" s="1"/>
  <c r="U47" i="1"/>
  <c r="S45" i="1"/>
  <c r="AB43" i="1"/>
  <c r="H118" i="6"/>
  <c r="L94" i="6"/>
  <c r="L96" i="6"/>
  <c r="Q96" i="6" s="1"/>
  <c r="L89" i="6"/>
  <c r="Q89" i="6" s="1"/>
  <c r="L88" i="6"/>
  <c r="L58" i="6"/>
  <c r="L60" i="6"/>
  <c r="Q60" i="6" s="1"/>
  <c r="H324" i="6"/>
  <c r="V97" i="1"/>
  <c r="CS95" i="1"/>
  <c r="R95" i="1" s="1"/>
  <c r="K290" i="6" s="1"/>
  <c r="H290" i="6"/>
  <c r="R290" i="6" s="1"/>
  <c r="H289" i="6"/>
  <c r="CR92" i="1"/>
  <c r="Q92" i="1" s="1"/>
  <c r="U263" i="6"/>
  <c r="S263" i="6"/>
  <c r="I86" i="1"/>
  <c r="E261" i="6" s="1"/>
  <c r="H258" i="6"/>
  <c r="W258" i="6" s="1"/>
  <c r="CT81" i="1"/>
  <c r="S81" i="1" s="1"/>
  <c r="K250" i="6" s="1"/>
  <c r="U249" i="6"/>
  <c r="S249" i="6"/>
  <c r="H250" i="6"/>
  <c r="R250" i="6" s="1"/>
  <c r="H239" i="6"/>
  <c r="H240" i="6"/>
  <c r="R240" i="6" s="1"/>
  <c r="S230" i="6"/>
  <c r="U230" i="6"/>
  <c r="CS76" i="1"/>
  <c r="R76" i="1" s="1"/>
  <c r="K76" i="1"/>
  <c r="I74" i="1"/>
  <c r="U216" i="6" s="1"/>
  <c r="CT72" i="1"/>
  <c r="S72" i="1" s="1"/>
  <c r="CR71" i="1"/>
  <c r="Q71" i="1" s="1"/>
  <c r="CT70" i="1"/>
  <c r="S70" i="1" s="1"/>
  <c r="CT69" i="1"/>
  <c r="S69" i="1" s="1"/>
  <c r="CZ69" i="1" s="1"/>
  <c r="Y69" i="1" s="1"/>
  <c r="V199" i="6" s="1"/>
  <c r="CQ66" i="1"/>
  <c r="P66" i="1" s="1"/>
  <c r="H194" i="6"/>
  <c r="W194" i="6" s="1"/>
  <c r="CQ65" i="1"/>
  <c r="K60" i="1"/>
  <c r="CQ57" i="1"/>
  <c r="T56" i="1"/>
  <c r="CS54" i="1"/>
  <c r="R54" i="1" s="1"/>
  <c r="K156" i="6" s="1"/>
  <c r="E152" i="6"/>
  <c r="C153" i="6"/>
  <c r="CT52" i="1"/>
  <c r="S52" i="1" s="1"/>
  <c r="K144" i="6" s="1"/>
  <c r="U143" i="6"/>
  <c r="H148" i="6" s="1"/>
  <c r="S143" i="6"/>
  <c r="H144" i="6"/>
  <c r="R144" i="6" s="1"/>
  <c r="CT49" i="1"/>
  <c r="S49" i="1" s="1"/>
  <c r="Q48" i="1"/>
  <c r="H124" i="6"/>
  <c r="W124" i="6" s="1"/>
  <c r="CT44" i="1"/>
  <c r="U122" i="6"/>
  <c r="S122" i="6"/>
  <c r="W43" i="1"/>
  <c r="Q40" i="1"/>
  <c r="T37" i="1"/>
  <c r="Q31" i="1"/>
  <c r="CT29" i="1"/>
  <c r="S29" i="1" s="1"/>
  <c r="U49" i="6"/>
  <c r="S49" i="6"/>
  <c r="C41" i="6"/>
  <c r="E40" i="6"/>
  <c r="CQ102" i="1"/>
  <c r="P102" i="1" s="1"/>
  <c r="H322" i="6"/>
  <c r="W322" i="6" s="1"/>
  <c r="H318" i="6"/>
  <c r="U311" i="6"/>
  <c r="S311" i="6"/>
  <c r="AD95" i="1"/>
  <c r="S284" i="6"/>
  <c r="U284" i="6"/>
  <c r="CQ90" i="1"/>
  <c r="P90" i="1" s="1"/>
  <c r="K276" i="6" s="1"/>
  <c r="J277" i="6" s="1"/>
  <c r="P277" i="6" s="1"/>
  <c r="H276" i="6"/>
  <c r="CQ85" i="1"/>
  <c r="P85" i="1" s="1"/>
  <c r="CT84" i="1"/>
  <c r="S84" i="1" s="1"/>
  <c r="U259" i="6"/>
  <c r="S259" i="6"/>
  <c r="H252" i="6"/>
  <c r="R252" i="6" s="1"/>
  <c r="H251" i="6"/>
  <c r="AB79" i="1"/>
  <c r="U78" i="1"/>
  <c r="L235" i="6" s="1"/>
  <c r="Q235" i="6" s="1"/>
  <c r="R77" i="1"/>
  <c r="GX75" i="1"/>
  <c r="U75" i="1"/>
  <c r="V73" i="1"/>
  <c r="CR72" i="1"/>
  <c r="Q72" i="1" s="1"/>
  <c r="CQ71" i="1"/>
  <c r="P71" i="1" s="1"/>
  <c r="CR70" i="1"/>
  <c r="Q70" i="1" s="1"/>
  <c r="CP70" i="1" s="1"/>
  <c r="O70" i="1" s="1"/>
  <c r="CR69" i="1"/>
  <c r="Q69" i="1" s="1"/>
  <c r="S192" i="6"/>
  <c r="U192" i="6"/>
  <c r="W57" i="1"/>
  <c r="H166" i="6"/>
  <c r="R166" i="6" s="1"/>
  <c r="U164" i="6"/>
  <c r="S164" i="6"/>
  <c r="CR54" i="1"/>
  <c r="Q54" i="1" s="1"/>
  <c r="K155" i="6" s="1"/>
  <c r="V53" i="1"/>
  <c r="H145" i="6"/>
  <c r="H146" i="6"/>
  <c r="R146" i="6" s="1"/>
  <c r="U141" i="6"/>
  <c r="S141" i="6"/>
  <c r="CR49" i="1"/>
  <c r="Q49" i="1" s="1"/>
  <c r="U125" i="6"/>
  <c r="S125" i="6"/>
  <c r="CT39" i="1"/>
  <c r="S39" i="1" s="1"/>
  <c r="H91" i="6"/>
  <c r="R91" i="6" s="1"/>
  <c r="U90" i="6"/>
  <c r="H93" i="6" s="1"/>
  <c r="S90" i="6"/>
  <c r="H92" i="6" s="1"/>
  <c r="CT38" i="1"/>
  <c r="S38" i="1" s="1"/>
  <c r="K85" i="6" s="1"/>
  <c r="H85" i="6"/>
  <c r="U84" i="6"/>
  <c r="H87" i="6" s="1"/>
  <c r="S84" i="6"/>
  <c r="H86" i="6" s="1"/>
  <c r="AB37" i="1"/>
  <c r="U82" i="6"/>
  <c r="S82" i="6"/>
  <c r="CT35" i="1"/>
  <c r="CT34" i="1"/>
  <c r="H70" i="6"/>
  <c r="R70" i="6" s="1"/>
  <c r="U68" i="6"/>
  <c r="S68" i="6"/>
  <c r="CT33" i="1"/>
  <c r="CT32" i="1"/>
  <c r="S32" i="1" s="1"/>
  <c r="K62" i="6" s="1"/>
  <c r="S51" i="6"/>
  <c r="H56" i="6" s="1"/>
  <c r="H53" i="6"/>
  <c r="R53" i="6" s="1"/>
  <c r="U51" i="6"/>
  <c r="H57" i="6" s="1"/>
  <c r="G18" i="1"/>
  <c r="AF546" i="6"/>
  <c r="A546" i="6"/>
  <c r="CD139" i="1"/>
  <c r="AU167" i="1"/>
  <c r="CP216" i="1"/>
  <c r="O216" i="1" s="1"/>
  <c r="CY206" i="1"/>
  <c r="X206" i="1" s="1"/>
  <c r="T489" i="6" s="1"/>
  <c r="CZ206" i="1"/>
  <c r="Y206" i="1" s="1"/>
  <c r="V489" i="6" s="1"/>
  <c r="AU221" i="1"/>
  <c r="CD199" i="1"/>
  <c r="CZ144" i="1"/>
  <c r="Y144" i="1" s="1"/>
  <c r="V359" i="6" s="1"/>
  <c r="K366" i="6" s="1"/>
  <c r="CP144" i="1"/>
  <c r="O144" i="1" s="1"/>
  <c r="CY144" i="1"/>
  <c r="X144" i="1" s="1"/>
  <c r="T359" i="6" s="1"/>
  <c r="K365" i="6" s="1"/>
  <c r="CP213" i="1"/>
  <c r="O213" i="1" s="1"/>
  <c r="CP208" i="1"/>
  <c r="O208" i="1" s="1"/>
  <c r="K491" i="6" s="1"/>
  <c r="CZ205" i="1"/>
  <c r="Y205" i="1" s="1"/>
  <c r="V480" i="6" s="1"/>
  <c r="CY205" i="1"/>
  <c r="X205" i="1" s="1"/>
  <c r="W204" i="1"/>
  <c r="CC199" i="1"/>
  <c r="AT221" i="1"/>
  <c r="CY213" i="1"/>
  <c r="X213" i="1" s="1"/>
  <c r="T507" i="6" s="1"/>
  <c r="CZ213" i="1"/>
  <c r="Y213" i="1" s="1"/>
  <c r="V507" i="6" s="1"/>
  <c r="CZ208" i="1"/>
  <c r="Y208" i="1" s="1"/>
  <c r="V491" i="6" s="1"/>
  <c r="CY208" i="1"/>
  <c r="X208" i="1" s="1"/>
  <c r="T491" i="6" s="1"/>
  <c r="GN219" i="1"/>
  <c r="GM219" i="1"/>
  <c r="CY215" i="1"/>
  <c r="X215" i="1" s="1"/>
  <c r="T515" i="6" s="1"/>
  <c r="K521" i="6" s="1"/>
  <c r="CZ215" i="1"/>
  <c r="Y215" i="1" s="1"/>
  <c r="V515" i="6" s="1"/>
  <c r="K522" i="6" s="1"/>
  <c r="CI221" i="1"/>
  <c r="BY199" i="1"/>
  <c r="AP221" i="1"/>
  <c r="CZ209" i="1"/>
  <c r="Y209" i="1" s="1"/>
  <c r="V493" i="6" s="1"/>
  <c r="CY209" i="1"/>
  <c r="X209" i="1" s="1"/>
  <c r="CY216" i="1"/>
  <c r="X216" i="1" s="1"/>
  <c r="T525" i="6" s="1"/>
  <c r="K531" i="6" s="1"/>
  <c r="CZ216" i="1"/>
  <c r="Y216" i="1" s="1"/>
  <c r="V525" i="6" s="1"/>
  <c r="K532" i="6" s="1"/>
  <c r="CP214" i="1"/>
  <c r="O214" i="1" s="1"/>
  <c r="AT167" i="1"/>
  <c r="CG221" i="1"/>
  <c r="U204" i="1"/>
  <c r="CS150" i="1"/>
  <c r="R150" i="1" s="1"/>
  <c r="CZ150" i="1" s="1"/>
  <c r="Y150" i="1" s="1"/>
  <c r="V379" i="6" s="1"/>
  <c r="AD150" i="1"/>
  <c r="AB150" i="1" s="1"/>
  <c r="CZ83" i="1"/>
  <c r="Y83" i="1" s="1"/>
  <c r="V258" i="6" s="1"/>
  <c r="CY83" i="1"/>
  <c r="X83" i="1" s="1"/>
  <c r="T258" i="6" s="1"/>
  <c r="AO221" i="1"/>
  <c r="CQ211" i="1"/>
  <c r="P211" i="1" s="1"/>
  <c r="CQ210" i="1"/>
  <c r="P210" i="1" s="1"/>
  <c r="AB209" i="1"/>
  <c r="CR203" i="1"/>
  <c r="Q203" i="1" s="1"/>
  <c r="AD203" i="1"/>
  <c r="AB203" i="1" s="1"/>
  <c r="T202" i="1"/>
  <c r="S202" i="1"/>
  <c r="AO167" i="1"/>
  <c r="CP159" i="1"/>
  <c r="O159" i="1" s="1"/>
  <c r="CX178" i="3"/>
  <c r="U152" i="1"/>
  <c r="CR151" i="1"/>
  <c r="Q151" i="1" s="1"/>
  <c r="AD151" i="1"/>
  <c r="AB151" i="1" s="1"/>
  <c r="CR150" i="1"/>
  <c r="Q150" i="1" s="1"/>
  <c r="CQ148" i="1"/>
  <c r="P148" i="1" s="1"/>
  <c r="AB148" i="1"/>
  <c r="W141" i="1"/>
  <c r="AB102" i="1"/>
  <c r="V105" i="1"/>
  <c r="T105" i="1"/>
  <c r="CQ101" i="1"/>
  <c r="P101" i="1" s="1"/>
  <c r="AB101" i="1"/>
  <c r="BY139" i="1"/>
  <c r="V212" i="1"/>
  <c r="BC221" i="1"/>
  <c r="AB206" i="1"/>
  <c r="W203" i="1"/>
  <c r="CR202" i="1"/>
  <c r="Q202" i="1" s="1"/>
  <c r="BB167" i="1"/>
  <c r="AB163" i="1"/>
  <c r="AB162" i="1"/>
  <c r="AB160" i="1"/>
  <c r="CX202" i="3"/>
  <c r="CX194" i="3"/>
  <c r="CX200" i="3"/>
  <c r="CX203" i="3"/>
  <c r="CX193" i="3"/>
  <c r="CX195" i="3"/>
  <c r="CX196" i="3"/>
  <c r="AB159" i="1"/>
  <c r="AB158" i="1"/>
  <c r="CP154" i="1"/>
  <c r="O154" i="1" s="1"/>
  <c r="BZ167" i="1"/>
  <c r="AB144" i="1"/>
  <c r="R143" i="1"/>
  <c r="CY143" i="1" s="1"/>
  <c r="X143" i="1" s="1"/>
  <c r="T357" i="6" s="1"/>
  <c r="GX141" i="1"/>
  <c r="T141" i="1"/>
  <c r="CY89" i="1"/>
  <c r="X89" i="1" s="1"/>
  <c r="T267" i="6" s="1"/>
  <c r="K272" i="6" s="1"/>
  <c r="CZ89" i="1"/>
  <c r="Y89" i="1" s="1"/>
  <c r="V267" i="6" s="1"/>
  <c r="K273" i="6" s="1"/>
  <c r="CP83" i="1"/>
  <c r="O83" i="1" s="1"/>
  <c r="K258" i="6" s="1"/>
  <c r="AQ221" i="1"/>
  <c r="AB214" i="1"/>
  <c r="AP167" i="1"/>
  <c r="CY165" i="1"/>
  <c r="X165" i="1" s="1"/>
  <c r="T450" i="6" s="1"/>
  <c r="CZ165" i="1"/>
  <c r="Y165" i="1" s="1"/>
  <c r="V450" i="6" s="1"/>
  <c r="BB221" i="1"/>
  <c r="CY214" i="1"/>
  <c r="X214" i="1" s="1"/>
  <c r="T509" i="6" s="1"/>
  <c r="K511" i="6" s="1"/>
  <c r="Q204" i="1"/>
  <c r="CZ203" i="1"/>
  <c r="Y203" i="1" s="1"/>
  <c r="V468" i="6" s="1"/>
  <c r="K475" i="6" s="1"/>
  <c r="CY201" i="1"/>
  <c r="X201" i="1" s="1"/>
  <c r="T458" i="6" s="1"/>
  <c r="CZ201" i="1"/>
  <c r="Y201" i="1" s="1"/>
  <c r="V458" i="6" s="1"/>
  <c r="CG167" i="1"/>
  <c r="CY163" i="1"/>
  <c r="X163" i="1" s="1"/>
  <c r="P152" i="1"/>
  <c r="CS141" i="1"/>
  <c r="R141" i="1" s="1"/>
  <c r="K343" i="6" s="1"/>
  <c r="AD141" i="1"/>
  <c r="AB141" i="1" s="1"/>
  <c r="BZ107" i="1"/>
  <c r="CZ211" i="1"/>
  <c r="Y211" i="1" s="1"/>
  <c r="V497" i="6" s="1"/>
  <c r="CZ210" i="1"/>
  <c r="Y210" i="1" s="1"/>
  <c r="V495" i="6" s="1"/>
  <c r="DG233" i="3"/>
  <c r="DI233" i="3"/>
  <c r="DJ233" i="3" s="1"/>
  <c r="DF233" i="3"/>
  <c r="DH233" i="3"/>
  <c r="AB208" i="1"/>
  <c r="GX204" i="1"/>
  <c r="CR156" i="1"/>
  <c r="Q156" i="1" s="1"/>
  <c r="CY210" i="1"/>
  <c r="X210" i="1" s="1"/>
  <c r="T495" i="6" s="1"/>
  <c r="Q206" i="1"/>
  <c r="CX218" i="3"/>
  <c r="CX219" i="3"/>
  <c r="CX220" i="3"/>
  <c r="CX217" i="3"/>
  <c r="CX221" i="3"/>
  <c r="I204" i="1"/>
  <c r="E478" i="6" s="1"/>
  <c r="K204" i="1"/>
  <c r="CS202" i="1"/>
  <c r="R202" i="1" s="1"/>
  <c r="AB216" i="1"/>
  <c r="CX249" i="3"/>
  <c r="CX247" i="3"/>
  <c r="CX245" i="3"/>
  <c r="CR215" i="1"/>
  <c r="Q215" i="1" s="1"/>
  <c r="Q212" i="1"/>
  <c r="R212" i="1"/>
  <c r="CY212" i="1" s="1"/>
  <c r="X212" i="1" s="1"/>
  <c r="T499" i="6" s="1"/>
  <c r="K503" i="6" s="1"/>
  <c r="CR207" i="1"/>
  <c r="AD207" i="1"/>
  <c r="AB207" i="1" s="1"/>
  <c r="CP201" i="1"/>
  <c r="O201" i="1" s="1"/>
  <c r="CZ162" i="1"/>
  <c r="Y162" i="1" s="1"/>
  <c r="CZ160" i="1"/>
  <c r="Y160" i="1" s="1"/>
  <c r="V160" i="1"/>
  <c r="W160" i="1"/>
  <c r="CZ158" i="1"/>
  <c r="Y158" i="1" s="1"/>
  <c r="GN158" i="1" s="1"/>
  <c r="CR157" i="1"/>
  <c r="Q157" i="1" s="1"/>
  <c r="CP157" i="1" s="1"/>
  <c r="O157" i="1" s="1"/>
  <c r="AD157" i="1"/>
  <c r="AB157" i="1" s="1"/>
  <c r="AB153" i="1"/>
  <c r="CZ152" i="1"/>
  <c r="Y152" i="1" s="1"/>
  <c r="V383" i="6" s="1"/>
  <c r="K389" i="6" s="1"/>
  <c r="W152" i="1"/>
  <c r="V152" i="1"/>
  <c r="CR141" i="1"/>
  <c r="Q141" i="1" s="1"/>
  <c r="K342" i="6" s="1"/>
  <c r="CY90" i="1"/>
  <c r="X90" i="1" s="1"/>
  <c r="T276" i="6" s="1"/>
  <c r="CZ90" i="1"/>
  <c r="Y90" i="1" s="1"/>
  <c r="V276" i="6" s="1"/>
  <c r="CY148" i="1"/>
  <c r="X148" i="1" s="1"/>
  <c r="T375" i="6" s="1"/>
  <c r="CZ148" i="1"/>
  <c r="Y148" i="1" s="1"/>
  <c r="V375" i="6" s="1"/>
  <c r="AB213" i="1"/>
  <c r="V204" i="1"/>
  <c r="CY164" i="1"/>
  <c r="X164" i="1" s="1"/>
  <c r="CZ164" i="1"/>
  <c r="Y164" i="1" s="1"/>
  <c r="V448" i="6" s="1"/>
  <c r="AD156" i="1"/>
  <c r="AB156" i="1" s="1"/>
  <c r="P206" i="1"/>
  <c r="BC167" i="1"/>
  <c r="CZ153" i="1"/>
  <c r="Y153" i="1" s="1"/>
  <c r="V392" i="6" s="1"/>
  <c r="K399" i="6" s="1"/>
  <c r="AD146" i="1"/>
  <c r="AB146" i="1" s="1"/>
  <c r="CR146" i="1"/>
  <c r="Q146" i="1" s="1"/>
  <c r="CP146" i="1" s="1"/>
  <c r="O146" i="1" s="1"/>
  <c r="CS146" i="1"/>
  <c r="R146" i="1" s="1"/>
  <c r="CY146" i="1" s="1"/>
  <c r="X146" i="1" s="1"/>
  <c r="T371" i="6" s="1"/>
  <c r="GX143" i="1"/>
  <c r="T143" i="1"/>
  <c r="CX238" i="3"/>
  <c r="CX239" i="3"/>
  <c r="CX241" i="3"/>
  <c r="CX237" i="3"/>
  <c r="CQ212" i="1"/>
  <c r="P212" i="1" s="1"/>
  <c r="AB204" i="1"/>
  <c r="T203" i="1"/>
  <c r="CY153" i="1"/>
  <c r="X153" i="1" s="1"/>
  <c r="R152" i="1"/>
  <c r="CP142" i="1"/>
  <c r="O142" i="1" s="1"/>
  <c r="P141" i="1"/>
  <c r="AD105" i="1"/>
  <c r="AB105" i="1" s="1"/>
  <c r="CR105" i="1"/>
  <c r="Q105" i="1" s="1"/>
  <c r="CY145" i="1"/>
  <c r="X145" i="1" s="1"/>
  <c r="U143" i="1"/>
  <c r="AH167" i="1" s="1"/>
  <c r="Q97" i="1"/>
  <c r="K301" i="6" s="1"/>
  <c r="CZ93" i="1"/>
  <c r="Y93" i="1" s="1"/>
  <c r="V282" i="6" s="1"/>
  <c r="CP72" i="1"/>
  <c r="O72" i="1" s="1"/>
  <c r="CZ66" i="1"/>
  <c r="Y66" i="1" s="1"/>
  <c r="V194" i="6" s="1"/>
  <c r="CX229" i="3"/>
  <c r="CX224" i="3"/>
  <c r="CX231" i="3"/>
  <c r="CX222" i="3"/>
  <c r="CX230" i="3"/>
  <c r="BD167" i="1"/>
  <c r="CR152" i="1"/>
  <c r="Q152" i="1" s="1"/>
  <c r="K386" i="6" s="1"/>
  <c r="T145" i="1"/>
  <c r="BX26" i="1"/>
  <c r="CG107" i="1"/>
  <c r="AO107" i="1"/>
  <c r="CP94" i="1"/>
  <c r="O94" i="1" s="1"/>
  <c r="W85" i="1"/>
  <c r="CY84" i="1"/>
  <c r="X84" i="1" s="1"/>
  <c r="T259" i="6" s="1"/>
  <c r="CZ84" i="1"/>
  <c r="Y84" i="1" s="1"/>
  <c r="V259" i="6" s="1"/>
  <c r="CS66" i="1"/>
  <c r="R66" i="1" s="1"/>
  <c r="CY66" i="1" s="1"/>
  <c r="X66" i="1" s="1"/>
  <c r="T194" i="6" s="1"/>
  <c r="AD66" i="1"/>
  <c r="AB66" i="1" s="1"/>
  <c r="CR66" i="1"/>
  <c r="Q66" i="1" s="1"/>
  <c r="CP66" i="1" s="1"/>
  <c r="O66" i="1" s="1"/>
  <c r="K194" i="6" s="1"/>
  <c r="CX148" i="3"/>
  <c r="CX150" i="3"/>
  <c r="CX146" i="3"/>
  <c r="CX142" i="3"/>
  <c r="CX147" i="3"/>
  <c r="CP90" i="1"/>
  <c r="O90" i="1" s="1"/>
  <c r="CC107" i="1"/>
  <c r="R85" i="1"/>
  <c r="Q85" i="1"/>
  <c r="CP85" i="1" s="1"/>
  <c r="O85" i="1" s="1"/>
  <c r="K260" i="6" s="1"/>
  <c r="DG212" i="3"/>
  <c r="DI212" i="3"/>
  <c r="DJ212" i="3" s="1"/>
  <c r="DF212" i="3"/>
  <c r="DH212" i="3"/>
  <c r="CY104" i="1"/>
  <c r="X104" i="1" s="1"/>
  <c r="T327" i="6" s="1"/>
  <c r="CZ104" i="1"/>
  <c r="Y104" i="1" s="1"/>
  <c r="V327" i="6" s="1"/>
  <c r="CP104" i="1"/>
  <c r="O104" i="1" s="1"/>
  <c r="I98" i="1"/>
  <c r="T97" i="1"/>
  <c r="CY95" i="1"/>
  <c r="X95" i="1" s="1"/>
  <c r="CZ95" i="1"/>
  <c r="Y95" i="1" s="1"/>
  <c r="V286" i="6" s="1"/>
  <c r="K293" i="6" s="1"/>
  <c r="CS80" i="1"/>
  <c r="AD80" i="1"/>
  <c r="AB80" i="1" s="1"/>
  <c r="CR80" i="1"/>
  <c r="DI186" i="3"/>
  <c r="DJ186" i="3" s="1"/>
  <c r="DF186" i="3"/>
  <c r="DG186" i="3"/>
  <c r="DH186" i="3"/>
  <c r="AB143" i="1"/>
  <c r="P105" i="1"/>
  <c r="K330" i="6" s="1"/>
  <c r="J332" i="6" s="1"/>
  <c r="P332" i="6" s="1"/>
  <c r="CP92" i="1"/>
  <c r="O92" i="1" s="1"/>
  <c r="CP89" i="1"/>
  <c r="O89" i="1" s="1"/>
  <c r="CY87" i="1"/>
  <c r="X87" i="1" s="1"/>
  <c r="T263" i="6" s="1"/>
  <c r="CZ87" i="1"/>
  <c r="Y87" i="1" s="1"/>
  <c r="V263" i="6" s="1"/>
  <c r="AB86" i="1"/>
  <c r="CQ86" i="1"/>
  <c r="P86" i="1" s="1"/>
  <c r="CY71" i="1"/>
  <c r="X71" i="1" s="1"/>
  <c r="T203" i="6" s="1"/>
  <c r="CZ71" i="1"/>
  <c r="Y71" i="1" s="1"/>
  <c r="CX210" i="3"/>
  <c r="CX204" i="3"/>
  <c r="CX209" i="3"/>
  <c r="CX208" i="3"/>
  <c r="DG188" i="3"/>
  <c r="DJ188" i="3" s="1"/>
  <c r="DI188" i="3"/>
  <c r="DH188" i="3"/>
  <c r="DF188" i="3"/>
  <c r="CX180" i="3"/>
  <c r="CX185" i="3"/>
  <c r="CX179" i="3"/>
  <c r="CX182" i="3"/>
  <c r="CZ145" i="1"/>
  <c r="Y145" i="1" s="1"/>
  <c r="V369" i="6" s="1"/>
  <c r="CX163" i="3"/>
  <c r="CX164" i="3"/>
  <c r="CX166" i="3"/>
  <c r="CX162" i="3"/>
  <c r="W105" i="1"/>
  <c r="AB104" i="1"/>
  <c r="GX97" i="1"/>
  <c r="U97" i="1"/>
  <c r="CZ81" i="1"/>
  <c r="Y81" i="1" s="1"/>
  <c r="V249" i="6" s="1"/>
  <c r="CY81" i="1"/>
  <c r="X81" i="1" s="1"/>
  <c r="T249" i="6" s="1"/>
  <c r="CD107" i="1"/>
  <c r="BC107" i="1"/>
  <c r="S97" i="1"/>
  <c r="K300" i="6" s="1"/>
  <c r="CY72" i="1"/>
  <c r="X72" i="1" s="1"/>
  <c r="T205" i="6" s="1"/>
  <c r="CZ72" i="1"/>
  <c r="Y72" i="1" s="1"/>
  <c r="V205" i="6" s="1"/>
  <c r="CY69" i="1"/>
  <c r="X69" i="1" s="1"/>
  <c r="T199" i="6" s="1"/>
  <c r="AD50" i="1"/>
  <c r="AB50" i="1" s="1"/>
  <c r="CS50" i="1"/>
  <c r="R50" i="1" s="1"/>
  <c r="CR50" i="1"/>
  <c r="Q50" i="1" s="1"/>
  <c r="K136" i="6" s="1"/>
  <c r="CS45" i="1"/>
  <c r="R45" i="1" s="1"/>
  <c r="CZ45" i="1" s="1"/>
  <c r="Y45" i="1" s="1"/>
  <c r="V123" i="6" s="1"/>
  <c r="AD45" i="1"/>
  <c r="AB45" i="1" s="1"/>
  <c r="CR45" i="1"/>
  <c r="Q45" i="1" s="1"/>
  <c r="CZ38" i="1"/>
  <c r="Y38" i="1" s="1"/>
  <c r="V84" i="6" s="1"/>
  <c r="K87" i="6" s="1"/>
  <c r="CY38" i="1"/>
  <c r="X38" i="1" s="1"/>
  <c r="T84" i="6" s="1"/>
  <c r="K86" i="6" s="1"/>
  <c r="CX174" i="3"/>
  <c r="CX170" i="3"/>
  <c r="CX172" i="3"/>
  <c r="BB107" i="1"/>
  <c r="CR98" i="1"/>
  <c r="CS97" i="1"/>
  <c r="R97" i="1" s="1"/>
  <c r="K302" i="6" s="1"/>
  <c r="AB97" i="1"/>
  <c r="AB88" i="1"/>
  <c r="W76" i="1"/>
  <c r="AB75" i="1"/>
  <c r="CQ75" i="1"/>
  <c r="P75" i="1" s="1"/>
  <c r="CZ67" i="1"/>
  <c r="Y67" i="1" s="1"/>
  <c r="V195" i="6" s="1"/>
  <c r="CY67" i="1"/>
  <c r="X67" i="1" s="1"/>
  <c r="T195" i="6" s="1"/>
  <c r="V65" i="1"/>
  <c r="T64" i="1"/>
  <c r="AD47" i="1"/>
  <c r="CS47" i="1"/>
  <c r="R47" i="1" s="1"/>
  <c r="CZ47" i="1" s="1"/>
  <c r="Y47" i="1" s="1"/>
  <c r="V125" i="6" s="1"/>
  <c r="CR47" i="1"/>
  <c r="Q47" i="1" s="1"/>
  <c r="AB95" i="1"/>
  <c r="CX137" i="3"/>
  <c r="K96" i="1"/>
  <c r="U85" i="1"/>
  <c r="R74" i="1"/>
  <c r="Q64" i="1"/>
  <c r="CS59" i="1"/>
  <c r="AD59" i="1"/>
  <c r="AB59" i="1" s="1"/>
  <c r="CR59" i="1"/>
  <c r="T85" i="1"/>
  <c r="AD82" i="1"/>
  <c r="AB82" i="1" s="1"/>
  <c r="CS82" i="1"/>
  <c r="CR82" i="1"/>
  <c r="Q82" i="1" s="1"/>
  <c r="CP81" i="1"/>
  <c r="O81" i="1" s="1"/>
  <c r="V64" i="1"/>
  <c r="BD107" i="1"/>
  <c r="CR100" i="1"/>
  <c r="Q100" i="1" s="1"/>
  <c r="CP100" i="1" s="1"/>
  <c r="O100" i="1" s="1"/>
  <c r="AB94" i="1"/>
  <c r="AB93" i="1"/>
  <c r="AB92" i="1"/>
  <c r="AB91" i="1"/>
  <c r="AB90" i="1"/>
  <c r="CX135" i="3"/>
  <c r="CX133" i="3"/>
  <c r="CX136" i="3"/>
  <c r="CP87" i="1"/>
  <c r="O87" i="1" s="1"/>
  <c r="AD84" i="1"/>
  <c r="AB84" i="1" s="1"/>
  <c r="CR84" i="1"/>
  <c r="Q84" i="1" s="1"/>
  <c r="CQ69" i="1"/>
  <c r="P69" i="1" s="1"/>
  <c r="S64" i="1"/>
  <c r="V51" i="1"/>
  <c r="W51" i="1"/>
  <c r="CX12" i="3"/>
  <c r="CX11" i="3"/>
  <c r="I35" i="1"/>
  <c r="E75" i="6" s="1"/>
  <c r="GX34" i="1"/>
  <c r="T34" i="1"/>
  <c r="U34" i="1"/>
  <c r="CX3" i="3"/>
  <c r="P28" i="1"/>
  <c r="W28" i="1"/>
  <c r="T51" i="1"/>
  <c r="U28" i="1"/>
  <c r="CQ97" i="1"/>
  <c r="P97" i="1" s="1"/>
  <c r="K303" i="6" s="1"/>
  <c r="CS94" i="1"/>
  <c r="R94" i="1" s="1"/>
  <c r="CY94" i="1" s="1"/>
  <c r="X94" i="1" s="1"/>
  <c r="T284" i="6" s="1"/>
  <c r="CS93" i="1"/>
  <c r="R93" i="1" s="1"/>
  <c r="CY93" i="1" s="1"/>
  <c r="X93" i="1" s="1"/>
  <c r="CS92" i="1"/>
  <c r="R92" i="1" s="1"/>
  <c r="CY92" i="1" s="1"/>
  <c r="X92" i="1" s="1"/>
  <c r="T280" i="6" s="1"/>
  <c r="CS91" i="1"/>
  <c r="R91" i="1" s="1"/>
  <c r="CZ91" i="1" s="1"/>
  <c r="Y91" i="1" s="1"/>
  <c r="S85" i="1"/>
  <c r="AB81" i="1"/>
  <c r="S77" i="1"/>
  <c r="V74" i="1"/>
  <c r="AB70" i="1"/>
  <c r="CZ68" i="1"/>
  <c r="Y68" i="1" s="1"/>
  <c r="V197" i="6" s="1"/>
  <c r="CY68" i="1"/>
  <c r="X68" i="1" s="1"/>
  <c r="CP67" i="1"/>
  <c r="O67" i="1" s="1"/>
  <c r="K195" i="6" s="1"/>
  <c r="R65" i="1"/>
  <c r="CZ65" i="1" s="1"/>
  <c r="Y65" i="1" s="1"/>
  <c r="V193" i="6" s="1"/>
  <c r="AB62" i="1"/>
  <c r="CQ62" i="1"/>
  <c r="P62" i="1" s="1"/>
  <c r="GX59" i="1"/>
  <c r="V57" i="1"/>
  <c r="T57" i="1"/>
  <c r="CY50" i="1"/>
  <c r="X50" i="1" s="1"/>
  <c r="T133" i="6" s="1"/>
  <c r="CQ40" i="1"/>
  <c r="P40" i="1" s="1"/>
  <c r="CP40" i="1" s="1"/>
  <c r="O40" i="1" s="1"/>
  <c r="K95" i="6" s="1"/>
  <c r="R34" i="1"/>
  <c r="AD89" i="1"/>
  <c r="AB89" i="1" s="1"/>
  <c r="AB87" i="1"/>
  <c r="T78" i="1"/>
  <c r="CR77" i="1"/>
  <c r="Q77" i="1" s="1"/>
  <c r="AD77" i="1"/>
  <c r="AB77" i="1" s="1"/>
  <c r="CZ73" i="1"/>
  <c r="Y73" i="1" s="1"/>
  <c r="AB65" i="1"/>
  <c r="CZ42" i="1"/>
  <c r="Y42" i="1" s="1"/>
  <c r="V105" i="6" s="1"/>
  <c r="K110" i="6" s="1"/>
  <c r="AB41" i="1"/>
  <c r="CQ41" i="1"/>
  <c r="P41" i="1" s="1"/>
  <c r="CP41" i="1" s="1"/>
  <c r="O41" i="1" s="1"/>
  <c r="CX242" i="3"/>
  <c r="CX158" i="3"/>
  <c r="CX154" i="3"/>
  <c r="CX156" i="3"/>
  <c r="CX155" i="3"/>
  <c r="P76" i="1"/>
  <c r="S74" i="1"/>
  <c r="P65" i="1"/>
  <c r="CQ64" i="1"/>
  <c r="P64" i="1" s="1"/>
  <c r="AB64" i="1"/>
  <c r="CZ62" i="1"/>
  <c r="Y62" i="1" s="1"/>
  <c r="V182" i="6" s="1"/>
  <c r="R57" i="1"/>
  <c r="CZ41" i="1"/>
  <c r="Y41" i="1" s="1"/>
  <c r="V97" i="6" s="1"/>
  <c r="K102" i="6" s="1"/>
  <c r="CY41" i="1"/>
  <c r="X41" i="1" s="1"/>
  <c r="T97" i="6" s="1"/>
  <c r="K101" i="6" s="1"/>
  <c r="CX119" i="3"/>
  <c r="CX117" i="3"/>
  <c r="CX120" i="3"/>
  <c r="CX118" i="3"/>
  <c r="CX102" i="3"/>
  <c r="CX104" i="3"/>
  <c r="CX105" i="3"/>
  <c r="CX103" i="3"/>
  <c r="W65" i="1"/>
  <c r="T60" i="1"/>
  <c r="CS53" i="1"/>
  <c r="R53" i="1" s="1"/>
  <c r="CZ53" i="1" s="1"/>
  <c r="Y53" i="1" s="1"/>
  <c r="V150" i="6" s="1"/>
  <c r="AD53" i="1"/>
  <c r="AB53" i="1" s="1"/>
  <c r="CR53" i="1"/>
  <c r="Q53" i="1" s="1"/>
  <c r="CP53" i="1" s="1"/>
  <c r="O53" i="1" s="1"/>
  <c r="K150" i="6" s="1"/>
  <c r="V44" i="1"/>
  <c r="S44" i="1"/>
  <c r="CZ43" i="1"/>
  <c r="Y43" i="1" s="1"/>
  <c r="V113" i="6" s="1"/>
  <c r="CY31" i="1"/>
  <c r="X31" i="1" s="1"/>
  <c r="T59" i="6" s="1"/>
  <c r="T28" i="1"/>
  <c r="AB54" i="1"/>
  <c r="CQ54" i="1"/>
  <c r="P54" i="1" s="1"/>
  <c r="GX51" i="1"/>
  <c r="R51" i="1"/>
  <c r="R48" i="1"/>
  <c r="CY48" i="1" s="1"/>
  <c r="X48" i="1" s="1"/>
  <c r="T127" i="6" s="1"/>
  <c r="AB48" i="1"/>
  <c r="CQ48" i="1"/>
  <c r="P48" i="1" s="1"/>
  <c r="P34" i="1"/>
  <c r="CP32" i="1"/>
  <c r="O32" i="1" s="1"/>
  <c r="CX121" i="3"/>
  <c r="CX127" i="3"/>
  <c r="CX125" i="3"/>
  <c r="CX129" i="3"/>
  <c r="CX112" i="3"/>
  <c r="CX109" i="3"/>
  <c r="CX113" i="3"/>
  <c r="CX111" i="3"/>
  <c r="AB63" i="1"/>
  <c r="AB58" i="1"/>
  <c r="CQ58" i="1"/>
  <c r="P58" i="1" s="1"/>
  <c r="CP58" i="1" s="1"/>
  <c r="O58" i="1" s="1"/>
  <c r="K174" i="6" s="1"/>
  <c r="Q51" i="1"/>
  <c r="R44" i="1"/>
  <c r="AD42" i="1"/>
  <c r="AB42" i="1" s="1"/>
  <c r="CS42" i="1"/>
  <c r="R42" i="1" s="1"/>
  <c r="CR42" i="1"/>
  <c r="Q42" i="1" s="1"/>
  <c r="K107" i="6" s="1"/>
  <c r="CP38" i="1"/>
  <c r="O38" i="1" s="1"/>
  <c r="V28" i="1"/>
  <c r="AB49" i="1"/>
  <c r="W44" i="1"/>
  <c r="CZ54" i="1"/>
  <c r="Y54" i="1" s="1"/>
  <c r="V152" i="6" s="1"/>
  <c r="K159" i="6" s="1"/>
  <c r="CY52" i="1"/>
  <c r="X52" i="1" s="1"/>
  <c r="T143" i="6" s="1"/>
  <c r="CZ52" i="1"/>
  <c r="Y52" i="1" s="1"/>
  <c r="CZ49" i="1"/>
  <c r="Y49" i="1" s="1"/>
  <c r="V130" i="6" s="1"/>
  <c r="CY49" i="1"/>
  <c r="X49" i="1" s="1"/>
  <c r="CX8" i="3"/>
  <c r="GX32" i="1"/>
  <c r="U32" i="1"/>
  <c r="I33" i="1"/>
  <c r="W32" i="1"/>
  <c r="CY29" i="1"/>
  <c r="X29" i="1" s="1"/>
  <c r="T49" i="6" s="1"/>
  <c r="CZ29" i="1"/>
  <c r="Y29" i="1" s="1"/>
  <c r="V49" i="6" s="1"/>
  <c r="CP29" i="1"/>
  <c r="O29" i="1" s="1"/>
  <c r="CX240" i="3"/>
  <c r="CX89" i="3"/>
  <c r="CX94" i="3"/>
  <c r="CX92" i="3"/>
  <c r="CX85" i="3"/>
  <c r="CX86" i="3"/>
  <c r="CX88" i="3"/>
  <c r="CX90" i="3"/>
  <c r="CX96" i="3"/>
  <c r="W58" i="1"/>
  <c r="T58" i="1"/>
  <c r="U57" i="1"/>
  <c r="AD56" i="1"/>
  <c r="AB56" i="1" s="1"/>
  <c r="CS56" i="1"/>
  <c r="R56" i="1" s="1"/>
  <c r="AB55" i="1"/>
  <c r="W54" i="1"/>
  <c r="T54" i="1"/>
  <c r="CQ50" i="1"/>
  <c r="P50" i="1" s="1"/>
  <c r="DF60" i="3"/>
  <c r="DJ60" i="3" s="1"/>
  <c r="DG60" i="3"/>
  <c r="DI60" i="3"/>
  <c r="DH60" i="3"/>
  <c r="CQ47" i="1"/>
  <c r="P47" i="1" s="1"/>
  <c r="AB47" i="1"/>
  <c r="CY45" i="1"/>
  <c r="X45" i="1" s="1"/>
  <c r="T123" i="6" s="1"/>
  <c r="CP45" i="1"/>
  <c r="O45" i="1" s="1"/>
  <c r="K123" i="6" s="1"/>
  <c r="U44" i="1"/>
  <c r="CQ43" i="1"/>
  <c r="P43" i="1" s="1"/>
  <c r="CQ42" i="1"/>
  <c r="P42" i="1" s="1"/>
  <c r="CX38" i="3"/>
  <c r="CX46" i="3"/>
  <c r="CX36" i="3"/>
  <c r="CX37" i="3"/>
  <c r="CX48" i="3"/>
  <c r="CX44" i="3"/>
  <c r="CZ39" i="1"/>
  <c r="Y39" i="1" s="1"/>
  <c r="V90" i="6" s="1"/>
  <c r="AD36" i="1"/>
  <c r="AB36" i="1" s="1"/>
  <c r="CS36" i="1"/>
  <c r="R36" i="1" s="1"/>
  <c r="CZ36" i="1" s="1"/>
  <c r="Y36" i="1" s="1"/>
  <c r="V77" i="6" s="1"/>
  <c r="AB35" i="1"/>
  <c r="V34" i="1"/>
  <c r="S34" i="1"/>
  <c r="K70" i="6" s="1"/>
  <c r="S33" i="1"/>
  <c r="GX28" i="1"/>
  <c r="CX246" i="3"/>
  <c r="CX177" i="3"/>
  <c r="AB60" i="1"/>
  <c r="CQ56" i="1"/>
  <c r="P56" i="1" s="1"/>
  <c r="CX84" i="3"/>
  <c r="CX77" i="3"/>
  <c r="CX82" i="3"/>
  <c r="CX80" i="3"/>
  <c r="CX76" i="3"/>
  <c r="CX81" i="3"/>
  <c r="I59" i="1"/>
  <c r="E175" i="6" s="1"/>
  <c r="I60" i="1"/>
  <c r="CX78" i="3"/>
  <c r="S51" i="1"/>
  <c r="W48" i="1"/>
  <c r="T48" i="1"/>
  <c r="GX44" i="1"/>
  <c r="U37" i="1"/>
  <c r="CQ36" i="1"/>
  <c r="P36" i="1" s="1"/>
  <c r="CP36" i="1" s="1"/>
  <c r="O36" i="1" s="1"/>
  <c r="R33" i="1"/>
  <c r="S28" i="1"/>
  <c r="K42" i="6" s="1"/>
  <c r="CX250" i="3"/>
  <c r="CX225" i="3"/>
  <c r="CX192" i="3"/>
  <c r="S57" i="1"/>
  <c r="CX68" i="3"/>
  <c r="CX72" i="3"/>
  <c r="I55" i="1"/>
  <c r="E162" i="6" s="1"/>
  <c r="K55" i="1"/>
  <c r="T44" i="1"/>
  <c r="Q34" i="1"/>
  <c r="K71" i="6" s="1"/>
  <c r="CY30" i="1"/>
  <c r="X30" i="1" s="1"/>
  <c r="T51" i="6" s="1"/>
  <c r="CZ30" i="1"/>
  <c r="Y30" i="1" s="1"/>
  <c r="V51" i="6" s="1"/>
  <c r="CX187" i="3"/>
  <c r="CX40" i="3"/>
  <c r="W34" i="1"/>
  <c r="V32" i="1"/>
  <c r="CX206" i="3"/>
  <c r="P57" i="1"/>
  <c r="AD40" i="1"/>
  <c r="AB40" i="1" s="1"/>
  <c r="CS40" i="1"/>
  <c r="R40" i="1" s="1"/>
  <c r="CZ40" i="1" s="1"/>
  <c r="Y40" i="1" s="1"/>
  <c r="V95" i="6" s="1"/>
  <c r="CS32" i="1"/>
  <c r="R32" i="1" s="1"/>
  <c r="CZ32" i="1" s="1"/>
  <c r="Y32" i="1" s="1"/>
  <c r="V61" i="6" s="1"/>
  <c r="AD32" i="1"/>
  <c r="AB32" i="1" s="1"/>
  <c r="CS31" i="1"/>
  <c r="R31" i="1" s="1"/>
  <c r="CZ31" i="1" s="1"/>
  <c r="Y31" i="1" s="1"/>
  <c r="V59" i="6" s="1"/>
  <c r="AB31" i="1"/>
  <c r="CP30" i="1"/>
  <c r="O30" i="1" s="1"/>
  <c r="CX175" i="3"/>
  <c r="CX198" i="3"/>
  <c r="CX197" i="3"/>
  <c r="CX167" i="3"/>
  <c r="CX165" i="3"/>
  <c r="CX130" i="3"/>
  <c r="CX64" i="3"/>
  <c r="CX61" i="3"/>
  <c r="CX232" i="3"/>
  <c r="CX227" i="3"/>
  <c r="CX131" i="3"/>
  <c r="CX54" i="3"/>
  <c r="CX56" i="3"/>
  <c r="CX52" i="3"/>
  <c r="CX20" i="3"/>
  <c r="CX19" i="3"/>
  <c r="CX21" i="3"/>
  <c r="CX24" i="3"/>
  <c r="CX28" i="3"/>
  <c r="CX32" i="3"/>
  <c r="CX29" i="3"/>
  <c r="CX251" i="3"/>
  <c r="CX236" i="3"/>
  <c r="CX226" i="3"/>
  <c r="CX171" i="3"/>
  <c r="CX140" i="3"/>
  <c r="DH235" i="3"/>
  <c r="DI235" i="3"/>
  <c r="DJ235" i="3" s="1"/>
  <c r="CX216" i="3"/>
  <c r="CX205" i="3"/>
  <c r="CX141" i="3"/>
  <c r="CX114" i="3"/>
  <c r="CQ31" i="1"/>
  <c r="P31" i="1" s="1"/>
  <c r="CP31" i="1" s="1"/>
  <c r="O31" i="1" s="1"/>
  <c r="K59" i="6" s="1"/>
  <c r="DF4" i="3"/>
  <c r="DG4" i="3"/>
  <c r="DH4" i="3"/>
  <c r="DI4" i="3"/>
  <c r="DJ4" i="3" s="1"/>
  <c r="CX244" i="3"/>
  <c r="DG235" i="3"/>
  <c r="CX234" i="3"/>
  <c r="CX214" i="3"/>
  <c r="CX190" i="3"/>
  <c r="CS28" i="1"/>
  <c r="R28" i="1" s="1"/>
  <c r="K44" i="6" s="1"/>
  <c r="AD28" i="1"/>
  <c r="AB28" i="1" s="1"/>
  <c r="DF235" i="3"/>
  <c r="CX213" i="3"/>
  <c r="CX201" i="3"/>
  <c r="CX184" i="3"/>
  <c r="CX160" i="3"/>
  <c r="CR28" i="1"/>
  <c r="Q28" i="1" s="1"/>
  <c r="K43" i="6" s="1"/>
  <c r="CX248" i="3"/>
  <c r="CX243" i="3"/>
  <c r="CX228" i="3"/>
  <c r="CX223" i="3"/>
  <c r="CX211" i="3"/>
  <c r="CX110" i="3"/>
  <c r="CX199" i="3"/>
  <c r="CX157" i="3"/>
  <c r="CX152" i="3"/>
  <c r="CX134" i="3"/>
  <c r="CX62" i="3"/>
  <c r="CX5" i="3"/>
  <c r="CX191" i="3"/>
  <c r="CX181" i="3"/>
  <c r="CX176" i="3"/>
  <c r="CX161" i="3"/>
  <c r="CX151" i="3"/>
  <c r="CX145" i="3"/>
  <c r="CX99" i="3"/>
  <c r="CX215" i="3"/>
  <c r="CX183" i="3"/>
  <c r="CX169" i="3"/>
  <c r="CX159" i="3"/>
  <c r="CX139" i="3"/>
  <c r="CX128" i="3"/>
  <c r="CX101" i="3"/>
  <c r="CX100" i="3"/>
  <c r="CX83" i="3"/>
  <c r="CX73" i="3"/>
  <c r="CX149" i="3"/>
  <c r="CX144" i="3"/>
  <c r="CX126" i="3"/>
  <c r="CX107" i="3"/>
  <c r="CX74" i="3"/>
  <c r="CX207" i="3"/>
  <c r="CX189" i="3"/>
  <c r="CX173" i="3"/>
  <c r="CX168" i="3"/>
  <c r="CX153" i="3"/>
  <c r="CX143" i="3"/>
  <c r="CX124" i="3"/>
  <c r="CX123" i="3"/>
  <c r="CX122" i="3"/>
  <c r="CX132" i="3"/>
  <c r="CX115" i="3"/>
  <c r="CX108" i="3"/>
  <c r="CX13" i="3"/>
  <c r="CX66" i="3"/>
  <c r="CX67" i="3"/>
  <c r="CX51" i="3"/>
  <c r="CX41" i="3"/>
  <c r="CX138" i="3"/>
  <c r="CX97" i="3"/>
  <c r="CX95" i="3"/>
  <c r="CX91" i="3"/>
  <c r="CX69" i="3"/>
  <c r="CX55" i="3"/>
  <c r="CX42" i="3"/>
  <c r="CX116" i="3"/>
  <c r="CX106" i="3"/>
  <c r="CX98" i="3"/>
  <c r="CX93" i="3"/>
  <c r="CX53" i="3"/>
  <c r="CX45" i="3"/>
  <c r="CX34" i="3"/>
  <c r="CX33" i="3"/>
  <c r="CX63" i="3"/>
  <c r="CX43" i="3"/>
  <c r="CX31" i="3"/>
  <c r="CX30" i="3"/>
  <c r="CX75" i="3"/>
  <c r="CX71" i="3"/>
  <c r="CX50" i="3"/>
  <c r="CX49" i="3"/>
  <c r="CX39" i="3"/>
  <c r="CX25" i="3"/>
  <c r="CX22" i="3"/>
  <c r="CX17" i="3"/>
  <c r="CX14" i="3"/>
  <c r="CX9" i="3"/>
  <c r="CX6" i="3"/>
  <c r="CX1" i="3"/>
  <c r="CX87" i="3"/>
  <c r="CX70" i="3"/>
  <c r="CX65" i="3"/>
  <c r="CX59" i="3"/>
  <c r="CX27" i="3"/>
  <c r="CX26" i="3"/>
  <c r="CX23" i="3"/>
  <c r="CX18" i="3"/>
  <c r="DF16" i="3"/>
  <c r="DG16" i="3"/>
  <c r="CX15" i="3"/>
  <c r="CX10" i="3"/>
  <c r="CX7" i="3"/>
  <c r="CX2" i="3"/>
  <c r="CX58" i="3"/>
  <c r="CX57" i="3"/>
  <c r="CX47" i="3"/>
  <c r="DI16" i="3"/>
  <c r="DJ16" i="3" s="1"/>
  <c r="CX79" i="3"/>
  <c r="CX35" i="3"/>
  <c r="DH16" i="3"/>
  <c r="H147" i="6" l="1"/>
  <c r="W60" i="6"/>
  <c r="H355" i="6"/>
  <c r="W358" i="6" s="1"/>
  <c r="K56" i="6"/>
  <c r="J104" i="6"/>
  <c r="P104" i="6" s="1"/>
  <c r="W151" i="6"/>
  <c r="H445" i="6"/>
  <c r="G449" i="6" s="1"/>
  <c r="O449" i="6" s="1"/>
  <c r="G151" i="6"/>
  <c r="O151" i="6" s="1"/>
  <c r="H139" i="6"/>
  <c r="T282" i="6"/>
  <c r="G248" i="6"/>
  <c r="O248" i="6" s="1"/>
  <c r="W248" i="6"/>
  <c r="GM149" i="1"/>
  <c r="T377" i="6"/>
  <c r="T392" i="6"/>
  <c r="K398" i="6" s="1"/>
  <c r="R35" i="1"/>
  <c r="R82" i="1"/>
  <c r="CZ82" i="1" s="1"/>
  <c r="Y82" i="1" s="1"/>
  <c r="V257" i="6" s="1"/>
  <c r="CZ50" i="1"/>
  <c r="Y50" i="1" s="1"/>
  <c r="V133" i="6" s="1"/>
  <c r="K137" i="6"/>
  <c r="CY150" i="1"/>
  <c r="X150" i="1" s="1"/>
  <c r="T379" i="6" s="1"/>
  <c r="V437" i="6"/>
  <c r="CP101" i="1"/>
  <c r="O101" i="1" s="1"/>
  <c r="K318" i="6"/>
  <c r="CP151" i="1"/>
  <c r="O151" i="1" s="1"/>
  <c r="CP210" i="1"/>
  <c r="O210" i="1" s="1"/>
  <c r="K495" i="6"/>
  <c r="J496" i="6" s="1"/>
  <c r="P496" i="6" s="1"/>
  <c r="T493" i="6"/>
  <c r="S204" i="1"/>
  <c r="G96" i="6"/>
  <c r="O96" i="6" s="1"/>
  <c r="CP73" i="1"/>
  <c r="O73" i="1" s="1"/>
  <c r="K211" i="6"/>
  <c r="L151" i="6"/>
  <c r="Q151" i="6" s="1"/>
  <c r="L149" i="6"/>
  <c r="H79" i="6"/>
  <c r="H138" i="6"/>
  <c r="H257" i="6"/>
  <c r="W257" i="6" s="1"/>
  <c r="U173" i="6"/>
  <c r="P78" i="1"/>
  <c r="P77" i="1"/>
  <c r="K230" i="6" s="1"/>
  <c r="J232" i="6" s="1"/>
  <c r="P232" i="6" s="1"/>
  <c r="P207" i="1"/>
  <c r="S324" i="6"/>
  <c r="H446" i="6"/>
  <c r="E130" i="6"/>
  <c r="C131" i="6"/>
  <c r="T82" i="1"/>
  <c r="G451" i="6"/>
  <c r="O451" i="6" s="1"/>
  <c r="W451" i="6"/>
  <c r="H296" i="6"/>
  <c r="GX33" i="1"/>
  <c r="E66" i="6"/>
  <c r="T46" i="1"/>
  <c r="V46" i="1"/>
  <c r="GM68" i="1"/>
  <c r="T197" i="6"/>
  <c r="L47" i="6"/>
  <c r="L48" i="6"/>
  <c r="Q48" i="6" s="1"/>
  <c r="V203" i="6"/>
  <c r="GM163" i="1"/>
  <c r="T439" i="6"/>
  <c r="L390" i="6"/>
  <c r="L391" i="6"/>
  <c r="Q391" i="6" s="1"/>
  <c r="CP211" i="1"/>
  <c r="O211" i="1" s="1"/>
  <c r="K497" i="6"/>
  <c r="J498" i="6" s="1"/>
  <c r="P498" i="6" s="1"/>
  <c r="L479" i="6"/>
  <c r="Q479" i="6" s="1"/>
  <c r="R268" i="6"/>
  <c r="W275" i="6"/>
  <c r="G275" i="6"/>
  <c r="O275" i="6" s="1"/>
  <c r="G129" i="6"/>
  <c r="O129" i="6" s="1"/>
  <c r="W129" i="6"/>
  <c r="P82" i="1"/>
  <c r="G50" i="6"/>
  <c r="O50" i="6" s="1"/>
  <c r="W50" i="6"/>
  <c r="G232" i="6"/>
  <c r="O232" i="6" s="1"/>
  <c r="W232" i="6"/>
  <c r="J275" i="6"/>
  <c r="P275" i="6" s="1"/>
  <c r="R394" i="6"/>
  <c r="W401" i="6"/>
  <c r="G401" i="6"/>
  <c r="O401" i="6" s="1"/>
  <c r="CY99" i="1"/>
  <c r="X99" i="1" s="1"/>
  <c r="T309" i="6" s="1"/>
  <c r="CZ99" i="1"/>
  <c r="Y99" i="1" s="1"/>
  <c r="V309" i="6" s="1"/>
  <c r="J368" i="6"/>
  <c r="P368" i="6" s="1"/>
  <c r="S103" i="1"/>
  <c r="W496" i="6"/>
  <c r="G496" i="6"/>
  <c r="O496" i="6" s="1"/>
  <c r="R288" i="6"/>
  <c r="G295" i="6"/>
  <c r="O295" i="6" s="1"/>
  <c r="W295" i="6"/>
  <c r="H463" i="6"/>
  <c r="CP88" i="1"/>
  <c r="O88" i="1" s="1"/>
  <c r="K265" i="6"/>
  <c r="J266" i="6" s="1"/>
  <c r="P266" i="6" s="1"/>
  <c r="CP165" i="1"/>
  <c r="O165" i="1" s="1"/>
  <c r="K450" i="6"/>
  <c r="J451" i="6" s="1"/>
  <c r="P451" i="6" s="1"/>
  <c r="S322" i="6"/>
  <c r="H319" i="6" s="1"/>
  <c r="CZ159" i="1"/>
  <c r="Y159" i="1" s="1"/>
  <c r="V417" i="6" s="1"/>
  <c r="K423" i="6" s="1"/>
  <c r="J425" i="6" s="1"/>
  <c r="P425" i="6" s="1"/>
  <c r="W235" i="6"/>
  <c r="G235" i="6"/>
  <c r="O235" i="6" s="1"/>
  <c r="V35" i="1"/>
  <c r="E177" i="6"/>
  <c r="C178" i="6"/>
  <c r="CY40" i="1"/>
  <c r="X40" i="1" s="1"/>
  <c r="T95" i="6" s="1"/>
  <c r="L67" i="6"/>
  <c r="Q67" i="6" s="1"/>
  <c r="L65" i="6"/>
  <c r="CP48" i="1"/>
  <c r="O48" i="1" s="1"/>
  <c r="K127" i="6"/>
  <c r="J129" i="6" s="1"/>
  <c r="P129" i="6" s="1"/>
  <c r="CY37" i="1"/>
  <c r="X37" i="1" s="1"/>
  <c r="T82" i="6" s="1"/>
  <c r="CZ92" i="1"/>
  <c r="Y92" i="1" s="1"/>
  <c r="V280" i="6" s="1"/>
  <c r="AF167" i="1"/>
  <c r="GN164" i="1"/>
  <c r="G60" i="6"/>
  <c r="O60" i="6" s="1"/>
  <c r="K91" i="6"/>
  <c r="CY39" i="1"/>
  <c r="X39" i="1" s="1"/>
  <c r="T90" i="6" s="1"/>
  <c r="K92" i="6" s="1"/>
  <c r="V82" i="1"/>
  <c r="CY73" i="1"/>
  <c r="X73" i="1" s="1"/>
  <c r="T207" i="6" s="1"/>
  <c r="K212" i="6" s="1"/>
  <c r="K210" i="6"/>
  <c r="CP39" i="1"/>
  <c r="O39" i="1" s="1"/>
  <c r="H173" i="6"/>
  <c r="W173" i="6" s="1"/>
  <c r="CY54" i="1"/>
  <c r="X54" i="1" s="1"/>
  <c r="T152" i="6" s="1"/>
  <c r="K158" i="6" s="1"/>
  <c r="K154" i="6"/>
  <c r="R208" i="6"/>
  <c r="G215" i="6"/>
  <c r="O215" i="6" s="1"/>
  <c r="W215" i="6"/>
  <c r="E324" i="6"/>
  <c r="C325" i="6"/>
  <c r="P103" i="1"/>
  <c r="R103" i="1"/>
  <c r="GX77" i="1"/>
  <c r="U96" i="1"/>
  <c r="L298" i="6" s="1"/>
  <c r="Q298" i="6" s="1"/>
  <c r="W370" i="6"/>
  <c r="G370" i="6"/>
  <c r="O370" i="6" s="1"/>
  <c r="L356" i="6"/>
  <c r="L358" i="6"/>
  <c r="Q358" i="6" s="1"/>
  <c r="CP162" i="1"/>
  <c r="O162" i="1" s="1"/>
  <c r="GN162" i="1" s="1"/>
  <c r="K437" i="6"/>
  <c r="J438" i="6" s="1"/>
  <c r="P438" i="6" s="1"/>
  <c r="CP161" i="1"/>
  <c r="O161" i="1" s="1"/>
  <c r="K435" i="6"/>
  <c r="J436" i="6" s="1"/>
  <c r="P436" i="6" s="1"/>
  <c r="G514" i="6"/>
  <c r="O514" i="6" s="1"/>
  <c r="W514" i="6"/>
  <c r="R510" i="6"/>
  <c r="R517" i="6"/>
  <c r="G524" i="6"/>
  <c r="O524" i="6" s="1"/>
  <c r="W524" i="6"/>
  <c r="H464" i="6"/>
  <c r="G467" i="6" s="1"/>
  <c r="O467" i="6" s="1"/>
  <c r="G266" i="6"/>
  <c r="O266" i="6" s="1"/>
  <c r="W266" i="6"/>
  <c r="GX103" i="1"/>
  <c r="P98" i="1"/>
  <c r="E307" i="6"/>
  <c r="G132" i="6"/>
  <c r="O132" i="6" s="1"/>
  <c r="W132" i="6"/>
  <c r="CP75" i="1"/>
  <c r="O75" i="1" s="1"/>
  <c r="K222" i="6"/>
  <c r="CZ37" i="1"/>
  <c r="Y37" i="1" s="1"/>
  <c r="V82" i="6" s="1"/>
  <c r="K80" i="6" s="1"/>
  <c r="L306" i="6"/>
  <c r="L308" i="6"/>
  <c r="Q308" i="6" s="1"/>
  <c r="Q80" i="1"/>
  <c r="CY61" i="1"/>
  <c r="X61" i="1" s="1"/>
  <c r="T180" i="6" s="1"/>
  <c r="CZ156" i="1"/>
  <c r="Y156" i="1" s="1"/>
  <c r="V411" i="6" s="1"/>
  <c r="AP107" i="1"/>
  <c r="Q76" i="1"/>
  <c r="C228" i="6"/>
  <c r="E227" i="6"/>
  <c r="T76" i="1"/>
  <c r="R98" i="6"/>
  <c r="G104" i="6"/>
  <c r="O104" i="6" s="1"/>
  <c r="W104" i="6"/>
  <c r="S261" i="6"/>
  <c r="CP52" i="1"/>
  <c r="O52" i="1" s="1"/>
  <c r="GM52" i="1" s="1"/>
  <c r="V86" i="1"/>
  <c r="CP145" i="1"/>
  <c r="O145" i="1" s="1"/>
  <c r="GN145" i="1" s="1"/>
  <c r="K369" i="6"/>
  <c r="J370" i="6" s="1"/>
  <c r="P370" i="6" s="1"/>
  <c r="E322" i="6"/>
  <c r="T102" i="1"/>
  <c r="R501" i="6"/>
  <c r="W506" i="6"/>
  <c r="G506" i="6"/>
  <c r="O506" i="6" s="1"/>
  <c r="GN217" i="1"/>
  <c r="GM217" i="1"/>
  <c r="J514" i="6"/>
  <c r="P514" i="6" s="1"/>
  <c r="H478" i="6"/>
  <c r="U103" i="1"/>
  <c r="L326" i="6" s="1"/>
  <c r="Q326" i="6" s="1"/>
  <c r="R404" i="6"/>
  <c r="W408" i="6"/>
  <c r="G408" i="6"/>
  <c r="O408" i="6" s="1"/>
  <c r="S175" i="6"/>
  <c r="H170" i="6" s="1"/>
  <c r="S102" i="1"/>
  <c r="W277" i="6"/>
  <c r="G277" i="6"/>
  <c r="O277" i="6" s="1"/>
  <c r="E246" i="6"/>
  <c r="C247" i="6"/>
  <c r="W285" i="6"/>
  <c r="G285" i="6"/>
  <c r="O285" i="6" s="1"/>
  <c r="CZ75" i="1"/>
  <c r="Y75" i="1" s="1"/>
  <c r="V218" i="6" s="1"/>
  <c r="K224" i="6" s="1"/>
  <c r="K219" i="6"/>
  <c r="CY75" i="1"/>
  <c r="X75" i="1" s="1"/>
  <c r="T218" i="6" s="1"/>
  <c r="K223" i="6" s="1"/>
  <c r="W33" i="1"/>
  <c r="S46" i="1"/>
  <c r="CP65" i="1"/>
  <c r="O65" i="1" s="1"/>
  <c r="K193" i="6" s="1"/>
  <c r="U55" i="1"/>
  <c r="L163" i="6" s="1"/>
  <c r="Q163" i="6" s="1"/>
  <c r="W55" i="1"/>
  <c r="CY65" i="1"/>
  <c r="X65" i="1" s="1"/>
  <c r="T193" i="6" s="1"/>
  <c r="CZ61" i="1"/>
  <c r="Y61" i="1" s="1"/>
  <c r="V180" i="6" s="1"/>
  <c r="GM145" i="1"/>
  <c r="T369" i="6"/>
  <c r="CP212" i="1"/>
  <c r="O212" i="1" s="1"/>
  <c r="K502" i="6"/>
  <c r="Q207" i="1"/>
  <c r="GX80" i="1"/>
  <c r="U296" i="6"/>
  <c r="T96" i="1"/>
  <c r="S76" i="1"/>
  <c r="CP76" i="1" s="1"/>
  <c r="O76" i="1" s="1"/>
  <c r="S78" i="1"/>
  <c r="E233" i="6"/>
  <c r="C234" i="6"/>
  <c r="V78" i="1"/>
  <c r="W112" i="6"/>
  <c r="R106" i="6"/>
  <c r="G112" i="6"/>
  <c r="O112" i="6" s="1"/>
  <c r="U261" i="6"/>
  <c r="T86" i="1"/>
  <c r="U86" i="1"/>
  <c r="W283" i="6"/>
  <c r="G283" i="6"/>
  <c r="O283" i="6" s="1"/>
  <c r="H320" i="6"/>
  <c r="K352" i="6"/>
  <c r="CY142" i="1"/>
  <c r="X142" i="1" s="1"/>
  <c r="T348" i="6" s="1"/>
  <c r="K354" i="6" s="1"/>
  <c r="G374" i="6"/>
  <c r="O374" i="6" s="1"/>
  <c r="W374" i="6"/>
  <c r="CP163" i="1"/>
  <c r="O163" i="1" s="1"/>
  <c r="K444" i="6"/>
  <c r="G540" i="6"/>
  <c r="O540" i="6" s="1"/>
  <c r="W540" i="6"/>
  <c r="GM218" i="1"/>
  <c r="GN218" i="1"/>
  <c r="V207" i="1"/>
  <c r="AI221" i="1" s="1"/>
  <c r="U246" i="6"/>
  <c r="G436" i="6"/>
  <c r="O436" i="6" s="1"/>
  <c r="W436" i="6"/>
  <c r="U175" i="6"/>
  <c r="GX102" i="1"/>
  <c r="E296" i="6"/>
  <c r="C297" i="6"/>
  <c r="GX96" i="1"/>
  <c r="R96" i="1"/>
  <c r="CP43" i="1"/>
  <c r="O43" i="1" s="1"/>
  <c r="K118" i="6"/>
  <c r="R46" i="1"/>
  <c r="W46" i="1"/>
  <c r="GN73" i="1"/>
  <c r="V207" i="6"/>
  <c r="K213" i="6" s="1"/>
  <c r="CP69" i="1"/>
  <c r="O69" i="1" s="1"/>
  <c r="K199" i="6"/>
  <c r="J200" i="6" s="1"/>
  <c r="P200" i="6" s="1"/>
  <c r="V98" i="1"/>
  <c r="R80" i="1"/>
  <c r="U80" i="1"/>
  <c r="L248" i="6" s="1"/>
  <c r="Q248" i="6" s="1"/>
  <c r="CY155" i="1"/>
  <c r="X155" i="1" s="1"/>
  <c r="CZ143" i="1"/>
  <c r="Y143" i="1" s="1"/>
  <c r="V357" i="6" s="1"/>
  <c r="AD221" i="1"/>
  <c r="CZ146" i="1"/>
  <c r="Y146" i="1" s="1"/>
  <c r="V371" i="6" s="1"/>
  <c r="T98" i="1"/>
  <c r="S296" i="6"/>
  <c r="W181" i="6"/>
  <c r="G181" i="6"/>
  <c r="O181" i="6" s="1"/>
  <c r="R42" i="6"/>
  <c r="W48" i="6"/>
  <c r="G48" i="6"/>
  <c r="O48" i="6" s="1"/>
  <c r="CY58" i="1"/>
  <c r="X58" i="1" s="1"/>
  <c r="T174" i="6" s="1"/>
  <c r="CZ58" i="1"/>
  <c r="Y58" i="1" s="1"/>
  <c r="V174" i="6" s="1"/>
  <c r="S86" i="1"/>
  <c r="S216" i="6"/>
  <c r="L83" i="6"/>
  <c r="Q83" i="6" s="1"/>
  <c r="L81" i="6"/>
  <c r="H162" i="6"/>
  <c r="CP93" i="1"/>
  <c r="O93" i="1" s="1"/>
  <c r="GN93" i="1" s="1"/>
  <c r="K282" i="6"/>
  <c r="J283" i="6" s="1"/>
  <c r="P283" i="6" s="1"/>
  <c r="CZ151" i="1"/>
  <c r="Y151" i="1" s="1"/>
  <c r="V381" i="6" s="1"/>
  <c r="CP147" i="1"/>
  <c r="O147" i="1" s="1"/>
  <c r="K373" i="6"/>
  <c r="J374" i="6" s="1"/>
  <c r="P374" i="6" s="1"/>
  <c r="L505" i="6"/>
  <c r="L506" i="6"/>
  <c r="Q506" i="6" s="1"/>
  <c r="S246" i="6"/>
  <c r="V96" i="1"/>
  <c r="Q86" i="1"/>
  <c r="CP86" i="1" s="1"/>
  <c r="O86" i="1" s="1"/>
  <c r="W103" i="1"/>
  <c r="E257" i="6"/>
  <c r="W82" i="1"/>
  <c r="R207" i="1"/>
  <c r="U35" i="1"/>
  <c r="GX46" i="1"/>
  <c r="CJ107" i="1" s="1"/>
  <c r="K227" i="6"/>
  <c r="J229" i="6" s="1"/>
  <c r="P229" i="6" s="1"/>
  <c r="S98" i="1"/>
  <c r="R98" i="1"/>
  <c r="T80" i="1"/>
  <c r="CP206" i="1"/>
  <c r="O206" i="1" s="1"/>
  <c r="K489" i="6" s="1"/>
  <c r="W80" i="1"/>
  <c r="GN205" i="1"/>
  <c r="T480" i="6"/>
  <c r="CY70" i="1"/>
  <c r="X70" i="1" s="1"/>
  <c r="T201" i="6" s="1"/>
  <c r="CZ70" i="1"/>
  <c r="Y70" i="1" s="1"/>
  <c r="V201" i="6" s="1"/>
  <c r="H307" i="6"/>
  <c r="W307" i="6" s="1"/>
  <c r="H189" i="6"/>
  <c r="S177" i="6"/>
  <c r="R78" i="1"/>
  <c r="H216" i="6"/>
  <c r="GX57" i="1"/>
  <c r="CP99" i="1"/>
  <c r="O99" i="1" s="1"/>
  <c r="K309" i="6"/>
  <c r="J310" i="6" s="1"/>
  <c r="P310" i="6" s="1"/>
  <c r="CZ101" i="1"/>
  <c r="Y101" i="1" s="1"/>
  <c r="V313" i="6" s="1"/>
  <c r="K315" i="6"/>
  <c r="CY101" i="1"/>
  <c r="X101" i="1" s="1"/>
  <c r="T313" i="6" s="1"/>
  <c r="V77" i="1"/>
  <c r="S82" i="1"/>
  <c r="H490" i="6"/>
  <c r="W490" i="6" s="1"/>
  <c r="GX207" i="1"/>
  <c r="CP153" i="1"/>
  <c r="O153" i="1" s="1"/>
  <c r="GM153" i="1" s="1"/>
  <c r="K397" i="6"/>
  <c r="J401" i="6" s="1"/>
  <c r="P401" i="6" s="1"/>
  <c r="Q44" i="1"/>
  <c r="CP44" i="1" s="1"/>
  <c r="O44" i="1" s="1"/>
  <c r="K122" i="6" s="1"/>
  <c r="E122" i="6"/>
  <c r="GX86" i="1"/>
  <c r="R154" i="6"/>
  <c r="W161" i="6"/>
  <c r="G161" i="6"/>
  <c r="O161" i="6" s="1"/>
  <c r="G332" i="6"/>
  <c r="O332" i="6" s="1"/>
  <c r="W332" i="6"/>
  <c r="GX35" i="1"/>
  <c r="CZ56" i="1"/>
  <c r="Y56" i="1" s="1"/>
  <c r="V164" i="6" s="1"/>
  <c r="K168" i="6"/>
  <c r="T130" i="6"/>
  <c r="CP54" i="1"/>
  <c r="O54" i="1" s="1"/>
  <c r="K157" i="6"/>
  <c r="CP77" i="1"/>
  <c r="O77" i="1" s="1"/>
  <c r="CP84" i="1"/>
  <c r="O84" i="1" s="1"/>
  <c r="K259" i="6" s="1"/>
  <c r="CP63" i="1"/>
  <c r="O63" i="1" s="1"/>
  <c r="CY91" i="1"/>
  <c r="X91" i="1" s="1"/>
  <c r="P80" i="1"/>
  <c r="CP215" i="1"/>
  <c r="O215" i="1" s="1"/>
  <c r="K518" i="6"/>
  <c r="J524" i="6" s="1"/>
  <c r="P524" i="6" s="1"/>
  <c r="CP148" i="1"/>
  <c r="O148" i="1" s="1"/>
  <c r="K375" i="6"/>
  <c r="J376" i="6" s="1"/>
  <c r="P376" i="6" s="1"/>
  <c r="HD219" i="1"/>
  <c r="K539" i="6"/>
  <c r="J540" i="6" s="1"/>
  <c r="P540" i="6" s="1"/>
  <c r="W326" i="6"/>
  <c r="G326" i="6"/>
  <c r="O326" i="6" s="1"/>
  <c r="H227" i="6"/>
  <c r="H120" i="6"/>
  <c r="U177" i="6"/>
  <c r="S227" i="6"/>
  <c r="L140" i="6"/>
  <c r="L142" i="6"/>
  <c r="Q142" i="6" s="1"/>
  <c r="S307" i="6"/>
  <c r="H304" i="6" s="1"/>
  <c r="GX82" i="1"/>
  <c r="R527" i="6"/>
  <c r="W534" i="6"/>
  <c r="G534" i="6"/>
  <c r="O534" i="6" s="1"/>
  <c r="W372" i="6"/>
  <c r="G372" i="6"/>
  <c r="O372" i="6" s="1"/>
  <c r="CP205" i="1"/>
  <c r="O205" i="1" s="1"/>
  <c r="GM205" i="1" s="1"/>
  <c r="K485" i="6"/>
  <c r="S257" i="6"/>
  <c r="H254" i="6" s="1"/>
  <c r="W378" i="6"/>
  <c r="G378" i="6"/>
  <c r="O378" i="6" s="1"/>
  <c r="T207" i="1"/>
  <c r="GM160" i="1"/>
  <c r="V426" i="6"/>
  <c r="K432" i="6" s="1"/>
  <c r="W498" i="6"/>
  <c r="G498" i="6"/>
  <c r="O498" i="6" s="1"/>
  <c r="CY42" i="1"/>
  <c r="X42" i="1" s="1"/>
  <c r="T105" i="6" s="1"/>
  <c r="K109" i="6" s="1"/>
  <c r="J112" i="6" s="1"/>
  <c r="P112" i="6" s="1"/>
  <c r="K108" i="6"/>
  <c r="GX60" i="1"/>
  <c r="V278" i="6"/>
  <c r="L74" i="6"/>
  <c r="L76" i="6"/>
  <c r="Q76" i="6" s="1"/>
  <c r="GN68" i="1"/>
  <c r="GM158" i="1"/>
  <c r="V415" i="6"/>
  <c r="CZ149" i="1"/>
  <c r="Y149" i="1" s="1"/>
  <c r="V377" i="6" s="1"/>
  <c r="S66" i="6"/>
  <c r="H63" i="6" s="1"/>
  <c r="CP71" i="1"/>
  <c r="O71" i="1" s="1"/>
  <c r="GN71" i="1" s="1"/>
  <c r="K203" i="6"/>
  <c r="J204" i="6" s="1"/>
  <c r="P204" i="6" s="1"/>
  <c r="R238" i="6"/>
  <c r="G245" i="6"/>
  <c r="O245" i="6" s="1"/>
  <c r="W245" i="6"/>
  <c r="U76" i="1"/>
  <c r="L229" i="6" s="1"/>
  <c r="Q229" i="6" s="1"/>
  <c r="CY43" i="1"/>
  <c r="X43" i="1" s="1"/>
  <c r="T113" i="6" s="1"/>
  <c r="K117" i="6"/>
  <c r="H190" i="6"/>
  <c r="S75" i="6"/>
  <c r="H72" i="6" s="1"/>
  <c r="U227" i="6"/>
  <c r="U307" i="6"/>
  <c r="G312" i="6"/>
  <c r="O312" i="6" s="1"/>
  <c r="W312" i="6"/>
  <c r="L126" i="6"/>
  <c r="Q126" i="6" s="1"/>
  <c r="L121" i="6"/>
  <c r="R341" i="6"/>
  <c r="W347" i="6"/>
  <c r="G347" i="6"/>
  <c r="O347" i="6" s="1"/>
  <c r="K404" i="6"/>
  <c r="CZ154" i="1"/>
  <c r="Y154" i="1" s="1"/>
  <c r="V402" i="6" s="1"/>
  <c r="K406" i="6" s="1"/>
  <c r="CP95" i="1"/>
  <c r="O95" i="1" s="1"/>
  <c r="GM95" i="1" s="1"/>
  <c r="K291" i="6"/>
  <c r="G279" i="6"/>
  <c r="O279" i="6" s="1"/>
  <c r="W279" i="6"/>
  <c r="G425" i="6"/>
  <c r="O425" i="6" s="1"/>
  <c r="R419" i="6"/>
  <c r="W425" i="6"/>
  <c r="L492" i="6"/>
  <c r="Q492" i="6" s="1"/>
  <c r="L488" i="6"/>
  <c r="S490" i="6"/>
  <c r="H486" i="6" s="1"/>
  <c r="W207" i="1"/>
  <c r="AJ221" i="1" s="1"/>
  <c r="W221" i="1" s="1"/>
  <c r="U257" i="6"/>
  <c r="H255" i="6" s="1"/>
  <c r="CP149" i="1"/>
  <c r="O149" i="1" s="1"/>
  <c r="GN149" i="1" s="1"/>
  <c r="K377" i="6"/>
  <c r="J378" i="6" s="1"/>
  <c r="P378" i="6" s="1"/>
  <c r="Q143" i="1"/>
  <c r="CP143" i="1" s="1"/>
  <c r="O143" i="1" s="1"/>
  <c r="K357" i="6" s="1"/>
  <c r="E357" i="6"/>
  <c r="E123" i="6"/>
  <c r="W45" i="1"/>
  <c r="Q103" i="1"/>
  <c r="CZ163" i="1"/>
  <c r="Y163" i="1" s="1"/>
  <c r="V439" i="6" s="1"/>
  <c r="K446" i="6" s="1"/>
  <c r="R427" i="6"/>
  <c r="G434" i="6"/>
  <c r="O434" i="6" s="1"/>
  <c r="W434" i="6"/>
  <c r="U46" i="1"/>
  <c r="V55" i="1"/>
  <c r="K93" i="6"/>
  <c r="GN52" i="1"/>
  <c r="V143" i="6"/>
  <c r="K148" i="6" s="1"/>
  <c r="R55" i="1"/>
  <c r="CP79" i="1"/>
  <c r="O79" i="1" s="1"/>
  <c r="CP62" i="1"/>
  <c r="O62" i="1" s="1"/>
  <c r="K182" i="6"/>
  <c r="J183" i="6" s="1"/>
  <c r="P183" i="6" s="1"/>
  <c r="Q98" i="1"/>
  <c r="P46" i="1"/>
  <c r="CP46" i="1" s="1"/>
  <c r="O46" i="1" s="1"/>
  <c r="K124" i="6" s="1"/>
  <c r="GN95" i="1"/>
  <c r="T286" i="6"/>
  <c r="K292" i="6" s="1"/>
  <c r="GM164" i="1"/>
  <c r="T448" i="6"/>
  <c r="CI107" i="1"/>
  <c r="CP203" i="1"/>
  <c r="O203" i="1" s="1"/>
  <c r="K471" i="6"/>
  <c r="U66" i="6"/>
  <c r="H64" i="6" s="1"/>
  <c r="R85" i="6"/>
  <c r="G89" i="6"/>
  <c r="O89" i="6" s="1"/>
  <c r="W89" i="6"/>
  <c r="U162" i="6"/>
  <c r="E216" i="6"/>
  <c r="W74" i="1"/>
  <c r="GX74" i="1"/>
  <c r="CZ63" i="1"/>
  <c r="Y63" i="1" s="1"/>
  <c r="V184" i="6" s="1"/>
  <c r="K185" i="6"/>
  <c r="CY63" i="1"/>
  <c r="X63" i="1" s="1"/>
  <c r="T184" i="6" s="1"/>
  <c r="U75" i="6"/>
  <c r="H73" i="6" s="1"/>
  <c r="H261" i="6"/>
  <c r="W261" i="6" s="1"/>
  <c r="V76" i="1"/>
  <c r="CY160" i="1"/>
  <c r="X160" i="1" s="1"/>
  <c r="T426" i="6" s="1"/>
  <c r="K431" i="6" s="1"/>
  <c r="K427" i="6"/>
  <c r="S478" i="6"/>
  <c r="W410" i="6"/>
  <c r="G410" i="6"/>
  <c r="O410" i="6" s="1"/>
  <c r="CP49" i="1"/>
  <c r="O49" i="1" s="1"/>
  <c r="GM49" i="1" s="1"/>
  <c r="K130" i="6"/>
  <c r="J132" i="6" s="1"/>
  <c r="P132" i="6" s="1"/>
  <c r="S233" i="6"/>
  <c r="CY147" i="1"/>
  <c r="X147" i="1" s="1"/>
  <c r="T373" i="6" s="1"/>
  <c r="CZ147" i="1"/>
  <c r="Y147" i="1" s="1"/>
  <c r="V373" i="6" s="1"/>
  <c r="W368" i="6"/>
  <c r="R361" i="6"/>
  <c r="G368" i="6"/>
  <c r="O368" i="6" s="1"/>
  <c r="CP91" i="1"/>
  <c r="O91" i="1" s="1"/>
  <c r="GN91" i="1" s="1"/>
  <c r="K278" i="6"/>
  <c r="J279" i="6" s="1"/>
  <c r="P279" i="6" s="1"/>
  <c r="U490" i="6"/>
  <c r="H487" i="6" s="1"/>
  <c r="R470" i="6"/>
  <c r="G477" i="6"/>
  <c r="O477" i="6" s="1"/>
  <c r="W477" i="6"/>
  <c r="R385" i="6"/>
  <c r="W391" i="6"/>
  <c r="G391" i="6"/>
  <c r="O391" i="6" s="1"/>
  <c r="L433" i="6"/>
  <c r="L434" i="6"/>
  <c r="Q434" i="6" s="1"/>
  <c r="GX48" i="1"/>
  <c r="C128" i="6"/>
  <c r="E127" i="6"/>
  <c r="W281" i="6"/>
  <c r="G281" i="6"/>
  <c r="O281" i="6" s="1"/>
  <c r="CY100" i="1"/>
  <c r="X100" i="1" s="1"/>
  <c r="T311" i="6" s="1"/>
  <c r="CJ221" i="1"/>
  <c r="L226" i="6"/>
  <c r="Q226" i="6" s="1"/>
  <c r="L225" i="6"/>
  <c r="P96" i="1"/>
  <c r="CY36" i="1"/>
  <c r="X36" i="1" s="1"/>
  <c r="T77" i="6" s="1"/>
  <c r="K57" i="6"/>
  <c r="J60" i="6" s="1"/>
  <c r="P60" i="6" s="1"/>
  <c r="CP56" i="1"/>
  <c r="O56" i="1" s="1"/>
  <c r="K169" i="6"/>
  <c r="GX55" i="1"/>
  <c r="S80" i="1"/>
  <c r="P60" i="1"/>
  <c r="K177" i="6" s="1"/>
  <c r="J179" i="6" s="1"/>
  <c r="P179" i="6" s="1"/>
  <c r="Q46" i="1"/>
  <c r="V80" i="1"/>
  <c r="CY152" i="1"/>
  <c r="X152" i="1" s="1"/>
  <c r="T383" i="6" s="1"/>
  <c r="K388" i="6" s="1"/>
  <c r="J391" i="6" s="1"/>
  <c r="P391" i="6" s="1"/>
  <c r="K387" i="6"/>
  <c r="CP156" i="1"/>
  <c r="O156" i="1" s="1"/>
  <c r="T204" i="1"/>
  <c r="W96" i="6"/>
  <c r="J89" i="6"/>
  <c r="P89" i="6" s="1"/>
  <c r="CP102" i="1"/>
  <c r="O102" i="1" s="1"/>
  <c r="S162" i="6"/>
  <c r="H75" i="6"/>
  <c r="W75" i="6" s="1"/>
  <c r="H177" i="6"/>
  <c r="S124" i="6"/>
  <c r="H119" i="6" s="1"/>
  <c r="W200" i="6"/>
  <c r="G200" i="6"/>
  <c r="O200" i="6" s="1"/>
  <c r="W86" i="1"/>
  <c r="H80" i="6"/>
  <c r="W83" i="6" s="1"/>
  <c r="GX76" i="1"/>
  <c r="H175" i="6"/>
  <c r="W175" i="6" s="1"/>
  <c r="C231" i="6"/>
  <c r="E230" i="6"/>
  <c r="J245" i="6"/>
  <c r="P245" i="6" s="1"/>
  <c r="T74" i="1"/>
  <c r="U478" i="6"/>
  <c r="G358" i="6"/>
  <c r="O358" i="6" s="1"/>
  <c r="CP155" i="1"/>
  <c r="O155" i="1" s="1"/>
  <c r="K409" i="6"/>
  <c r="J410" i="6" s="1"/>
  <c r="P410" i="6" s="1"/>
  <c r="U233" i="6"/>
  <c r="Q96" i="1"/>
  <c r="CP209" i="1"/>
  <c r="O209" i="1" s="1"/>
  <c r="GN209" i="1" s="1"/>
  <c r="K493" i="6"/>
  <c r="J494" i="6" s="1"/>
  <c r="P494" i="6" s="1"/>
  <c r="S96" i="1"/>
  <c r="J534" i="6"/>
  <c r="P534" i="6" s="1"/>
  <c r="S207" i="1"/>
  <c r="CY203" i="1"/>
  <c r="X203" i="1" s="1"/>
  <c r="T468" i="6" s="1"/>
  <c r="K474" i="6" s="1"/>
  <c r="K470" i="6"/>
  <c r="CZ142" i="1"/>
  <c r="Y142" i="1" s="1"/>
  <c r="V348" i="6" s="1"/>
  <c r="K355" i="6" s="1"/>
  <c r="R219" i="6"/>
  <c r="G226" i="6"/>
  <c r="O226" i="6" s="1"/>
  <c r="W226" i="6"/>
  <c r="H305" i="6"/>
  <c r="U207" i="1"/>
  <c r="AH221" i="1" s="1"/>
  <c r="GM146" i="1"/>
  <c r="GN146" i="1"/>
  <c r="AH139" i="1"/>
  <c r="U167" i="1"/>
  <c r="GM215" i="1"/>
  <c r="GN215" i="1"/>
  <c r="GN66" i="1"/>
  <c r="GM66" i="1"/>
  <c r="GM151" i="1"/>
  <c r="GN151" i="1"/>
  <c r="GM84" i="1"/>
  <c r="GN84" i="1"/>
  <c r="CJ199" i="1"/>
  <c r="BA221" i="1"/>
  <c r="CI26" i="1"/>
  <c r="AZ107" i="1"/>
  <c r="GN203" i="1"/>
  <c r="GN100" i="1"/>
  <c r="GM100" i="1"/>
  <c r="GN157" i="1"/>
  <c r="GM157" i="1"/>
  <c r="DF1" i="3"/>
  <c r="DG1" i="3"/>
  <c r="DH1" i="3"/>
  <c r="DI1" i="3"/>
  <c r="DJ1" i="3" s="1"/>
  <c r="DI74" i="3"/>
  <c r="DJ74" i="3" s="1"/>
  <c r="DH74" i="3"/>
  <c r="DF74" i="3"/>
  <c r="DG74" i="3"/>
  <c r="DH243" i="3"/>
  <c r="DI243" i="3"/>
  <c r="DF243" i="3"/>
  <c r="DJ243" i="3" s="1"/>
  <c r="DG243" i="3"/>
  <c r="DG54" i="3"/>
  <c r="DH54" i="3"/>
  <c r="DI54" i="3"/>
  <c r="DF54" i="3"/>
  <c r="DJ54" i="3" s="1"/>
  <c r="DF125" i="3"/>
  <c r="DJ125" i="3" s="1"/>
  <c r="DI125" i="3"/>
  <c r="DG125" i="3"/>
  <c r="DH125" i="3"/>
  <c r="AD199" i="1"/>
  <c r="Q221" i="1"/>
  <c r="DG55" i="3"/>
  <c r="DH55" i="3"/>
  <c r="DI55" i="3"/>
  <c r="DF55" i="3"/>
  <c r="DJ55" i="3" s="1"/>
  <c r="CG26" i="1"/>
  <c r="AX107" i="1"/>
  <c r="DI200" i="3"/>
  <c r="DG200" i="3"/>
  <c r="DF200" i="3"/>
  <c r="DJ200" i="3" s="1"/>
  <c r="DH200" i="3"/>
  <c r="GN213" i="1"/>
  <c r="GM213" i="1"/>
  <c r="DF51" i="3"/>
  <c r="DG51" i="3"/>
  <c r="DJ51" i="3" s="1"/>
  <c r="DH51" i="3"/>
  <c r="DI51" i="3"/>
  <c r="DF134" i="3"/>
  <c r="DG134" i="3"/>
  <c r="DJ134" i="3" s="1"/>
  <c r="DH134" i="3"/>
  <c r="DI134" i="3"/>
  <c r="DH167" i="3"/>
  <c r="DF167" i="3"/>
  <c r="DJ167" i="3" s="1"/>
  <c r="DG167" i="3"/>
  <c r="DI167" i="3"/>
  <c r="CZ51" i="1"/>
  <c r="Y51" i="1" s="1"/>
  <c r="V141" i="6" s="1"/>
  <c r="CY51" i="1"/>
  <c r="X51" i="1" s="1"/>
  <c r="T141" i="6" s="1"/>
  <c r="K138" i="6" s="1"/>
  <c r="CY98" i="1"/>
  <c r="X98" i="1" s="1"/>
  <c r="CZ98" i="1"/>
  <c r="Y98" i="1" s="1"/>
  <c r="GM206" i="1"/>
  <c r="GN206" i="1"/>
  <c r="DI245" i="3"/>
  <c r="DJ245" i="3" s="1"/>
  <c r="DF245" i="3"/>
  <c r="DG245" i="3"/>
  <c r="DH245" i="3"/>
  <c r="CY141" i="1"/>
  <c r="X141" i="1" s="1"/>
  <c r="AE167" i="1"/>
  <c r="GM101" i="1"/>
  <c r="GN101" i="1"/>
  <c r="GN160" i="1"/>
  <c r="AT199" i="1"/>
  <c r="F239" i="1"/>
  <c r="DH2" i="3"/>
  <c r="DI2" i="3"/>
  <c r="DJ2" i="3" s="1"/>
  <c r="DG2" i="3"/>
  <c r="DF2" i="3"/>
  <c r="DH26" i="3"/>
  <c r="DI26" i="3"/>
  <c r="DG26" i="3"/>
  <c r="DF26" i="3"/>
  <c r="DJ26" i="3" s="1"/>
  <c r="DF9" i="3"/>
  <c r="DJ9" i="3" s="1"/>
  <c r="DG9" i="3"/>
  <c r="DH9" i="3"/>
  <c r="DI9" i="3"/>
  <c r="DH71" i="3"/>
  <c r="DF71" i="3"/>
  <c r="DG71" i="3"/>
  <c r="DJ71" i="3" s="1"/>
  <c r="DI71" i="3"/>
  <c r="DI45" i="3"/>
  <c r="DF45" i="3"/>
  <c r="DJ45" i="3" s="1"/>
  <c r="DG45" i="3"/>
  <c r="DH45" i="3"/>
  <c r="DF69" i="3"/>
  <c r="DI69" i="3"/>
  <c r="DG69" i="3"/>
  <c r="DJ69" i="3" s="1"/>
  <c r="DH69" i="3"/>
  <c r="DI66" i="3"/>
  <c r="DF66" i="3"/>
  <c r="DJ66" i="3" s="1"/>
  <c r="DG66" i="3"/>
  <c r="DH66" i="3"/>
  <c r="DH143" i="3"/>
  <c r="DF143" i="3"/>
  <c r="DG143" i="3"/>
  <c r="DI143" i="3"/>
  <c r="DJ143" i="3" s="1"/>
  <c r="DF126" i="3"/>
  <c r="DJ126" i="3" s="1"/>
  <c r="DH126" i="3"/>
  <c r="DG126" i="3"/>
  <c r="DI126" i="3"/>
  <c r="DH139" i="3"/>
  <c r="DI139" i="3"/>
  <c r="DF139" i="3"/>
  <c r="DG139" i="3"/>
  <c r="DJ139" i="3" s="1"/>
  <c r="DF161" i="3"/>
  <c r="DH161" i="3"/>
  <c r="DG161" i="3"/>
  <c r="DJ161" i="3" s="1"/>
  <c r="DI161" i="3"/>
  <c r="DG157" i="3"/>
  <c r="DH157" i="3"/>
  <c r="DI157" i="3"/>
  <c r="DF157" i="3"/>
  <c r="DJ157" i="3" s="1"/>
  <c r="DF190" i="3"/>
  <c r="DJ190" i="3" s="1"/>
  <c r="DH190" i="3"/>
  <c r="DG190" i="3"/>
  <c r="DI190" i="3"/>
  <c r="DF140" i="3"/>
  <c r="DG140" i="3"/>
  <c r="DJ140" i="3" s="1"/>
  <c r="DI140" i="3"/>
  <c r="DH140" i="3"/>
  <c r="DF24" i="3"/>
  <c r="DJ24" i="3" s="1"/>
  <c r="DG24" i="3"/>
  <c r="DH24" i="3"/>
  <c r="DI24" i="3"/>
  <c r="DH227" i="3"/>
  <c r="DI227" i="3"/>
  <c r="DG227" i="3"/>
  <c r="DJ227" i="3" s="1"/>
  <c r="DF227" i="3"/>
  <c r="DF198" i="3"/>
  <c r="DH198" i="3"/>
  <c r="DI198" i="3"/>
  <c r="DG198" i="3"/>
  <c r="DJ198" i="3" s="1"/>
  <c r="GN36" i="1"/>
  <c r="GM36" i="1"/>
  <c r="V60" i="1"/>
  <c r="R60" i="1"/>
  <c r="Q60" i="1"/>
  <c r="CY34" i="1"/>
  <c r="X34" i="1" s="1"/>
  <c r="T68" i="6" s="1"/>
  <c r="CZ34" i="1"/>
  <c r="Y34" i="1" s="1"/>
  <c r="V68" i="6" s="1"/>
  <c r="DI37" i="3"/>
  <c r="DF37" i="3"/>
  <c r="DG37" i="3"/>
  <c r="DJ37" i="3" s="1"/>
  <c r="DH37" i="3"/>
  <c r="GM45" i="1"/>
  <c r="GN45" i="1"/>
  <c r="DF85" i="3"/>
  <c r="DG85" i="3"/>
  <c r="DH85" i="3"/>
  <c r="DI85" i="3"/>
  <c r="DJ85" i="3" s="1"/>
  <c r="DG121" i="3"/>
  <c r="DI121" i="3"/>
  <c r="DJ121" i="3" s="1"/>
  <c r="DF121" i="3"/>
  <c r="DH121" i="3"/>
  <c r="DI103" i="3"/>
  <c r="DG103" i="3"/>
  <c r="DJ103" i="3" s="1"/>
  <c r="DF103" i="3"/>
  <c r="DH103" i="3"/>
  <c r="CZ74" i="1"/>
  <c r="Y74" i="1" s="1"/>
  <c r="V216" i="6" s="1"/>
  <c r="CY74" i="1"/>
  <c r="X74" i="1" s="1"/>
  <c r="T216" i="6" s="1"/>
  <c r="GM41" i="1"/>
  <c r="GN41" i="1"/>
  <c r="GM62" i="1"/>
  <c r="GN62" i="1"/>
  <c r="CY77" i="1"/>
  <c r="X77" i="1" s="1"/>
  <c r="CZ77" i="1"/>
  <c r="Y77" i="1" s="1"/>
  <c r="CY64" i="1"/>
  <c r="X64" i="1" s="1"/>
  <c r="T192" i="6" s="1"/>
  <c r="CZ64" i="1"/>
  <c r="Y64" i="1" s="1"/>
  <c r="V192" i="6" s="1"/>
  <c r="DI135" i="3"/>
  <c r="DG135" i="3"/>
  <c r="DJ135" i="3" s="1"/>
  <c r="DF135" i="3"/>
  <c r="DH135" i="3"/>
  <c r="BD26" i="1"/>
  <c r="F132" i="1"/>
  <c r="Q59" i="1"/>
  <c r="BC26" i="1"/>
  <c r="F123" i="1"/>
  <c r="BC251" i="1"/>
  <c r="DF185" i="3"/>
  <c r="DJ185" i="3" s="1"/>
  <c r="DH185" i="3"/>
  <c r="DI185" i="3"/>
  <c r="DG185" i="3"/>
  <c r="DG204" i="3"/>
  <c r="DH204" i="3"/>
  <c r="DI204" i="3"/>
  <c r="DJ204" i="3" s="1"/>
  <c r="DF204" i="3"/>
  <c r="GN104" i="1"/>
  <c r="GM104" i="1"/>
  <c r="DI224" i="3"/>
  <c r="DF224" i="3"/>
  <c r="DG224" i="3"/>
  <c r="DJ224" i="3" s="1"/>
  <c r="DH224" i="3"/>
  <c r="GM93" i="1"/>
  <c r="DG247" i="3"/>
  <c r="DJ247" i="3" s="1"/>
  <c r="DI247" i="3"/>
  <c r="DH247" i="3"/>
  <c r="DF247" i="3"/>
  <c r="DG220" i="3"/>
  <c r="DF220" i="3"/>
  <c r="DJ220" i="3" s="1"/>
  <c r="DH220" i="3"/>
  <c r="DI220" i="3"/>
  <c r="CP152" i="1"/>
  <c r="O152" i="1" s="1"/>
  <c r="AQ199" i="1"/>
  <c r="F231" i="1"/>
  <c r="AG167" i="1"/>
  <c r="DI194" i="3"/>
  <c r="DJ194" i="3" s="1"/>
  <c r="DG194" i="3"/>
  <c r="DH194" i="3"/>
  <c r="DF194" i="3"/>
  <c r="DI178" i="3"/>
  <c r="DF178" i="3"/>
  <c r="DG178" i="3"/>
  <c r="DJ178" i="3" s="1"/>
  <c r="DH178" i="3"/>
  <c r="AX221" i="1"/>
  <c r="CG199" i="1"/>
  <c r="CP202" i="1"/>
  <c r="O202" i="1" s="1"/>
  <c r="K466" i="6" s="1"/>
  <c r="DF3" i="3"/>
  <c r="DG3" i="3"/>
  <c r="DJ3" i="3" s="1"/>
  <c r="DH3" i="3"/>
  <c r="DI3" i="3"/>
  <c r="GM208" i="1"/>
  <c r="GN208" i="1"/>
  <c r="DH152" i="3"/>
  <c r="DI152" i="3"/>
  <c r="DJ152" i="3" s="1"/>
  <c r="DG152" i="3"/>
  <c r="DF152" i="3"/>
  <c r="CZ33" i="1"/>
  <c r="Y33" i="1" s="1"/>
  <c r="V66" i="6" s="1"/>
  <c r="K64" i="6" s="1"/>
  <c r="CY33" i="1"/>
  <c r="X33" i="1" s="1"/>
  <c r="T66" i="6" s="1"/>
  <c r="DF217" i="3"/>
  <c r="DH217" i="3"/>
  <c r="DG217" i="3"/>
  <c r="DJ217" i="3" s="1"/>
  <c r="DI217" i="3"/>
  <c r="DI53" i="3"/>
  <c r="DF53" i="3"/>
  <c r="DJ53" i="3" s="1"/>
  <c r="DH53" i="3"/>
  <c r="DG53" i="3"/>
  <c r="DF36" i="3"/>
  <c r="DG36" i="3"/>
  <c r="DI36" i="3"/>
  <c r="DJ36" i="3" s="1"/>
  <c r="DH36" i="3"/>
  <c r="AD167" i="1"/>
  <c r="DI218" i="3"/>
  <c r="DF218" i="3"/>
  <c r="DG218" i="3"/>
  <c r="DJ218" i="3" s="1"/>
  <c r="DH218" i="3"/>
  <c r="CZ94" i="1"/>
  <c r="Y94" i="1" s="1"/>
  <c r="V284" i="6" s="1"/>
  <c r="AF139" i="1"/>
  <c r="S167" i="1"/>
  <c r="F234" i="1"/>
  <c r="BB199" i="1"/>
  <c r="CZ141" i="1"/>
  <c r="Y141" i="1" s="1"/>
  <c r="GM159" i="1"/>
  <c r="GN159" i="1"/>
  <c r="GN210" i="1"/>
  <c r="GM210" i="1"/>
  <c r="AI139" i="1"/>
  <c r="V167" i="1"/>
  <c r="CZ212" i="1"/>
  <c r="Y212" i="1" s="1"/>
  <c r="GN153" i="1"/>
  <c r="AU199" i="1"/>
  <c r="F240" i="1"/>
  <c r="GM209" i="1"/>
  <c r="DF33" i="3"/>
  <c r="DJ33" i="3" s="1"/>
  <c r="DH33" i="3"/>
  <c r="DI33" i="3"/>
  <c r="DG33" i="3"/>
  <c r="DF145" i="3"/>
  <c r="DH145" i="3"/>
  <c r="DG145" i="3"/>
  <c r="DJ145" i="3" s="1"/>
  <c r="DI145" i="3"/>
  <c r="GM43" i="1"/>
  <c r="GN43" i="1"/>
  <c r="GN38" i="1"/>
  <c r="GM38" i="1"/>
  <c r="DF117" i="3"/>
  <c r="DI117" i="3"/>
  <c r="DG117" i="3"/>
  <c r="DJ117" i="3" s="1"/>
  <c r="DH117" i="3"/>
  <c r="GM90" i="1"/>
  <c r="GN90" i="1"/>
  <c r="DF203" i="3"/>
  <c r="DJ203" i="3" s="1"/>
  <c r="DH203" i="3"/>
  <c r="DI203" i="3"/>
  <c r="DG203" i="3"/>
  <c r="DH58" i="3"/>
  <c r="DI58" i="3"/>
  <c r="DJ58" i="3" s="1"/>
  <c r="DF58" i="3"/>
  <c r="DG58" i="3"/>
  <c r="DH50" i="3"/>
  <c r="DI50" i="3"/>
  <c r="DJ50" i="3" s="1"/>
  <c r="DF50" i="3"/>
  <c r="DG50" i="3"/>
  <c r="DH124" i="3"/>
  <c r="DF124" i="3"/>
  <c r="DG124" i="3"/>
  <c r="DJ124" i="3" s="1"/>
  <c r="DI124" i="3"/>
  <c r="DH128" i="3"/>
  <c r="DF128" i="3"/>
  <c r="DJ128" i="3" s="1"/>
  <c r="DG128" i="3"/>
  <c r="DI128" i="3"/>
  <c r="DG248" i="3"/>
  <c r="DJ248" i="3" s="1"/>
  <c r="DH248" i="3"/>
  <c r="DF248" i="3"/>
  <c r="DI248" i="3"/>
  <c r="DF131" i="3"/>
  <c r="DJ131" i="3" s="1"/>
  <c r="DH131" i="3"/>
  <c r="DG131" i="3"/>
  <c r="DI131" i="3"/>
  <c r="DG68" i="3"/>
  <c r="DI68" i="3"/>
  <c r="DJ68" i="3" s="1"/>
  <c r="DH68" i="3"/>
  <c r="DF68" i="3"/>
  <c r="DI133" i="3"/>
  <c r="DJ133" i="3" s="1"/>
  <c r="DG133" i="3"/>
  <c r="DF133" i="3"/>
  <c r="DH133" i="3"/>
  <c r="DF179" i="3"/>
  <c r="DI179" i="3"/>
  <c r="DJ179" i="3" s="1"/>
  <c r="DG179" i="3"/>
  <c r="DH179" i="3"/>
  <c r="GM142" i="1"/>
  <c r="GN142" i="1"/>
  <c r="DH75" i="3"/>
  <c r="DF75" i="3"/>
  <c r="DG75" i="3"/>
  <c r="DI75" i="3"/>
  <c r="DJ75" i="3" s="1"/>
  <c r="DF153" i="3"/>
  <c r="DH153" i="3"/>
  <c r="DG153" i="3"/>
  <c r="DI153" i="3"/>
  <c r="DJ153" i="3" s="1"/>
  <c r="DH176" i="3"/>
  <c r="DI176" i="3"/>
  <c r="DJ176" i="3" s="1"/>
  <c r="DF176" i="3"/>
  <c r="DG176" i="3"/>
  <c r="DG214" i="3"/>
  <c r="DH214" i="3"/>
  <c r="DF214" i="3"/>
  <c r="DJ214" i="3" s="1"/>
  <c r="DI214" i="3"/>
  <c r="DG232" i="3"/>
  <c r="DH232" i="3"/>
  <c r="DI232" i="3"/>
  <c r="DF232" i="3"/>
  <c r="DJ232" i="3" s="1"/>
  <c r="T59" i="1"/>
  <c r="P59" i="1"/>
  <c r="CP50" i="1"/>
  <c r="O50" i="1" s="1"/>
  <c r="DG105" i="3"/>
  <c r="DJ105" i="3" s="1"/>
  <c r="DF105" i="3"/>
  <c r="DH105" i="3"/>
  <c r="DI105" i="3"/>
  <c r="CP51" i="1"/>
  <c r="O51" i="1" s="1"/>
  <c r="K141" i="6" s="1"/>
  <c r="DI229" i="3"/>
  <c r="DF229" i="3"/>
  <c r="DJ229" i="3" s="1"/>
  <c r="DG229" i="3"/>
  <c r="DH229" i="3"/>
  <c r="GM201" i="1"/>
  <c r="GN201" i="1"/>
  <c r="GM148" i="1"/>
  <c r="GN148" i="1"/>
  <c r="AP199" i="1"/>
  <c r="F230" i="1"/>
  <c r="DF17" i="3"/>
  <c r="DG17" i="3"/>
  <c r="DH17" i="3"/>
  <c r="DI17" i="3"/>
  <c r="DJ17" i="3" s="1"/>
  <c r="DH95" i="3"/>
  <c r="DF95" i="3"/>
  <c r="DJ95" i="3" s="1"/>
  <c r="DG95" i="3"/>
  <c r="DI95" i="3"/>
  <c r="DF169" i="3"/>
  <c r="DH169" i="3"/>
  <c r="DI169" i="3"/>
  <c r="DJ169" i="3" s="1"/>
  <c r="DG169" i="3"/>
  <c r="DH184" i="3"/>
  <c r="DI184" i="3"/>
  <c r="DF184" i="3"/>
  <c r="DJ184" i="3" s="1"/>
  <c r="DG184" i="3"/>
  <c r="DF19" i="3"/>
  <c r="DG19" i="3"/>
  <c r="DH19" i="3"/>
  <c r="DI19" i="3"/>
  <c r="DJ19" i="3" s="1"/>
  <c r="CY32" i="1"/>
  <c r="X32" i="1" s="1"/>
  <c r="DG104" i="3"/>
  <c r="DJ104" i="3" s="1"/>
  <c r="DF104" i="3"/>
  <c r="DH104" i="3"/>
  <c r="DI104" i="3"/>
  <c r="GM79" i="1"/>
  <c r="GN79" i="1"/>
  <c r="GM89" i="1"/>
  <c r="GN89" i="1"/>
  <c r="DG241" i="3"/>
  <c r="DJ241" i="3" s="1"/>
  <c r="DI241" i="3"/>
  <c r="DF241" i="3"/>
  <c r="DH241" i="3"/>
  <c r="DF65" i="3"/>
  <c r="DH65" i="3"/>
  <c r="DI65" i="3"/>
  <c r="DG65" i="3"/>
  <c r="DJ65" i="3" s="1"/>
  <c r="DH183" i="3"/>
  <c r="DF183" i="3"/>
  <c r="DJ183" i="3" s="1"/>
  <c r="DG183" i="3"/>
  <c r="DI183" i="3"/>
  <c r="DF20" i="3"/>
  <c r="DG20" i="3"/>
  <c r="DH20" i="3"/>
  <c r="DI20" i="3"/>
  <c r="DJ20" i="3" s="1"/>
  <c r="CZ46" i="1"/>
  <c r="Y46" i="1" s="1"/>
  <c r="V124" i="6" s="1"/>
  <c r="CY46" i="1"/>
  <c r="X46" i="1" s="1"/>
  <c r="T124" i="6" s="1"/>
  <c r="DG38" i="3"/>
  <c r="DJ38" i="3" s="1"/>
  <c r="DH38" i="3"/>
  <c r="DI38" i="3"/>
  <c r="DF38" i="3"/>
  <c r="CP47" i="1"/>
  <c r="O47" i="1" s="1"/>
  <c r="K125" i="6" s="1"/>
  <c r="CY53" i="1"/>
  <c r="X53" i="1" s="1"/>
  <c r="DF89" i="3"/>
  <c r="DJ89" i="3" s="1"/>
  <c r="DH89" i="3"/>
  <c r="DI89" i="3"/>
  <c r="DG89" i="3"/>
  <c r="CY47" i="1"/>
  <c r="X47" i="1" s="1"/>
  <c r="T125" i="6" s="1"/>
  <c r="DF109" i="3"/>
  <c r="DI109" i="3"/>
  <c r="DJ109" i="3" s="1"/>
  <c r="DH109" i="3"/>
  <c r="DG109" i="3"/>
  <c r="U33" i="1"/>
  <c r="DF102" i="3"/>
  <c r="DI102" i="3"/>
  <c r="DJ102" i="3" s="1"/>
  <c r="DG102" i="3"/>
  <c r="DH102" i="3"/>
  <c r="DG156" i="3"/>
  <c r="DI156" i="3"/>
  <c r="DF156" i="3"/>
  <c r="DJ156" i="3" s="1"/>
  <c r="DH156" i="3"/>
  <c r="CZ48" i="1"/>
  <c r="Y48" i="1" s="1"/>
  <c r="GM67" i="1"/>
  <c r="GN67" i="1"/>
  <c r="DF11" i="3"/>
  <c r="DG11" i="3"/>
  <c r="DJ11" i="3" s="1"/>
  <c r="DH11" i="3"/>
  <c r="DI11" i="3"/>
  <c r="GM81" i="1"/>
  <c r="GN81" i="1"/>
  <c r="GN61" i="1"/>
  <c r="GM61" i="1"/>
  <c r="GM75" i="1"/>
  <c r="GN75" i="1"/>
  <c r="DG172" i="3"/>
  <c r="DJ172" i="3" s="1"/>
  <c r="DI172" i="3"/>
  <c r="DH172" i="3"/>
  <c r="DF172" i="3"/>
  <c r="DG164" i="3"/>
  <c r="DJ164" i="3" s="1"/>
  <c r="DI164" i="3"/>
  <c r="DH164" i="3"/>
  <c r="DF164" i="3"/>
  <c r="GM92" i="1"/>
  <c r="GN92" i="1"/>
  <c r="GM73" i="1"/>
  <c r="DI146" i="3"/>
  <c r="DF146" i="3"/>
  <c r="DJ146" i="3" s="1"/>
  <c r="DG146" i="3"/>
  <c r="DH146" i="3"/>
  <c r="DG239" i="3"/>
  <c r="DJ239" i="3" s="1"/>
  <c r="DI239" i="3"/>
  <c r="DH239" i="3"/>
  <c r="DF239" i="3"/>
  <c r="GM150" i="1"/>
  <c r="GN150" i="1"/>
  <c r="AX167" i="1"/>
  <c r="CG139" i="1"/>
  <c r="DG196" i="3"/>
  <c r="DJ196" i="3" s="1"/>
  <c r="DF196" i="3"/>
  <c r="DI196" i="3"/>
  <c r="DH196" i="3"/>
  <c r="AO139" i="1"/>
  <c r="F171" i="1"/>
  <c r="GN211" i="1"/>
  <c r="GM211" i="1"/>
  <c r="GN143" i="1"/>
  <c r="GM143" i="1"/>
  <c r="CI199" i="1"/>
  <c r="AZ221" i="1"/>
  <c r="GM155" i="1"/>
  <c r="DF57" i="3"/>
  <c r="DH57" i="3"/>
  <c r="DI57" i="3"/>
  <c r="DJ57" i="3" s="1"/>
  <c r="DG57" i="3"/>
  <c r="DH123" i="3"/>
  <c r="DG123" i="3"/>
  <c r="DJ123" i="3" s="1"/>
  <c r="DF123" i="3"/>
  <c r="DI123" i="3"/>
  <c r="DG88" i="3"/>
  <c r="DF88" i="3"/>
  <c r="DJ88" i="3" s="1"/>
  <c r="DH88" i="3"/>
  <c r="DI88" i="3"/>
  <c r="CY97" i="1"/>
  <c r="X97" i="1" s="1"/>
  <c r="T299" i="6" s="1"/>
  <c r="CZ97" i="1"/>
  <c r="Y97" i="1" s="1"/>
  <c r="V299" i="6" s="1"/>
  <c r="DI208" i="3"/>
  <c r="DG208" i="3"/>
  <c r="DH208" i="3"/>
  <c r="DF208" i="3"/>
  <c r="DJ208" i="3" s="1"/>
  <c r="AO26" i="1"/>
  <c r="F111" i="1"/>
  <c r="AO251" i="1"/>
  <c r="DG221" i="3"/>
  <c r="DF221" i="3"/>
  <c r="DJ221" i="3" s="1"/>
  <c r="DH221" i="3"/>
  <c r="DI221" i="3"/>
  <c r="DF6" i="3"/>
  <c r="DG6" i="3"/>
  <c r="DJ6" i="3" s="1"/>
  <c r="DH6" i="3"/>
  <c r="DI6" i="3"/>
  <c r="DH34" i="3"/>
  <c r="DI34" i="3"/>
  <c r="DF34" i="3"/>
  <c r="DJ34" i="3" s="1"/>
  <c r="DG34" i="3"/>
  <c r="DH107" i="3"/>
  <c r="DF107" i="3"/>
  <c r="DJ107" i="3" s="1"/>
  <c r="DG107" i="3"/>
  <c r="DI107" i="3"/>
  <c r="DH151" i="3"/>
  <c r="DF151" i="3"/>
  <c r="DJ151" i="3" s="1"/>
  <c r="DG151" i="3"/>
  <c r="DI151" i="3"/>
  <c r="DI78" i="3"/>
  <c r="DF78" i="3"/>
  <c r="DH78" i="3"/>
  <c r="DG78" i="3"/>
  <c r="DJ78" i="3" s="1"/>
  <c r="CP97" i="1"/>
  <c r="O97" i="1" s="1"/>
  <c r="DG231" i="3"/>
  <c r="DI231" i="3"/>
  <c r="DF231" i="3"/>
  <c r="DJ231" i="3" s="1"/>
  <c r="DH231" i="3"/>
  <c r="DF27" i="3"/>
  <c r="DJ27" i="3" s="1"/>
  <c r="DG27" i="3"/>
  <c r="DH27" i="3"/>
  <c r="DI27" i="3"/>
  <c r="DI13" i="3"/>
  <c r="DF13" i="3"/>
  <c r="DJ13" i="3" s="1"/>
  <c r="DG13" i="3"/>
  <c r="DH13" i="3"/>
  <c r="DH159" i="3"/>
  <c r="DF159" i="3"/>
  <c r="DG159" i="3"/>
  <c r="DI159" i="3"/>
  <c r="DJ159" i="3" s="1"/>
  <c r="DH160" i="3"/>
  <c r="DI160" i="3"/>
  <c r="DJ160" i="3" s="1"/>
  <c r="DF160" i="3"/>
  <c r="DG160" i="3"/>
  <c r="DF171" i="3"/>
  <c r="DI171" i="3"/>
  <c r="DG171" i="3"/>
  <c r="DJ171" i="3" s="1"/>
  <c r="DH171" i="3"/>
  <c r="DH175" i="3"/>
  <c r="DF175" i="3"/>
  <c r="DJ175" i="3" s="1"/>
  <c r="DG175" i="3"/>
  <c r="DI175" i="3"/>
  <c r="DG92" i="3"/>
  <c r="DF92" i="3"/>
  <c r="DJ92" i="3" s="1"/>
  <c r="DH92" i="3"/>
  <c r="DI92" i="3"/>
  <c r="DG180" i="3"/>
  <c r="DI180" i="3"/>
  <c r="DJ180" i="3" s="1"/>
  <c r="DF180" i="3"/>
  <c r="DH180" i="3"/>
  <c r="DF219" i="3"/>
  <c r="DH219" i="3"/>
  <c r="DG219" i="3"/>
  <c r="DJ219" i="3" s="1"/>
  <c r="DI219" i="3"/>
  <c r="CJ167" i="1"/>
  <c r="DI202" i="3"/>
  <c r="DG202" i="3"/>
  <c r="DF202" i="3"/>
  <c r="DJ202" i="3" s="1"/>
  <c r="DH202" i="3"/>
  <c r="AP26" i="1"/>
  <c r="AP251" i="1"/>
  <c r="F116" i="1"/>
  <c r="DH10" i="3"/>
  <c r="DI10" i="3"/>
  <c r="DJ10" i="3" s="1"/>
  <c r="DG10" i="3"/>
  <c r="DF10" i="3"/>
  <c r="DG30" i="3"/>
  <c r="DH30" i="3"/>
  <c r="DI30" i="3"/>
  <c r="DF30" i="3"/>
  <c r="DJ30" i="3" s="1"/>
  <c r="DH108" i="3"/>
  <c r="DF108" i="3"/>
  <c r="DI108" i="3"/>
  <c r="DJ108" i="3" s="1"/>
  <c r="DG108" i="3"/>
  <c r="DG181" i="3"/>
  <c r="DJ181" i="3" s="1"/>
  <c r="DH181" i="3"/>
  <c r="DI181" i="3"/>
  <c r="DF181" i="3"/>
  <c r="DH234" i="3"/>
  <c r="DF234" i="3"/>
  <c r="DJ234" i="3" s="1"/>
  <c r="DG234" i="3"/>
  <c r="DI234" i="3"/>
  <c r="DI61" i="3"/>
  <c r="DJ61" i="3" s="1"/>
  <c r="DF61" i="3"/>
  <c r="DG61" i="3"/>
  <c r="DH61" i="3"/>
  <c r="DI192" i="3"/>
  <c r="DF192" i="3"/>
  <c r="DJ192" i="3" s="1"/>
  <c r="DG192" i="3"/>
  <c r="DH192" i="3"/>
  <c r="DI94" i="3"/>
  <c r="DG94" i="3"/>
  <c r="DH94" i="3"/>
  <c r="DF94" i="3"/>
  <c r="DJ94" i="3" s="1"/>
  <c r="DF155" i="3"/>
  <c r="DI155" i="3"/>
  <c r="DG155" i="3"/>
  <c r="DJ155" i="3" s="1"/>
  <c r="DH155" i="3"/>
  <c r="Q35" i="1"/>
  <c r="S35" i="1"/>
  <c r="T35" i="1"/>
  <c r="DG137" i="3"/>
  <c r="DF137" i="3"/>
  <c r="DH137" i="3"/>
  <c r="DI137" i="3"/>
  <c r="DJ137" i="3" s="1"/>
  <c r="DH79" i="3"/>
  <c r="DG79" i="3"/>
  <c r="DJ79" i="3" s="1"/>
  <c r="DI79" i="3"/>
  <c r="DF79" i="3"/>
  <c r="DF22" i="3"/>
  <c r="DJ22" i="3" s="1"/>
  <c r="DG22" i="3"/>
  <c r="DH22" i="3"/>
  <c r="DI22" i="3"/>
  <c r="DH98" i="3"/>
  <c r="DG98" i="3"/>
  <c r="DI98" i="3"/>
  <c r="DF98" i="3"/>
  <c r="DJ98" i="3" s="1"/>
  <c r="DG173" i="3"/>
  <c r="DH173" i="3"/>
  <c r="DF173" i="3"/>
  <c r="DJ173" i="3" s="1"/>
  <c r="DI173" i="3"/>
  <c r="DH191" i="3"/>
  <c r="DF191" i="3"/>
  <c r="DJ191" i="3" s="1"/>
  <c r="DG191" i="3"/>
  <c r="DI191" i="3"/>
  <c r="DF201" i="3"/>
  <c r="DJ201" i="3" s="1"/>
  <c r="DG201" i="3"/>
  <c r="DH201" i="3"/>
  <c r="DI201" i="3"/>
  <c r="DF236" i="3"/>
  <c r="DH236" i="3"/>
  <c r="DG236" i="3"/>
  <c r="DI236" i="3"/>
  <c r="DJ236" i="3" s="1"/>
  <c r="DF40" i="3"/>
  <c r="DJ40" i="3" s="1"/>
  <c r="DG40" i="3"/>
  <c r="DH40" i="3"/>
  <c r="DI40" i="3"/>
  <c r="DG76" i="3"/>
  <c r="DJ76" i="3" s="1"/>
  <c r="DI76" i="3"/>
  <c r="DH76" i="3"/>
  <c r="DF76" i="3"/>
  <c r="DH106" i="3"/>
  <c r="DG106" i="3"/>
  <c r="DI106" i="3"/>
  <c r="DF106" i="3"/>
  <c r="DJ106" i="3" s="1"/>
  <c r="DG189" i="3"/>
  <c r="DH189" i="3"/>
  <c r="DF189" i="3"/>
  <c r="DJ189" i="3" s="1"/>
  <c r="DI189" i="3"/>
  <c r="DH223" i="3"/>
  <c r="DG223" i="3"/>
  <c r="DF223" i="3"/>
  <c r="DI223" i="3"/>
  <c r="DJ223" i="3" s="1"/>
  <c r="DH251" i="3"/>
  <c r="DI251" i="3"/>
  <c r="DF251" i="3"/>
  <c r="DJ251" i="3" s="1"/>
  <c r="DG251" i="3"/>
  <c r="DI187" i="3"/>
  <c r="DJ187" i="3" s="1"/>
  <c r="DG187" i="3"/>
  <c r="DH187" i="3"/>
  <c r="DF187" i="3"/>
  <c r="DF177" i="3"/>
  <c r="DH177" i="3"/>
  <c r="DI177" i="3"/>
  <c r="DJ177" i="3" s="1"/>
  <c r="DG177" i="3"/>
  <c r="DG96" i="3"/>
  <c r="DH96" i="3"/>
  <c r="DI96" i="3"/>
  <c r="DF96" i="3"/>
  <c r="DJ96" i="3" s="1"/>
  <c r="DF8" i="3"/>
  <c r="DG8" i="3"/>
  <c r="DH8" i="3"/>
  <c r="DI8" i="3"/>
  <c r="DJ8" i="3" s="1"/>
  <c r="DG112" i="3"/>
  <c r="DJ112" i="3" s="1"/>
  <c r="DF112" i="3"/>
  <c r="DH112" i="3"/>
  <c r="DI112" i="3"/>
  <c r="GM54" i="1"/>
  <c r="GN54" i="1"/>
  <c r="CY44" i="1"/>
  <c r="X44" i="1" s="1"/>
  <c r="CZ44" i="1"/>
  <c r="Y44" i="1" s="1"/>
  <c r="V122" i="6" s="1"/>
  <c r="V59" i="1"/>
  <c r="DF118" i="3"/>
  <c r="DI118" i="3"/>
  <c r="DH118" i="3"/>
  <c r="DG118" i="3"/>
  <c r="DJ118" i="3" s="1"/>
  <c r="DI154" i="3"/>
  <c r="DF154" i="3"/>
  <c r="DG154" i="3"/>
  <c r="DJ154" i="3" s="1"/>
  <c r="DH154" i="3"/>
  <c r="DF12" i="3"/>
  <c r="DG12" i="3"/>
  <c r="DJ12" i="3" s="1"/>
  <c r="DH12" i="3"/>
  <c r="DI12" i="3"/>
  <c r="GN63" i="1"/>
  <c r="GM63" i="1"/>
  <c r="GN49" i="1"/>
  <c r="DI170" i="3"/>
  <c r="DJ170" i="3" s="1"/>
  <c r="DF170" i="3"/>
  <c r="DG170" i="3"/>
  <c r="DH170" i="3"/>
  <c r="CD26" i="1"/>
  <c r="AU107" i="1"/>
  <c r="DF163" i="3"/>
  <c r="DI163" i="3"/>
  <c r="DJ163" i="3" s="1"/>
  <c r="DG163" i="3"/>
  <c r="DH163" i="3"/>
  <c r="DG150" i="3"/>
  <c r="DF150" i="3"/>
  <c r="DJ150" i="3" s="1"/>
  <c r="DH150" i="3"/>
  <c r="DI150" i="3"/>
  <c r="BD139" i="1"/>
  <c r="F192" i="1"/>
  <c r="DF238" i="3"/>
  <c r="DI238" i="3"/>
  <c r="DG238" i="3"/>
  <c r="DJ238" i="3" s="1"/>
  <c r="DH238" i="3"/>
  <c r="BZ26" i="1"/>
  <c r="AQ107" i="1"/>
  <c r="DH195" i="3"/>
  <c r="DF195" i="3"/>
  <c r="DG195" i="3"/>
  <c r="DJ195" i="3" s="1"/>
  <c r="DI195" i="3"/>
  <c r="CY202" i="1"/>
  <c r="X202" i="1" s="1"/>
  <c r="T466" i="6" s="1"/>
  <c r="K463" i="6" s="1"/>
  <c r="CZ202" i="1"/>
  <c r="Y202" i="1" s="1"/>
  <c r="V466" i="6" s="1"/>
  <c r="K464" i="6" s="1"/>
  <c r="AF221" i="1"/>
  <c r="AO199" i="1"/>
  <c r="F225" i="1"/>
  <c r="AT139" i="1"/>
  <c r="F185" i="1"/>
  <c r="GM214" i="1"/>
  <c r="GN214" i="1"/>
  <c r="GM162" i="1"/>
  <c r="GN163" i="1"/>
  <c r="F186" i="1"/>
  <c r="AU139" i="1"/>
  <c r="DH18" i="3"/>
  <c r="DI18" i="3"/>
  <c r="DG18" i="3"/>
  <c r="DF18" i="3"/>
  <c r="DJ18" i="3" s="1"/>
  <c r="DF49" i="3"/>
  <c r="DH49" i="3"/>
  <c r="DI49" i="3"/>
  <c r="DJ49" i="3" s="1"/>
  <c r="DG49" i="3"/>
  <c r="DH42" i="3"/>
  <c r="DI42" i="3"/>
  <c r="DF42" i="3"/>
  <c r="DJ42" i="3" s="1"/>
  <c r="DG42" i="3"/>
  <c r="DF101" i="3"/>
  <c r="DI101" i="3"/>
  <c r="DJ101" i="3" s="1"/>
  <c r="DH101" i="3"/>
  <c r="DG101" i="3"/>
  <c r="DF32" i="3"/>
  <c r="DJ32" i="3" s="1"/>
  <c r="DG32" i="3"/>
  <c r="DI32" i="3"/>
  <c r="DH32" i="3"/>
  <c r="DF72" i="3"/>
  <c r="DJ72" i="3" s="1"/>
  <c r="DG72" i="3"/>
  <c r="DH72" i="3"/>
  <c r="DI72" i="3"/>
  <c r="DF77" i="3"/>
  <c r="DG77" i="3"/>
  <c r="DJ77" i="3" s="1"/>
  <c r="DH77" i="3"/>
  <c r="DI77" i="3"/>
  <c r="DF44" i="3"/>
  <c r="DJ44" i="3" s="1"/>
  <c r="DG44" i="3"/>
  <c r="DI44" i="3"/>
  <c r="DH44" i="3"/>
  <c r="DH242" i="3"/>
  <c r="DF242" i="3"/>
  <c r="DJ242" i="3" s="1"/>
  <c r="DG242" i="3"/>
  <c r="DI242" i="3"/>
  <c r="DG136" i="3"/>
  <c r="DF136" i="3"/>
  <c r="DJ136" i="3" s="1"/>
  <c r="DH136" i="3"/>
  <c r="DI136" i="3"/>
  <c r="DI182" i="3"/>
  <c r="DF182" i="3"/>
  <c r="DG182" i="3"/>
  <c r="DJ182" i="3" s="1"/>
  <c r="DH182" i="3"/>
  <c r="DI222" i="3"/>
  <c r="DJ222" i="3" s="1"/>
  <c r="DF222" i="3"/>
  <c r="DG222" i="3"/>
  <c r="DH222" i="3"/>
  <c r="CP141" i="1"/>
  <c r="O141" i="1" s="1"/>
  <c r="AC167" i="1"/>
  <c r="BC139" i="1"/>
  <c r="F183" i="1"/>
  <c r="AP139" i="1"/>
  <c r="F176" i="1"/>
  <c r="DG23" i="3"/>
  <c r="DH23" i="3"/>
  <c r="DI23" i="3"/>
  <c r="DF23" i="3"/>
  <c r="DJ23" i="3" s="1"/>
  <c r="DF67" i="3"/>
  <c r="DG67" i="3"/>
  <c r="DH67" i="3"/>
  <c r="DI67" i="3"/>
  <c r="DJ67" i="3" s="1"/>
  <c r="DF28" i="3"/>
  <c r="DJ28" i="3" s="1"/>
  <c r="DG28" i="3"/>
  <c r="DI28" i="3"/>
  <c r="DH28" i="3"/>
  <c r="DH197" i="3"/>
  <c r="DF197" i="3"/>
  <c r="DG197" i="3"/>
  <c r="DJ197" i="3" s="1"/>
  <c r="DI197" i="3"/>
  <c r="DG84" i="3"/>
  <c r="DI84" i="3"/>
  <c r="DF84" i="3"/>
  <c r="DJ84" i="3" s="1"/>
  <c r="DH84" i="3"/>
  <c r="DF48" i="3"/>
  <c r="DJ48" i="3" s="1"/>
  <c r="DG48" i="3"/>
  <c r="DH48" i="3"/>
  <c r="DI48" i="3"/>
  <c r="DI86" i="3"/>
  <c r="DJ86" i="3" s="1"/>
  <c r="DG86" i="3"/>
  <c r="DF86" i="3"/>
  <c r="DH86" i="3"/>
  <c r="DI127" i="3"/>
  <c r="DG127" i="3"/>
  <c r="DH127" i="3"/>
  <c r="DF127" i="3"/>
  <c r="DJ127" i="3" s="1"/>
  <c r="DI119" i="3"/>
  <c r="DG119" i="3"/>
  <c r="DF119" i="3"/>
  <c r="DJ119" i="3" s="1"/>
  <c r="DH119" i="3"/>
  <c r="CY80" i="1"/>
  <c r="X80" i="1" s="1"/>
  <c r="CZ80" i="1"/>
  <c r="Y80" i="1" s="1"/>
  <c r="V246" i="6" s="1"/>
  <c r="DF209" i="3"/>
  <c r="DJ209" i="3" s="1"/>
  <c r="DH209" i="3"/>
  <c r="DI209" i="3"/>
  <c r="DG209" i="3"/>
  <c r="DG7" i="3"/>
  <c r="DH7" i="3"/>
  <c r="DI7" i="3"/>
  <c r="DF7" i="3"/>
  <c r="DJ7" i="3" s="1"/>
  <c r="DF14" i="3"/>
  <c r="DG14" i="3"/>
  <c r="DH14" i="3"/>
  <c r="DI14" i="3"/>
  <c r="DJ14" i="3" s="1"/>
  <c r="DH91" i="3"/>
  <c r="DI91" i="3"/>
  <c r="DG91" i="3"/>
  <c r="DF91" i="3"/>
  <c r="DJ91" i="3" s="1"/>
  <c r="DH144" i="3"/>
  <c r="DI144" i="3"/>
  <c r="DG144" i="3"/>
  <c r="DJ144" i="3" s="1"/>
  <c r="DF144" i="3"/>
  <c r="DH199" i="3"/>
  <c r="DF199" i="3"/>
  <c r="DJ199" i="3" s="1"/>
  <c r="DI199" i="3"/>
  <c r="DG199" i="3"/>
  <c r="GM31" i="1"/>
  <c r="GN31" i="1"/>
  <c r="DI21" i="3"/>
  <c r="DF21" i="3"/>
  <c r="DG21" i="3"/>
  <c r="DJ21" i="3" s="1"/>
  <c r="DH21" i="3"/>
  <c r="CZ57" i="1"/>
  <c r="Y57" i="1" s="1"/>
  <c r="V173" i="6" s="1"/>
  <c r="CY57" i="1"/>
  <c r="X57" i="1" s="1"/>
  <c r="T173" i="6" s="1"/>
  <c r="GN56" i="1"/>
  <c r="Q33" i="1"/>
  <c r="T33" i="1"/>
  <c r="V33" i="1"/>
  <c r="DI111" i="3"/>
  <c r="DG111" i="3"/>
  <c r="DJ111" i="3" s="1"/>
  <c r="DF111" i="3"/>
  <c r="DH111" i="3"/>
  <c r="GN40" i="1"/>
  <c r="GM40" i="1"/>
  <c r="GM69" i="1"/>
  <c r="GN69" i="1"/>
  <c r="W59" i="1"/>
  <c r="DI162" i="3"/>
  <c r="DJ162" i="3" s="1"/>
  <c r="DF162" i="3"/>
  <c r="DG162" i="3"/>
  <c r="DH162" i="3"/>
  <c r="DI210" i="3"/>
  <c r="DG210" i="3"/>
  <c r="DF210" i="3"/>
  <c r="DJ210" i="3" s="1"/>
  <c r="DH210" i="3"/>
  <c r="DF147" i="3"/>
  <c r="DJ147" i="3" s="1"/>
  <c r="DI147" i="3"/>
  <c r="DH147" i="3"/>
  <c r="DG147" i="3"/>
  <c r="GN72" i="1"/>
  <c r="GM72" i="1"/>
  <c r="DI237" i="3"/>
  <c r="DJ237" i="3" s="1"/>
  <c r="DF237" i="3"/>
  <c r="DG237" i="3"/>
  <c r="DH237" i="3"/>
  <c r="CY105" i="1"/>
  <c r="X105" i="1" s="1"/>
  <c r="T330" i="6" s="1"/>
  <c r="CZ105" i="1"/>
  <c r="Y105" i="1" s="1"/>
  <c r="V330" i="6" s="1"/>
  <c r="DG249" i="3"/>
  <c r="DJ249" i="3" s="1"/>
  <c r="DF249" i="3"/>
  <c r="DH249" i="3"/>
  <c r="DI249" i="3"/>
  <c r="GM83" i="1"/>
  <c r="GN83" i="1"/>
  <c r="BC199" i="1"/>
  <c r="F237" i="1"/>
  <c r="GN144" i="1"/>
  <c r="GM144" i="1"/>
  <c r="DF35" i="3"/>
  <c r="DG35" i="3"/>
  <c r="DH35" i="3"/>
  <c r="DI35" i="3"/>
  <c r="DJ35" i="3" s="1"/>
  <c r="DF59" i="3"/>
  <c r="DG59" i="3"/>
  <c r="DJ59" i="3" s="1"/>
  <c r="DH59" i="3"/>
  <c r="DI59" i="3"/>
  <c r="DF93" i="3"/>
  <c r="DJ93" i="3" s="1"/>
  <c r="DI93" i="3"/>
  <c r="DH93" i="3"/>
  <c r="DG93" i="3"/>
  <c r="DH168" i="3"/>
  <c r="DI168" i="3"/>
  <c r="DF168" i="3"/>
  <c r="DJ168" i="3" s="1"/>
  <c r="DG168" i="3"/>
  <c r="DG149" i="3"/>
  <c r="DH149" i="3"/>
  <c r="DI149" i="3"/>
  <c r="DF149" i="3"/>
  <c r="DJ149" i="3" s="1"/>
  <c r="DF110" i="3"/>
  <c r="DI110" i="3"/>
  <c r="DG110" i="3"/>
  <c r="DJ110" i="3" s="1"/>
  <c r="DH110" i="3"/>
  <c r="DH114" i="3"/>
  <c r="DF114" i="3"/>
  <c r="DJ114" i="3" s="1"/>
  <c r="DG114" i="3"/>
  <c r="DI114" i="3"/>
  <c r="DH226" i="3"/>
  <c r="DF226" i="3"/>
  <c r="DG226" i="3"/>
  <c r="DJ226" i="3" s="1"/>
  <c r="DI226" i="3"/>
  <c r="GM30" i="1"/>
  <c r="GN30" i="1"/>
  <c r="CY56" i="1"/>
  <c r="X56" i="1" s="1"/>
  <c r="T164" i="6" s="1"/>
  <c r="DF81" i="3"/>
  <c r="DJ81" i="3" s="1"/>
  <c r="DH81" i="3"/>
  <c r="DG81" i="3"/>
  <c r="DI81" i="3"/>
  <c r="DG46" i="3"/>
  <c r="DH46" i="3"/>
  <c r="DI46" i="3"/>
  <c r="DF46" i="3"/>
  <c r="DJ46" i="3" s="1"/>
  <c r="DG113" i="3"/>
  <c r="DF113" i="3"/>
  <c r="DJ113" i="3" s="1"/>
  <c r="DH113" i="3"/>
  <c r="DI113" i="3"/>
  <c r="CZ85" i="1"/>
  <c r="Y85" i="1" s="1"/>
  <c r="V260" i="6" s="1"/>
  <c r="CY85" i="1"/>
  <c r="X85" i="1" s="1"/>
  <c r="GM85" i="1" s="1"/>
  <c r="R59" i="1"/>
  <c r="AE107" i="1" s="1"/>
  <c r="BB26" i="1"/>
  <c r="F120" i="1"/>
  <c r="BB251" i="1"/>
  <c r="DG166" i="3"/>
  <c r="DI166" i="3"/>
  <c r="DH166" i="3"/>
  <c r="DF166" i="3"/>
  <c r="DJ166" i="3" s="1"/>
  <c r="DG142" i="3"/>
  <c r="DH142" i="3"/>
  <c r="DI142" i="3"/>
  <c r="DJ142" i="3" s="1"/>
  <c r="DF142" i="3"/>
  <c r="U60" i="1"/>
  <c r="L179" i="6" s="1"/>
  <c r="Q179" i="6" s="1"/>
  <c r="DG15" i="3"/>
  <c r="DH15" i="3"/>
  <c r="DI15" i="3"/>
  <c r="DF15" i="3"/>
  <c r="DJ15" i="3" s="1"/>
  <c r="DG31" i="3"/>
  <c r="DH31" i="3"/>
  <c r="DF31" i="3"/>
  <c r="DJ31" i="3" s="1"/>
  <c r="DI31" i="3"/>
  <c r="DF97" i="3"/>
  <c r="DJ97" i="3" s="1"/>
  <c r="DG97" i="3"/>
  <c r="DH97" i="3"/>
  <c r="DI97" i="3"/>
  <c r="DH115" i="3"/>
  <c r="DG115" i="3"/>
  <c r="DI115" i="3"/>
  <c r="DJ115" i="3" s="1"/>
  <c r="DF115" i="3"/>
  <c r="DF73" i="3"/>
  <c r="DJ73" i="3" s="1"/>
  <c r="DH73" i="3"/>
  <c r="DI73" i="3"/>
  <c r="DG73" i="3"/>
  <c r="DF211" i="3"/>
  <c r="DI211" i="3"/>
  <c r="DJ211" i="3" s="1"/>
  <c r="DG211" i="3"/>
  <c r="DH211" i="3"/>
  <c r="DG141" i="3"/>
  <c r="DH141" i="3"/>
  <c r="DF141" i="3"/>
  <c r="DJ141" i="3" s="1"/>
  <c r="DI141" i="3"/>
  <c r="DF64" i="3"/>
  <c r="DG64" i="3"/>
  <c r="DJ64" i="3" s="1"/>
  <c r="DH64" i="3"/>
  <c r="DI64" i="3"/>
  <c r="CP57" i="1"/>
  <c r="O57" i="1" s="1"/>
  <c r="K173" i="6" s="1"/>
  <c r="DF225" i="3"/>
  <c r="DG225" i="3"/>
  <c r="DJ225" i="3" s="1"/>
  <c r="DH225" i="3"/>
  <c r="DI225" i="3"/>
  <c r="W60" i="1"/>
  <c r="DG70" i="3"/>
  <c r="DJ70" i="3" s="1"/>
  <c r="DH70" i="3"/>
  <c r="DI70" i="3"/>
  <c r="DF70" i="3"/>
  <c r="DF25" i="3"/>
  <c r="DJ25" i="3" s="1"/>
  <c r="DG25" i="3"/>
  <c r="DH25" i="3"/>
  <c r="DI25" i="3"/>
  <c r="DF43" i="3"/>
  <c r="DJ43" i="3" s="1"/>
  <c r="DG43" i="3"/>
  <c r="DH43" i="3"/>
  <c r="DI43" i="3"/>
  <c r="DH138" i="3"/>
  <c r="DF138" i="3"/>
  <c r="DI138" i="3"/>
  <c r="DJ138" i="3" s="1"/>
  <c r="DG138" i="3"/>
  <c r="DH132" i="3"/>
  <c r="DF132" i="3"/>
  <c r="DI132" i="3"/>
  <c r="DJ132" i="3" s="1"/>
  <c r="DG132" i="3"/>
  <c r="DH83" i="3"/>
  <c r="DF83" i="3"/>
  <c r="DJ83" i="3" s="1"/>
  <c r="DG83" i="3"/>
  <c r="DI83" i="3"/>
  <c r="DH215" i="3"/>
  <c r="DF215" i="3"/>
  <c r="DI215" i="3"/>
  <c r="DJ215" i="3" s="1"/>
  <c r="DG215" i="3"/>
  <c r="DI5" i="3"/>
  <c r="DJ5" i="3" s="1"/>
  <c r="DF5" i="3"/>
  <c r="DG5" i="3"/>
  <c r="DH5" i="3"/>
  <c r="DH213" i="3"/>
  <c r="DG213" i="3"/>
  <c r="DJ213" i="3" s="1"/>
  <c r="DI213" i="3"/>
  <c r="DF213" i="3"/>
  <c r="DF244" i="3"/>
  <c r="DH244" i="3"/>
  <c r="DI244" i="3"/>
  <c r="DJ244" i="3" s="1"/>
  <c r="DG244" i="3"/>
  <c r="DH205" i="3"/>
  <c r="DG205" i="3"/>
  <c r="DF205" i="3"/>
  <c r="DI205" i="3"/>
  <c r="DJ205" i="3" s="1"/>
  <c r="DF52" i="3"/>
  <c r="DG52" i="3"/>
  <c r="DJ52" i="3" s="1"/>
  <c r="DI52" i="3"/>
  <c r="DH52" i="3"/>
  <c r="DH130" i="3"/>
  <c r="DF130" i="3"/>
  <c r="DJ130" i="3" s="1"/>
  <c r="DG130" i="3"/>
  <c r="DI130" i="3"/>
  <c r="S59" i="1"/>
  <c r="DH250" i="3"/>
  <c r="DF250" i="3"/>
  <c r="DJ250" i="3" s="1"/>
  <c r="DG250" i="3"/>
  <c r="DI250" i="3"/>
  <c r="DG80" i="3"/>
  <c r="DF80" i="3"/>
  <c r="DJ80" i="3" s="1"/>
  <c r="DH80" i="3"/>
  <c r="DI80" i="3"/>
  <c r="DG240" i="3"/>
  <c r="DJ240" i="3" s="1"/>
  <c r="DH240" i="3"/>
  <c r="DF240" i="3"/>
  <c r="DI240" i="3"/>
  <c r="P35" i="1"/>
  <c r="CP35" i="1" s="1"/>
  <c r="O35" i="1" s="1"/>
  <c r="K75" i="6" s="1"/>
  <c r="DG47" i="3"/>
  <c r="DH47" i="3"/>
  <c r="DF47" i="3"/>
  <c r="DJ47" i="3" s="1"/>
  <c r="DI47" i="3"/>
  <c r="DH87" i="3"/>
  <c r="DG87" i="3"/>
  <c r="DJ87" i="3" s="1"/>
  <c r="DI87" i="3"/>
  <c r="DF87" i="3"/>
  <c r="DG39" i="3"/>
  <c r="DJ39" i="3" s="1"/>
  <c r="DH39" i="3"/>
  <c r="DF39" i="3"/>
  <c r="DI39" i="3"/>
  <c r="DH63" i="3"/>
  <c r="DF63" i="3"/>
  <c r="DG63" i="3"/>
  <c r="DJ63" i="3" s="1"/>
  <c r="DI63" i="3"/>
  <c r="DH116" i="3"/>
  <c r="DF116" i="3"/>
  <c r="DI116" i="3"/>
  <c r="DJ116" i="3" s="1"/>
  <c r="DG116" i="3"/>
  <c r="DF41" i="3"/>
  <c r="DJ41" i="3" s="1"/>
  <c r="DH41" i="3"/>
  <c r="DI41" i="3"/>
  <c r="DG41" i="3"/>
  <c r="DH122" i="3"/>
  <c r="DF122" i="3"/>
  <c r="DG122" i="3"/>
  <c r="DI122" i="3"/>
  <c r="DJ122" i="3" s="1"/>
  <c r="DH207" i="3"/>
  <c r="DF207" i="3"/>
  <c r="DG207" i="3"/>
  <c r="DJ207" i="3" s="1"/>
  <c r="DI207" i="3"/>
  <c r="DH100" i="3"/>
  <c r="DF100" i="3"/>
  <c r="DJ100" i="3" s="1"/>
  <c r="DG100" i="3"/>
  <c r="DI100" i="3"/>
  <c r="DF99" i="3"/>
  <c r="DJ99" i="3" s="1"/>
  <c r="DG99" i="3"/>
  <c r="DH99" i="3"/>
  <c r="DI99" i="3"/>
  <c r="DG62" i="3"/>
  <c r="DH62" i="3"/>
  <c r="DI62" i="3"/>
  <c r="DJ62" i="3" s="1"/>
  <c r="DF62" i="3"/>
  <c r="DF228" i="3"/>
  <c r="DJ228" i="3" s="1"/>
  <c r="DH228" i="3"/>
  <c r="DG228" i="3"/>
  <c r="DI228" i="3"/>
  <c r="DG216" i="3"/>
  <c r="DH216" i="3"/>
  <c r="DF216" i="3"/>
  <c r="DI216" i="3"/>
  <c r="DJ216" i="3" s="1"/>
  <c r="DI29" i="3"/>
  <c r="DF29" i="3"/>
  <c r="DJ29" i="3" s="1"/>
  <c r="DG29" i="3"/>
  <c r="DH29" i="3"/>
  <c r="DF56" i="3"/>
  <c r="DJ56" i="3" s="1"/>
  <c r="DG56" i="3"/>
  <c r="DH56" i="3"/>
  <c r="DI56" i="3"/>
  <c r="DG165" i="3"/>
  <c r="DJ165" i="3" s="1"/>
  <c r="DH165" i="3"/>
  <c r="DF165" i="3"/>
  <c r="DI165" i="3"/>
  <c r="DF206" i="3"/>
  <c r="DI206" i="3"/>
  <c r="DG206" i="3"/>
  <c r="DJ206" i="3" s="1"/>
  <c r="DH206" i="3"/>
  <c r="Q55" i="1"/>
  <c r="T55" i="1"/>
  <c r="S55" i="1"/>
  <c r="CY28" i="1"/>
  <c r="X28" i="1" s="1"/>
  <c r="T40" i="6" s="1"/>
  <c r="K45" i="6" s="1"/>
  <c r="CZ28" i="1"/>
  <c r="Y28" i="1" s="1"/>
  <c r="V40" i="6" s="1"/>
  <c r="K46" i="6" s="1"/>
  <c r="DI82" i="3"/>
  <c r="DF82" i="3"/>
  <c r="DJ82" i="3" s="1"/>
  <c r="DG82" i="3"/>
  <c r="DH82" i="3"/>
  <c r="DF246" i="3"/>
  <c r="DI246" i="3"/>
  <c r="DG246" i="3"/>
  <c r="DJ246" i="3" s="1"/>
  <c r="DH246" i="3"/>
  <c r="CP42" i="1"/>
  <c r="O42" i="1" s="1"/>
  <c r="DI90" i="3"/>
  <c r="DF90" i="3"/>
  <c r="DJ90" i="3" s="1"/>
  <c r="DG90" i="3"/>
  <c r="DH90" i="3"/>
  <c r="GM29" i="1"/>
  <c r="GN29" i="1"/>
  <c r="P33" i="1"/>
  <c r="CP33" i="1" s="1"/>
  <c r="O33" i="1" s="1"/>
  <c r="K66" i="6" s="1"/>
  <c r="GM37" i="1"/>
  <c r="GN37" i="1"/>
  <c r="P55" i="1"/>
  <c r="K162" i="6" s="1"/>
  <c r="J163" i="6" s="1"/>
  <c r="P163" i="6" s="1"/>
  <c r="DG129" i="3"/>
  <c r="DF129" i="3"/>
  <c r="DJ129" i="3" s="1"/>
  <c r="DH129" i="3"/>
  <c r="DI129" i="3"/>
  <c r="CP34" i="1"/>
  <c r="O34" i="1" s="1"/>
  <c r="S60" i="1"/>
  <c r="CP60" i="1" s="1"/>
  <c r="O60" i="1" s="1"/>
  <c r="DG120" i="3"/>
  <c r="DF120" i="3"/>
  <c r="DJ120" i="3" s="1"/>
  <c r="DH120" i="3"/>
  <c r="DI120" i="3"/>
  <c r="CP64" i="1"/>
  <c r="O64" i="1" s="1"/>
  <c r="K192" i="6" s="1"/>
  <c r="DG158" i="3"/>
  <c r="DI158" i="3"/>
  <c r="DF158" i="3"/>
  <c r="DJ158" i="3" s="1"/>
  <c r="DH158" i="3"/>
  <c r="CP28" i="1"/>
  <c r="O28" i="1" s="1"/>
  <c r="W35" i="1"/>
  <c r="GM87" i="1"/>
  <c r="GN87" i="1"/>
  <c r="U59" i="1"/>
  <c r="AH107" i="1" s="1"/>
  <c r="DG174" i="3"/>
  <c r="DF174" i="3"/>
  <c r="DJ174" i="3" s="1"/>
  <c r="DH174" i="3"/>
  <c r="DI174" i="3"/>
  <c r="CP74" i="1"/>
  <c r="O74" i="1" s="1"/>
  <c r="CP105" i="1"/>
  <c r="O105" i="1" s="1"/>
  <c r="U98" i="1"/>
  <c r="GX98" i="1"/>
  <c r="CC26" i="1"/>
  <c r="AT107" i="1"/>
  <c r="DG148" i="3"/>
  <c r="DI148" i="3"/>
  <c r="DF148" i="3"/>
  <c r="DJ148" i="3" s="1"/>
  <c r="DH148" i="3"/>
  <c r="GM94" i="1"/>
  <c r="GN94" i="1"/>
  <c r="DF230" i="3"/>
  <c r="DJ230" i="3" s="1"/>
  <c r="DI230" i="3"/>
  <c r="DG230" i="3"/>
  <c r="DH230" i="3"/>
  <c r="R204" i="1"/>
  <c r="AE221" i="1" s="1"/>
  <c r="P204" i="1"/>
  <c r="K478" i="6" s="1"/>
  <c r="J479" i="6" s="1"/>
  <c r="P479" i="6" s="1"/>
  <c r="W98" i="1"/>
  <c r="BZ139" i="1"/>
  <c r="AQ167" i="1"/>
  <c r="DF193" i="3"/>
  <c r="DG193" i="3"/>
  <c r="DI193" i="3"/>
  <c r="DJ193" i="3" s="1"/>
  <c r="DH193" i="3"/>
  <c r="BB139" i="1"/>
  <c r="F180" i="1"/>
  <c r="CI167" i="1"/>
  <c r="AJ167" i="1"/>
  <c r="AG221" i="1"/>
  <c r="GM216" i="1"/>
  <c r="GN216" i="1"/>
  <c r="W449" i="6" l="1"/>
  <c r="K79" i="6"/>
  <c r="J434" i="6"/>
  <c r="P434" i="6" s="1"/>
  <c r="L542" i="6"/>
  <c r="L453" i="6"/>
  <c r="J83" i="6"/>
  <c r="P83" i="6" s="1"/>
  <c r="K120" i="6"/>
  <c r="G76" i="6"/>
  <c r="O76" i="6" s="1"/>
  <c r="W323" i="6"/>
  <c r="J215" i="6"/>
  <c r="P215" i="6" s="1"/>
  <c r="H171" i="6"/>
  <c r="G176" i="6" s="1"/>
  <c r="O176" i="6" s="1"/>
  <c r="J48" i="6"/>
  <c r="P48" i="6" s="1"/>
  <c r="J295" i="6"/>
  <c r="P295" i="6" s="1"/>
  <c r="G308" i="6"/>
  <c r="O308" i="6" s="1"/>
  <c r="W308" i="6"/>
  <c r="W492" i="6"/>
  <c r="G492" i="6"/>
  <c r="O492" i="6" s="1"/>
  <c r="W262" i="6"/>
  <c r="G262" i="6"/>
  <c r="O262" i="6" s="1"/>
  <c r="AH199" i="1"/>
  <c r="U221" i="1"/>
  <c r="K261" i="6"/>
  <c r="GN86" i="1"/>
  <c r="G67" i="6"/>
  <c r="O67" i="6" s="1"/>
  <c r="W67" i="6"/>
  <c r="V221" i="1"/>
  <c r="AI199" i="1"/>
  <c r="W126" i="6"/>
  <c r="G126" i="6"/>
  <c r="O126" i="6" s="1"/>
  <c r="W76" i="6"/>
  <c r="AJ199" i="1"/>
  <c r="AL167" i="1"/>
  <c r="V339" i="6"/>
  <c r="K345" i="6" s="1"/>
  <c r="GM58" i="1"/>
  <c r="CY96" i="1"/>
  <c r="X96" i="1" s="1"/>
  <c r="T296" i="6" s="1"/>
  <c r="CZ96" i="1"/>
  <c r="Y96" i="1" s="1"/>
  <c r="V296" i="6" s="1"/>
  <c r="CZ78" i="1"/>
  <c r="Y78" i="1" s="1"/>
  <c r="V233" i="6" s="1"/>
  <c r="CY78" i="1"/>
  <c r="X78" i="1" s="1"/>
  <c r="K324" i="6"/>
  <c r="J326" i="6" s="1"/>
  <c r="P326" i="6" s="1"/>
  <c r="CP103" i="1"/>
  <c r="O103" i="1" s="1"/>
  <c r="GN165" i="1"/>
  <c r="GM165" i="1"/>
  <c r="K445" i="6"/>
  <c r="K233" i="6"/>
  <c r="J235" i="6" s="1"/>
  <c r="P235" i="6" s="1"/>
  <c r="CP78" i="1"/>
  <c r="O78" i="1" s="1"/>
  <c r="K139" i="6"/>
  <c r="J142" i="6" s="1"/>
  <c r="P142" i="6" s="1"/>
  <c r="CZ76" i="1"/>
  <c r="Y76" i="1" s="1"/>
  <c r="V227" i="6" s="1"/>
  <c r="CY76" i="1"/>
  <c r="X76" i="1" s="1"/>
  <c r="T227" i="6" s="1"/>
  <c r="GN154" i="1"/>
  <c r="AK167" i="1"/>
  <c r="X167" i="1" s="1"/>
  <c r="T339" i="6"/>
  <c r="K344" i="6" s="1"/>
  <c r="GM156" i="1"/>
  <c r="J408" i="6"/>
  <c r="P408" i="6" s="1"/>
  <c r="GN147" i="1"/>
  <c r="GM147" i="1"/>
  <c r="CP98" i="1"/>
  <c r="O98" i="1" s="1"/>
  <c r="K307" i="6" s="1"/>
  <c r="GN161" i="1"/>
  <c r="GM161" i="1"/>
  <c r="J96" i="6"/>
  <c r="P96" i="6" s="1"/>
  <c r="GM88" i="1"/>
  <c r="GN88" i="1"/>
  <c r="G298" i="6"/>
  <c r="O298" i="6" s="1"/>
  <c r="W298" i="6"/>
  <c r="GN85" i="1"/>
  <c r="T260" i="6"/>
  <c r="AJ107" i="1"/>
  <c r="GM154" i="1"/>
  <c r="GM77" i="1"/>
  <c r="V230" i="6"/>
  <c r="GN156" i="1"/>
  <c r="G83" i="6"/>
  <c r="O83" i="6" s="1"/>
  <c r="GN155" i="1"/>
  <c r="T409" i="6"/>
  <c r="HD218" i="1"/>
  <c r="K537" i="6"/>
  <c r="J538" i="6" s="1"/>
  <c r="P538" i="6" s="1"/>
  <c r="HD217" i="1"/>
  <c r="K535" i="6"/>
  <c r="J536" i="6" s="1"/>
  <c r="P536" i="6" s="1"/>
  <c r="W467" i="6"/>
  <c r="GM71" i="1"/>
  <c r="W142" i="6"/>
  <c r="G142" i="6"/>
  <c r="O142" i="6" s="1"/>
  <c r="J467" i="6"/>
  <c r="P467" i="6" s="1"/>
  <c r="GN65" i="1"/>
  <c r="GN77" i="1"/>
  <c r="T230" i="6"/>
  <c r="CM221" i="1"/>
  <c r="GN99" i="1"/>
  <c r="GM99" i="1"/>
  <c r="G453" i="6"/>
  <c r="L334" i="6"/>
  <c r="L544" i="6"/>
  <c r="L546" i="6"/>
  <c r="GM65" i="1"/>
  <c r="GN212" i="1"/>
  <c r="V499" i="6"/>
  <c r="K504" i="6" s="1"/>
  <c r="J506" i="6" s="1"/>
  <c r="P506" i="6" s="1"/>
  <c r="CZ102" i="1"/>
  <c r="Y102" i="1" s="1"/>
  <c r="V322" i="6" s="1"/>
  <c r="K320" i="6" s="1"/>
  <c r="CY102" i="1"/>
  <c r="X102" i="1" s="1"/>
  <c r="T322" i="6" s="1"/>
  <c r="K319" i="6" s="1"/>
  <c r="AG107" i="1"/>
  <c r="GM48" i="1"/>
  <c r="V127" i="6"/>
  <c r="K296" i="6"/>
  <c r="J298" i="6" s="1"/>
  <c r="P298" i="6" s="1"/>
  <c r="CP96" i="1"/>
  <c r="O96" i="1" s="1"/>
  <c r="G217" i="6"/>
  <c r="O217" i="6" s="1"/>
  <c r="W217" i="6"/>
  <c r="G163" i="6"/>
  <c r="O163" i="6" s="1"/>
  <c r="W163" i="6"/>
  <c r="J449" i="6"/>
  <c r="P449" i="6" s="1"/>
  <c r="J161" i="6"/>
  <c r="P161" i="6" s="1"/>
  <c r="G323" i="6"/>
  <c r="O323" i="6" s="1"/>
  <c r="AD107" i="1"/>
  <c r="T246" i="6"/>
  <c r="K189" i="6"/>
  <c r="GM70" i="1"/>
  <c r="GM56" i="1"/>
  <c r="GM203" i="1"/>
  <c r="J477" i="6"/>
  <c r="P477" i="6" s="1"/>
  <c r="G179" i="6"/>
  <c r="O179" i="6" s="1"/>
  <c r="W179" i="6"/>
  <c r="J226" i="6"/>
  <c r="P226" i="6" s="1"/>
  <c r="GN70" i="1"/>
  <c r="AI107" i="1"/>
  <c r="GN32" i="1"/>
  <c r="T61" i="6"/>
  <c r="K63" i="6" s="1"/>
  <c r="J67" i="6" s="1"/>
  <c r="P67" i="6" s="1"/>
  <c r="GM32" i="1"/>
  <c r="GM98" i="1"/>
  <c r="V307" i="6"/>
  <c r="K305" i="6" s="1"/>
  <c r="K190" i="6"/>
  <c r="CP80" i="1"/>
  <c r="O80" i="1" s="1"/>
  <c r="GN80" i="1" s="1"/>
  <c r="K246" i="6"/>
  <c r="J248" i="6" s="1"/>
  <c r="P248" i="6" s="1"/>
  <c r="GN39" i="1"/>
  <c r="GM39" i="1"/>
  <c r="CZ103" i="1"/>
  <c r="Y103" i="1" s="1"/>
  <c r="V324" i="6" s="1"/>
  <c r="CY103" i="1"/>
  <c r="X103" i="1" s="1"/>
  <c r="T324" i="6" s="1"/>
  <c r="GM53" i="1"/>
  <c r="T150" i="6"/>
  <c r="K147" i="6" s="1"/>
  <c r="J151" i="6" s="1"/>
  <c r="P151" i="6" s="1"/>
  <c r="GN98" i="1"/>
  <c r="T307" i="6"/>
  <c r="K304" i="6" s="1"/>
  <c r="CY207" i="1"/>
  <c r="X207" i="1" s="1"/>
  <c r="T490" i="6" s="1"/>
  <c r="K486" i="6" s="1"/>
  <c r="CZ207" i="1"/>
  <c r="Y207" i="1" s="1"/>
  <c r="V490" i="6" s="1"/>
  <c r="K487" i="6" s="1"/>
  <c r="GM91" i="1"/>
  <c r="T278" i="6"/>
  <c r="CY82" i="1"/>
  <c r="X82" i="1" s="1"/>
  <c r="T257" i="6" s="1"/>
  <c r="W196" i="6"/>
  <c r="G196" i="6"/>
  <c r="O196" i="6" s="1"/>
  <c r="CY86" i="1"/>
  <c r="X86" i="1" s="1"/>
  <c r="T261" i="6" s="1"/>
  <c r="CZ86" i="1"/>
  <c r="Y86" i="1" s="1"/>
  <c r="V261" i="6" s="1"/>
  <c r="K255" i="6" s="1"/>
  <c r="J358" i="6"/>
  <c r="P358" i="6" s="1"/>
  <c r="CP82" i="1"/>
  <c r="O82" i="1" s="1"/>
  <c r="CP207" i="1"/>
  <c r="O207" i="1" s="1"/>
  <c r="GN44" i="1"/>
  <c r="T122" i="6"/>
  <c r="K119" i="6" s="1"/>
  <c r="J126" i="6" s="1"/>
  <c r="P126" i="6" s="1"/>
  <c r="GN58" i="1"/>
  <c r="K322" i="6"/>
  <c r="GM102" i="1"/>
  <c r="GN102" i="1"/>
  <c r="G229" i="6"/>
  <c r="O229" i="6" s="1"/>
  <c r="W229" i="6"/>
  <c r="G479" i="6"/>
  <c r="O479" i="6" s="1"/>
  <c r="W479" i="6"/>
  <c r="AI26" i="1"/>
  <c r="V107" i="1"/>
  <c r="AG26" i="1"/>
  <c r="T107" i="1"/>
  <c r="AH26" i="1"/>
  <c r="U107" i="1"/>
  <c r="AD26" i="1"/>
  <c r="Q107" i="1"/>
  <c r="AE199" i="1"/>
  <c r="R221" i="1"/>
  <c r="AJ26" i="1"/>
  <c r="W107" i="1"/>
  <c r="GN74" i="1"/>
  <c r="GM74" i="1"/>
  <c r="BC22" i="1"/>
  <c r="BC283" i="1"/>
  <c r="F267" i="1"/>
  <c r="W167" i="1"/>
  <c r="AJ139" i="1"/>
  <c r="AC107" i="1"/>
  <c r="AF199" i="1"/>
  <c r="S221" i="1"/>
  <c r="AQ26" i="1"/>
  <c r="F117" i="1"/>
  <c r="AQ251" i="1"/>
  <c r="AU26" i="1"/>
  <c r="F126" i="1"/>
  <c r="AU251" i="1"/>
  <c r="CZ35" i="1"/>
  <c r="Y35" i="1" s="1"/>
  <c r="CY35" i="1"/>
  <c r="X35" i="1" s="1"/>
  <c r="T75" i="6" s="1"/>
  <c r="K72" i="6" s="1"/>
  <c r="F228" i="1"/>
  <c r="AX199" i="1"/>
  <c r="AQ139" i="1"/>
  <c r="F177" i="1"/>
  <c r="CZ55" i="1"/>
  <c r="Y55" i="1" s="1"/>
  <c r="V162" i="6" s="1"/>
  <c r="CY55" i="1"/>
  <c r="X55" i="1" s="1"/>
  <c r="CJ26" i="1"/>
  <c r="BA107" i="1"/>
  <c r="AL139" i="1"/>
  <c r="Y167" i="1"/>
  <c r="T167" i="1"/>
  <c r="AG139" i="1"/>
  <c r="AZ167" i="1"/>
  <c r="AZ251" i="1" s="1"/>
  <c r="CI139" i="1"/>
  <c r="AT26" i="1"/>
  <c r="F125" i="1"/>
  <c r="AT251" i="1"/>
  <c r="GM28" i="1"/>
  <c r="GN28" i="1"/>
  <c r="CP55" i="1"/>
  <c r="O55" i="1" s="1"/>
  <c r="AO22" i="1"/>
  <c r="F255" i="1"/>
  <c r="AO283" i="1"/>
  <c r="AZ199" i="1"/>
  <c r="F232" i="1"/>
  <c r="V139" i="1"/>
  <c r="F190" i="1"/>
  <c r="AD139" i="1"/>
  <c r="Q167" i="1"/>
  <c r="AE139" i="1"/>
  <c r="R167" i="1"/>
  <c r="GM80" i="1"/>
  <c r="Q199" i="1"/>
  <c r="F233" i="1"/>
  <c r="AZ26" i="1"/>
  <c r="F118" i="1"/>
  <c r="GN53" i="1"/>
  <c r="GM64" i="1"/>
  <c r="GN64" i="1"/>
  <c r="GM46" i="1"/>
  <c r="GN46" i="1"/>
  <c r="W199" i="1"/>
  <c r="F245" i="1"/>
  <c r="S139" i="1"/>
  <c r="F182" i="1"/>
  <c r="GM44" i="1"/>
  <c r="GN152" i="1"/>
  <c r="GM152" i="1"/>
  <c r="CZ204" i="1"/>
  <c r="Y204" i="1" s="1"/>
  <c r="F244" i="1"/>
  <c r="V199" i="1"/>
  <c r="AG199" i="1"/>
  <c r="T221" i="1"/>
  <c r="BB22" i="1"/>
  <c r="BB283" i="1"/>
  <c r="F264" i="1"/>
  <c r="AP22" i="1"/>
  <c r="F260" i="1"/>
  <c r="G16" i="2" s="1"/>
  <c r="G18" i="2" s="1"/>
  <c r="AP283" i="1"/>
  <c r="CZ60" i="1"/>
  <c r="Y60" i="1" s="1"/>
  <c r="CY60" i="1"/>
  <c r="X60" i="1" s="1"/>
  <c r="GN50" i="1"/>
  <c r="GM50" i="1"/>
  <c r="CY204" i="1"/>
  <c r="X204" i="1" s="1"/>
  <c r="AX26" i="1"/>
  <c r="F114" i="1"/>
  <c r="AX251" i="1"/>
  <c r="F241" i="1"/>
  <c r="BA199" i="1"/>
  <c r="AX139" i="1"/>
  <c r="F174" i="1"/>
  <c r="GN34" i="1"/>
  <c r="GM34" i="1"/>
  <c r="GN33" i="1"/>
  <c r="GM33" i="1"/>
  <c r="AF107" i="1"/>
  <c r="GM141" i="1"/>
  <c r="CA167" i="1" s="1"/>
  <c r="GN141" i="1"/>
  <c r="AB167" i="1"/>
  <c r="GM97" i="1"/>
  <c r="GN97" i="1"/>
  <c r="GM51" i="1"/>
  <c r="GN51" i="1"/>
  <c r="CP59" i="1"/>
  <c r="O59" i="1" s="1"/>
  <c r="K175" i="6" s="1"/>
  <c r="GN48" i="1"/>
  <c r="GM202" i="1"/>
  <c r="GN202" i="1"/>
  <c r="GM212" i="1"/>
  <c r="AE26" i="1"/>
  <c r="R107" i="1"/>
  <c r="GN42" i="1"/>
  <c r="GM42" i="1"/>
  <c r="CY59" i="1"/>
  <c r="X59" i="1" s="1"/>
  <c r="T175" i="6" s="1"/>
  <c r="K170" i="6" s="1"/>
  <c r="CZ59" i="1"/>
  <c r="Y59" i="1" s="1"/>
  <c r="V175" i="6" s="1"/>
  <c r="K171" i="6" s="1"/>
  <c r="AC139" i="1"/>
  <c r="CH167" i="1"/>
  <c r="P167" i="1"/>
  <c r="CE167" i="1"/>
  <c r="CF167" i="1"/>
  <c r="CP204" i="1"/>
  <c r="O204" i="1" s="1"/>
  <c r="AC221" i="1"/>
  <c r="GN105" i="1"/>
  <c r="GM105" i="1"/>
  <c r="GM57" i="1"/>
  <c r="GN57" i="1"/>
  <c r="BA167" i="1"/>
  <c r="CJ139" i="1"/>
  <c r="GN47" i="1"/>
  <c r="GM47" i="1"/>
  <c r="F243" i="1"/>
  <c r="U199" i="1"/>
  <c r="U139" i="1"/>
  <c r="F189" i="1"/>
  <c r="J323" i="6" l="1"/>
  <c r="P323" i="6" s="1"/>
  <c r="W176" i="6"/>
  <c r="J308" i="6"/>
  <c r="P308" i="6" s="1"/>
  <c r="J196" i="6"/>
  <c r="P196" i="6" s="1"/>
  <c r="K254" i="6"/>
  <c r="J176" i="6"/>
  <c r="P176" i="6" s="1"/>
  <c r="GM86" i="1"/>
  <c r="AK221" i="1"/>
  <c r="T478" i="6"/>
  <c r="AL107" i="1"/>
  <c r="Y107" i="1" s="1"/>
  <c r="V75" i="6"/>
  <c r="K73" i="6" s="1"/>
  <c r="J76" i="6" s="1"/>
  <c r="P76" i="6" s="1"/>
  <c r="AB107" i="1"/>
  <c r="GN78" i="1"/>
  <c r="GN76" i="1"/>
  <c r="GM76" i="1"/>
  <c r="AK139" i="1"/>
  <c r="K490" i="6"/>
  <c r="J492" i="6" s="1"/>
  <c r="P492" i="6" s="1"/>
  <c r="J542" i="6" s="1"/>
  <c r="GM207" i="1"/>
  <c r="GN207" i="1"/>
  <c r="BD221" i="1"/>
  <c r="CM199" i="1"/>
  <c r="GM60" i="1"/>
  <c r="T177" i="6"/>
  <c r="GN60" i="1"/>
  <c r="V177" i="6"/>
  <c r="K257" i="6"/>
  <c r="GM82" i="1"/>
  <c r="GN82" i="1"/>
  <c r="G542" i="6"/>
  <c r="GM78" i="1"/>
  <c r="T233" i="6"/>
  <c r="AL221" i="1"/>
  <c r="V478" i="6"/>
  <c r="AK107" i="1"/>
  <c r="AK26" i="1" s="1"/>
  <c r="T162" i="6"/>
  <c r="GN35" i="1"/>
  <c r="GM103" i="1"/>
  <c r="GN103" i="1"/>
  <c r="G334" i="6"/>
  <c r="G546" i="6"/>
  <c r="G544" i="6"/>
  <c r="GN96" i="1"/>
  <c r="GM96" i="1"/>
  <c r="J347" i="6"/>
  <c r="P347" i="6" s="1"/>
  <c r="J453" i="6" s="1"/>
  <c r="AL26" i="1"/>
  <c r="AB26" i="1"/>
  <c r="O107" i="1"/>
  <c r="AF26" i="1"/>
  <c r="S107" i="1"/>
  <c r="GM35" i="1"/>
  <c r="AU22" i="1"/>
  <c r="F270" i="1"/>
  <c r="AU283" i="1"/>
  <c r="AC26" i="1"/>
  <c r="CE107" i="1"/>
  <c r="CF107" i="1"/>
  <c r="CH107" i="1"/>
  <c r="P107" i="1"/>
  <c r="Y221" i="1"/>
  <c r="AL199" i="1"/>
  <c r="U26" i="1"/>
  <c r="F129" i="1"/>
  <c r="U251" i="1"/>
  <c r="GN204" i="1"/>
  <c r="CB221" i="1" s="1"/>
  <c r="GM204" i="1"/>
  <c r="CA221" i="1" s="1"/>
  <c r="AB221" i="1"/>
  <c r="GN59" i="1"/>
  <c r="GM59" i="1"/>
  <c r="F187" i="1"/>
  <c r="BA139" i="1"/>
  <c r="CF139" i="1"/>
  <c r="AW167" i="1"/>
  <c r="T199" i="1"/>
  <c r="F242" i="1"/>
  <c r="W26" i="1"/>
  <c r="F131" i="1"/>
  <c r="W251" i="1"/>
  <c r="T26" i="1"/>
  <c r="F128" i="1"/>
  <c r="T251" i="1"/>
  <c r="AR167" i="1"/>
  <c r="CA139" i="1"/>
  <c r="R26" i="1"/>
  <c r="F121" i="1"/>
  <c r="R251" i="1"/>
  <c r="AP18" i="1"/>
  <c r="F292" i="1"/>
  <c r="I24" i="6" s="1"/>
  <c r="AQ22" i="1"/>
  <c r="F261" i="1"/>
  <c r="AQ283" i="1"/>
  <c r="W139" i="1"/>
  <c r="F191" i="1"/>
  <c r="F235" i="1"/>
  <c r="R199" i="1"/>
  <c r="CH139" i="1"/>
  <c r="AY167" i="1"/>
  <c r="AC199" i="1"/>
  <c r="P221" i="1"/>
  <c r="CH221" i="1"/>
  <c r="CE221" i="1"/>
  <c r="CF221" i="1"/>
  <c r="BB18" i="1"/>
  <c r="F296" i="1"/>
  <c r="CE139" i="1"/>
  <c r="AV167" i="1"/>
  <c r="T139" i="1"/>
  <c r="F188" i="1"/>
  <c r="P139" i="1"/>
  <c r="F170" i="1"/>
  <c r="AX22" i="1"/>
  <c r="F258" i="1"/>
  <c r="AX283" i="1"/>
  <c r="R139" i="1"/>
  <c r="F181" i="1"/>
  <c r="Y139" i="1"/>
  <c r="F194" i="1"/>
  <c r="O167" i="1"/>
  <c r="AB139" i="1"/>
  <c r="AZ22" i="1"/>
  <c r="AZ283" i="1"/>
  <c r="F262" i="1"/>
  <c r="F179" i="1"/>
  <c r="Q139" i="1"/>
  <c r="BA26" i="1"/>
  <c r="BA251" i="1"/>
  <c r="F127" i="1"/>
  <c r="BC18" i="1"/>
  <c r="F299" i="1"/>
  <c r="Q26" i="1"/>
  <c r="F119" i="1"/>
  <c r="Q251" i="1"/>
  <c r="V26" i="1"/>
  <c r="F130" i="1"/>
  <c r="V251" i="1"/>
  <c r="AT22" i="1"/>
  <c r="F269" i="1"/>
  <c r="F16" i="2" s="1"/>
  <c r="F18" i="2" s="1"/>
  <c r="AT283" i="1"/>
  <c r="AO18" i="1"/>
  <c r="F287" i="1"/>
  <c r="CB167" i="1"/>
  <c r="X221" i="1"/>
  <c r="AK199" i="1"/>
  <c r="F193" i="1"/>
  <c r="X139" i="1"/>
  <c r="GM55" i="1"/>
  <c r="GN55" i="1"/>
  <c r="CB107" i="1" s="1"/>
  <c r="AZ139" i="1"/>
  <c r="F178" i="1"/>
  <c r="F236" i="1"/>
  <c r="S199" i="1"/>
  <c r="J262" i="6" l="1"/>
  <c r="P262" i="6" s="1"/>
  <c r="J544" i="6"/>
  <c r="J334" i="6"/>
  <c r="J546" i="6"/>
  <c r="BD251" i="1"/>
  <c r="F246" i="1"/>
  <c r="BD199" i="1"/>
  <c r="CA107" i="1"/>
  <c r="CA26" i="1" s="1"/>
  <c r="X107" i="1"/>
  <c r="CB26" i="1"/>
  <c r="AS107" i="1"/>
  <c r="CA199" i="1"/>
  <c r="AR221" i="1"/>
  <c r="AQ18" i="1"/>
  <c r="F293" i="1"/>
  <c r="F195" i="1"/>
  <c r="AR139" i="1"/>
  <c r="AB199" i="1"/>
  <c r="O221" i="1"/>
  <c r="P26" i="1"/>
  <c r="F110" i="1"/>
  <c r="P251" i="1"/>
  <c r="CB199" i="1"/>
  <c r="AS221" i="1"/>
  <c r="P199" i="1"/>
  <c r="F224" i="1"/>
  <c r="O26" i="1"/>
  <c r="F109" i="1"/>
  <c r="AZ18" i="1"/>
  <c r="F294" i="1"/>
  <c r="T22" i="1"/>
  <c r="T283" i="1"/>
  <c r="F272" i="1"/>
  <c r="F173" i="1"/>
  <c r="AW139" i="1"/>
  <c r="V22" i="1"/>
  <c r="V283" i="1"/>
  <c r="F274" i="1"/>
  <c r="U22" i="1"/>
  <c r="U283" i="1"/>
  <c r="F273" i="1"/>
  <c r="CE26" i="1"/>
  <c r="AV107" i="1"/>
  <c r="Y26" i="1"/>
  <c r="F134" i="1"/>
  <c r="Y251" i="1"/>
  <c r="AT18" i="1"/>
  <c r="F301" i="1"/>
  <c r="I23" i="6" s="1"/>
  <c r="F172" i="1"/>
  <c r="AV139" i="1"/>
  <c r="AX18" i="1"/>
  <c r="F290" i="1"/>
  <c r="CH26" i="1"/>
  <c r="AY107" i="1"/>
  <c r="O139" i="1"/>
  <c r="F169" i="1"/>
  <c r="CF199" i="1"/>
  <c r="AW221" i="1"/>
  <c r="R22" i="1"/>
  <c r="F265" i="1"/>
  <c r="R283" i="1"/>
  <c r="W22" i="1"/>
  <c r="W283" i="1"/>
  <c r="F275" i="1"/>
  <c r="Q22" i="1"/>
  <c r="F263" i="1"/>
  <c r="Q283" i="1"/>
  <c r="CH199" i="1"/>
  <c r="AY221" i="1"/>
  <c r="Y199" i="1"/>
  <c r="F248" i="1"/>
  <c r="AY139" i="1"/>
  <c r="F175" i="1"/>
  <c r="X26" i="1"/>
  <c r="F133" i="1"/>
  <c r="X251" i="1"/>
  <c r="CF26" i="1"/>
  <c r="AW107" i="1"/>
  <c r="X199" i="1"/>
  <c r="F247" i="1"/>
  <c r="BA22" i="1"/>
  <c r="BA283" i="1"/>
  <c r="F271" i="1"/>
  <c r="H16" i="2" s="1"/>
  <c r="H18" i="2" s="1"/>
  <c r="CB139" i="1"/>
  <c r="AS167" i="1"/>
  <c r="CE199" i="1"/>
  <c r="AV221" i="1"/>
  <c r="AU18" i="1"/>
  <c r="F302" i="1"/>
  <c r="S26" i="1"/>
  <c r="F122" i="1"/>
  <c r="S251" i="1"/>
  <c r="AR107" i="1" l="1"/>
  <c r="BD22" i="1"/>
  <c r="BD283" i="1"/>
  <c r="F276" i="1"/>
  <c r="U18" i="1"/>
  <c r="F305" i="1"/>
  <c r="T18" i="1"/>
  <c r="F304" i="1"/>
  <c r="O199" i="1"/>
  <c r="F223" i="1"/>
  <c r="AV26" i="1"/>
  <c r="F112" i="1"/>
  <c r="AV251" i="1"/>
  <c r="AV199" i="1"/>
  <c r="F226" i="1"/>
  <c r="Q18" i="1"/>
  <c r="F295" i="1"/>
  <c r="J553" i="6" s="1"/>
  <c r="P22" i="1"/>
  <c r="F254" i="1"/>
  <c r="P283" i="1"/>
  <c r="AW199" i="1"/>
  <c r="F227" i="1"/>
  <c r="AS26" i="1"/>
  <c r="F124" i="1"/>
  <c r="AS251" i="1"/>
  <c r="AW26" i="1"/>
  <c r="AW251" i="1"/>
  <c r="F113" i="1"/>
  <c r="AY26" i="1"/>
  <c r="F115" i="1"/>
  <c r="AY251" i="1"/>
  <c r="F238" i="1"/>
  <c r="AS199" i="1"/>
  <c r="AR26" i="1"/>
  <c r="F135" i="1"/>
  <c r="AR251" i="1"/>
  <c r="BA18" i="1"/>
  <c r="F303" i="1"/>
  <c r="I25" i="6" s="1"/>
  <c r="AR199" i="1"/>
  <c r="F249" i="1"/>
  <c r="W18" i="1"/>
  <c r="F307" i="1"/>
  <c r="Y22" i="1"/>
  <c r="Y283" i="1"/>
  <c r="F278" i="1"/>
  <c r="AS139" i="1"/>
  <c r="F184" i="1"/>
  <c r="F229" i="1"/>
  <c r="AY199" i="1"/>
  <c r="R18" i="1"/>
  <c r="F297" i="1"/>
  <c r="J554" i="6" s="1"/>
  <c r="V18" i="1"/>
  <c r="F306" i="1"/>
  <c r="J558" i="6" s="1"/>
  <c r="S22" i="1"/>
  <c r="S283" i="1"/>
  <c r="F266" i="1"/>
  <c r="J16" i="2" s="1"/>
  <c r="J18" i="2" s="1"/>
  <c r="X22" i="1"/>
  <c r="F277" i="1"/>
  <c r="X283" i="1"/>
  <c r="O251" i="1"/>
  <c r="I26" i="6" l="1"/>
  <c r="J557" i="6"/>
  <c r="BD18" i="1"/>
  <c r="F308" i="1"/>
  <c r="J559" i="6" s="1"/>
  <c r="AR22" i="1"/>
  <c r="AR283" i="1"/>
  <c r="F279" i="1"/>
  <c r="X18" i="1"/>
  <c r="F309" i="1"/>
  <c r="J560" i="6" s="1"/>
  <c r="AW22" i="1"/>
  <c r="F257" i="1"/>
  <c r="AW283" i="1"/>
  <c r="AS22" i="1"/>
  <c r="AS283" i="1"/>
  <c r="F268" i="1"/>
  <c r="E16" i="2" s="1"/>
  <c r="P18" i="1"/>
  <c r="F286" i="1"/>
  <c r="J549" i="6" s="1"/>
  <c r="Y18" i="1"/>
  <c r="F310" i="1"/>
  <c r="J561" i="6" s="1"/>
  <c r="S18" i="1"/>
  <c r="F298" i="1"/>
  <c r="AY22" i="1"/>
  <c r="F259" i="1"/>
  <c r="AY283" i="1"/>
  <c r="O22" i="1"/>
  <c r="F253" i="1"/>
  <c r="O283" i="1"/>
  <c r="AV22" i="1"/>
  <c r="AV283" i="1"/>
  <c r="F256" i="1"/>
  <c r="J555" i="6" l="1"/>
  <c r="I27" i="6"/>
  <c r="O18" i="1"/>
  <c r="F285" i="1"/>
  <c r="J548" i="6" s="1"/>
  <c r="AW18" i="1"/>
  <c r="F289" i="1"/>
  <c r="J551" i="6" s="1"/>
  <c r="AY18" i="1"/>
  <c r="F291" i="1"/>
  <c r="J552" i="6" s="1"/>
  <c r="E18" i="2"/>
  <c r="I16" i="2"/>
  <c r="I18" i="2" s="1"/>
  <c r="F280" i="1"/>
  <c r="F281" i="1" s="1"/>
  <c r="AS18" i="1"/>
  <c r="F300" i="1"/>
  <c r="AR18" i="1"/>
  <c r="F311" i="1"/>
  <c r="J562" i="6" s="1"/>
  <c r="AV18" i="1"/>
  <c r="F288" i="1"/>
  <c r="J550" i="6" s="1"/>
  <c r="I22" i="6" l="1"/>
  <c r="J556" i="6"/>
  <c r="F312" i="1"/>
  <c r="F313" i="1" l="1"/>
  <c r="I21" i="6" s="1"/>
</calcChain>
</file>

<file path=xl/sharedStrings.xml><?xml version="1.0" encoding="utf-8"?>
<sst xmlns="http://schemas.openxmlformats.org/spreadsheetml/2006/main" count="11396" uniqueCount="1028">
  <si>
    <t>Smeta.RU  (495) 974-1589</t>
  </si>
  <si>
    <t>_PS_</t>
  </si>
  <si>
    <t>Smeta.RU</t>
  </si>
  <si>
    <t/>
  </si>
  <si>
    <t>АО "Ульяновскцемент"</t>
  </si>
  <si>
    <t>1</t>
  </si>
  <si>
    <t>Ремонт помещений, системы отопления и крыльца здания столовой инв. № 10-00000050_корректировка март</t>
  </si>
  <si>
    <t>Ведомость объемов работ №1</t>
  </si>
  <si>
    <t>Соломонова Н.В.</t>
  </si>
  <si>
    <t>Сметные нормы списания</t>
  </si>
  <si>
    <t>Коды ценников</t>
  </si>
  <si>
    <t>ФЕР-2020 И9</t>
  </si>
  <si>
    <t>Версия 1.7.0 ГСН (ГЭСН, ФЕР) и ТЕР (Методики НР (812/пр, 636/пр, 611/пр) и СП (774/пр и 317/пр) применять с 08.01.2023 г.)</t>
  </si>
  <si>
    <t>ФЕР-2020 - изменения И9</t>
  </si>
  <si>
    <t>Поправки для ГСН (ФЕР) 2020 от 11.09.2022 г И9 (в ред. 557/пр) Капитальный ремонт производственных зданий</t>
  </si>
  <si>
    <t>ГСН</t>
  </si>
  <si>
    <t>Новая локальная смета</t>
  </si>
  <si>
    <t>Новый раздел</t>
  </si>
  <si>
    <t>Ремонт помещений высотой 2,9 м</t>
  </si>
  <si>
    <t>67-8-2</t>
  </si>
  <si>
    <t>Смена светильников: с люминесцентными лампами</t>
  </si>
  <si>
    <t>100 ШТ</t>
  </si>
  <si>
    <t>ФЕРр-2001, 67-8-2, приказ Минстроя России № 876/пр от 26.12.2019</t>
  </si>
  <si>
    <t>Ремонтно-строительные работы</t>
  </si>
  <si>
    <t>Электромонтажные работы</t>
  </si>
  <si>
    <t>рФЕР-67</t>
  </si>
  <si>
    <t>Пр/812-101.0-1</t>
  </si>
  <si>
    <t>Пр/774-101.0</t>
  </si>
  <si>
    <t>2</t>
  </si>
  <si>
    <t>Поставка Подрядчика</t>
  </si>
  <si>
    <t>Светильник светодиодный ДВО-45w 595х595х19 4000K 4200Лм призма IP20</t>
  </si>
  <si>
    <t>шт.</t>
  </si>
  <si>
    <t>Материалы строительные</t>
  </si>
  <si>
    <t>Материалы, изделия и конструкции</t>
  </si>
  <si>
    <t>материалы (03)</t>
  </si>
  <si>
    <t>[1 668.23 / 1.2 /  8.9] +  5% Трансп +  2% Заг.скл</t>
  </si>
  <si>
    <t>5</t>
  </si>
  <si>
    <t>3</t>
  </si>
  <si>
    <t>57-2-1</t>
  </si>
  <si>
    <t>Разборка покрытий полов: из линолеума и релина</t>
  </si>
  <si>
    <t>100 м2</t>
  </si>
  <si>
    <t>ФЕРр-2001 доп.8, 57-2-1, приказ Минстроя России № 746/пр от 14.10.2021</t>
  </si>
  <si>
    <t>Полы</t>
  </si>
  <si>
    <t>рФЕР-57</t>
  </si>
  <si>
    <t>Пр/812-091.0-1</t>
  </si>
  <si>
    <t>Пр/774-091.0</t>
  </si>
  <si>
    <t>3.1</t>
  </si>
  <si>
    <t>999-9900</t>
  </si>
  <si>
    <t>Строительный мусор</t>
  </si>
  <si>
    <t>т</t>
  </si>
  <si>
    <t>4</t>
  </si>
  <si>
    <t>57-3-1</t>
  </si>
  <si>
    <t>Разборка плинтусов: деревянных и из пластмассовых материалов</t>
  </si>
  <si>
    <t>100 м</t>
  </si>
  <si>
    <t>ФЕРр-2001, 57-3-1 приказ Минстроя России № 876/пр от 26.12.2019</t>
  </si>
  <si>
    <t>4.1</t>
  </si>
  <si>
    <t>56-9-1</t>
  </si>
  <si>
    <t>Демонтаж дверных коробок: в каменных стенах с отбивкой штукатурки в откосах</t>
  </si>
  <si>
    <t>ФЕРр-2001, 56-9-1, приказ Минстроя России № 876/пр от 26.12.2019</t>
  </si>
  <si>
    <t>Проемы</t>
  </si>
  <si>
    <t>рФЕР-56</t>
  </si>
  <si>
    <t>Пр/812-090.0-1</t>
  </si>
  <si>
    <t>Пр/774-090.0</t>
  </si>
  <si>
    <t>5.1</t>
  </si>
  <si>
    <t>6</t>
  </si>
  <si>
    <t>56-10-1</t>
  </si>
  <si>
    <t>Снятие дверных полотен</t>
  </si>
  <si>
    <t>ФЕРр-2001, 56-10-1, приказ Минстроя России № 876/пр от 26.12.2019</t>
  </si>
  <si>
    <t>6.1</t>
  </si>
  <si>
    <t>7</t>
  </si>
  <si>
    <t>62-47-1</t>
  </si>
  <si>
    <t>Расчистка поверхностей шпателем, щетками от старых покрасок</t>
  </si>
  <si>
    <t>м2</t>
  </si>
  <si>
    <t>ФЕРр-2001 доп. 5, 62-47-1, приказ Минстроя России № 51/пр от 09.02.2021</t>
  </si>
  <si>
    <t>Малярные работы</t>
  </si>
  <si>
    <t>рФЕР-62</t>
  </si>
  <si>
    <t>Пр/812-096.0-1</t>
  </si>
  <si>
    <t>Пр/774-096.0</t>
  </si>
  <si>
    <t>8</t>
  </si>
  <si>
    <t>63-5-1</t>
  </si>
  <si>
    <t>Снятие обоев: простых и улучшенных</t>
  </si>
  <si>
    <t>ФЕРр-2001, 63-5-1, приказ Минстроя России № 876/пр от 26.12.2019</t>
  </si>
  <si>
    <t>Стекольные, обойные и облицовочные работы</t>
  </si>
  <si>
    <t>Стекольные, обойные, облицовочные работы</t>
  </si>
  <si>
    <t>рФЕР-63</t>
  </si>
  <si>
    <t>Пр/812-097.0-1</t>
  </si>
  <si>
    <t>Пр/774-097.0</t>
  </si>
  <si>
    <t>8.1</t>
  </si>
  <si>
    <t>9</t>
  </si>
  <si>
    <t>10-05-012-01</t>
  </si>
  <si>
    <t>РАЗБОРКА/Облицовка стен глухих (без проемов) по металлическому одинарному каркасу гипсокартонными листами</t>
  </si>
  <si>
    <t>ФЕР-2001, 10-05-012-01, приказ Минстроя России № 876/пр от 26.12.2019</t>
  </si>
  <si>
    <t>Поправка: МР 571/пр Табл.2, п.2  Наименование: При демонтаже (разборке) сборных деревянных конструкций</t>
  </si>
  <si>
    <t>)*0</t>
  </si>
  <si>
    <t>)*0,8</t>
  </si>
  <si>
    <t>Общестроительные работы</t>
  </si>
  <si>
    <t>Деревянные конструкции</t>
  </si>
  <si>
    <t>ФЕР-10</t>
  </si>
  <si>
    <t>Поправка: МР 571/пр Табл.2, п.2</t>
  </si>
  <si>
    <t>Пр/812-010.0-1</t>
  </si>
  <si>
    <t>Пр/774-010.0</t>
  </si>
  <si>
    <t>10</t>
  </si>
  <si>
    <t>15-01-050-01</t>
  </si>
  <si>
    <t>РАЗБОРКА КОРОБОВ/Облицовка стен декоративным бумажно-слоистым пластиком или листами из синтетических материалов: по деревянной обрешетке</t>
  </si>
  <si>
    <t>ФЕР-2001 доп.6, 15-01-050-01, приказ Минстроя России № 321/пр от 24.05.2021</t>
  </si>
  <si>
    <t>Отделочные работы</t>
  </si>
  <si>
    <t>ФЕР-15</t>
  </si>
  <si>
    <t>Пр/812-015.0-1</t>
  </si>
  <si>
    <t>Пр/774-015.0</t>
  </si>
  <si>
    <t>11</t>
  </si>
  <si>
    <t>63-14-3</t>
  </si>
  <si>
    <t>Замена элементов облицовки потолков: плит растровых потолков с заменой каркаса</t>
  </si>
  <si>
    <t>ФЕРр-2001, 63-14-3, приказ Минстроя России № 876/пр от 26.12.2019</t>
  </si>
  <si>
    <t>11.1</t>
  </si>
  <si>
    <t>999-9899</t>
  </si>
  <si>
    <t>Строительный мусор и масса возвратных материалов</t>
  </si>
  <si>
    <t>11.2</t>
  </si>
  <si>
    <t>01.6.04.02-0001</t>
  </si>
  <si>
    <t>Панели потолочные декоративные</t>
  </si>
  <si>
    <t>ФССЦ-2001, 01.6.04.02-0001, приказ Минстроя России № 876/пр от 26.12.2019</t>
  </si>
  <si>
    <t>11.3</t>
  </si>
  <si>
    <t>01.7.15.07-0082</t>
  </si>
  <si>
    <t>Дюбель-гвозди, размер 6x39 мм</t>
  </si>
  <si>
    <t>ФССЦ-2001, 01.7.15.07-0082, приказ Минстроя России № 876/пр от 26.12.2019</t>
  </si>
  <si>
    <t>11.4</t>
  </si>
  <si>
    <t>09.2.01.05-0051</t>
  </si>
  <si>
    <t>Подвес в комплекте</t>
  </si>
  <si>
    <t>ФССЦ-2001, 09.2.01.05-0051, приказ Минстроя России № 876/пр от 26.12.2019</t>
  </si>
  <si>
    <t>12</t>
  </si>
  <si>
    <t>Потолочная панель ARMSTRONG BAJKAL 90RH Board 12 мм</t>
  </si>
  <si>
    <t>[517.64 / 1.2 /  8.9] +  5% Трансп +  2% Заг.скл</t>
  </si>
  <si>
    <t>13</t>
  </si>
  <si>
    <t>Каркас для подвесного потолка Армстронг</t>
  </si>
  <si>
    <t>[264.04 / 1.2 /  8.9] +  5% Трансп +  2% Заг.скл</t>
  </si>
  <si>
    <t>14</t>
  </si>
  <si>
    <t>57-2-3</t>
  </si>
  <si>
    <t>Разборка покрытий полов: из керамических плиток</t>
  </si>
  <si>
    <t>ФЕРр-2001 доп.8, 57-2-3, приказ Минстроя России № 746/пр от 14.10.2021</t>
  </si>
  <si>
    <t>14.1</t>
  </si>
  <si>
    <t>15</t>
  </si>
  <si>
    <t>63-7-5</t>
  </si>
  <si>
    <t>Разборка облицовки стен: из керамических глазурованных плиток</t>
  </si>
  <si>
    <t>ФЕРр-2001, 63-7-5, приказ Минстроя России № 876/пр от 26.12.2019</t>
  </si>
  <si>
    <t>15.1</t>
  </si>
  <si>
    <t>16</t>
  </si>
  <si>
    <t>15-07-003-02</t>
  </si>
  <si>
    <t>Нанесение водно-дисперсионной грунтовки на поверхности: пористые (камень, кирпич, бетон и т.д.)</t>
  </si>
  <si>
    <t>ФЕР-2001, 15-07-003-02, приказ Минстроя России № 876/пр от 26.12.2019</t>
  </si>
  <si>
    <t>)*1,25</t>
  </si>
  <si>
    <t>)*1,15</t>
  </si>
  <si>
    <t>)*0,85</t>
  </si>
  <si>
    <t>Поправка: М-ка 421/пр 04.08.20 п.58 п.п. б)</t>
  </si>
  <si>
    <t>17</t>
  </si>
  <si>
    <t>Грунтовка глубокого проникновения Bergauf TiefGrunt</t>
  </si>
  <si>
    <t>кг</t>
  </si>
  <si>
    <t>[87.4 / 1.2 /  8.9] +  5% Трансп +  2% Заг.скл</t>
  </si>
  <si>
    <t>18</t>
  </si>
  <si>
    <t>11-01-027-06</t>
  </si>
  <si>
    <t>Устройство покрытий на растворе из сухой смеси с приготовлением раствора в построечных условиях из плиток: гладких неглазурованных керамических для полов одноцветных</t>
  </si>
  <si>
    <t>ФЕР-2001 доп.4, 11-01-027-06, приказ Минстроя России № 636/пр от 20.10.2020</t>
  </si>
  <si>
    <t>Поправка: МР 519/пр п.6.7.1  Наименование: При выполнении работ в существующих зданиях и сооружениях, аналогичных процессам при новом строительстве (кроме работ по нормам сборника № 46 «Работы при реконструкции зданий и сооружений»)</t>
  </si>
  <si>
    <t>ФЕР-11</t>
  </si>
  <si>
    <t>Поправка: МР 519/пр п.6.7.1</t>
  </si>
  <si>
    <t>Пр/812-011.0-1</t>
  </si>
  <si>
    <t>Пр/774-011.0</t>
  </si>
  <si>
    <t>18.1</t>
  </si>
  <si>
    <t>06.2.02.01-0071</t>
  </si>
  <si>
    <t>Плитка керамическая неглазурованная для полов гладкая, одноцветная с красителем квадратная и прямоугольная</t>
  </si>
  <si>
    <t>ФССЦ-2001, 06.2.02.01-0071, приказ Минстроя России № 876/пр от 26.12.2019</t>
  </si>
  <si>
    <t>18.2</t>
  </si>
  <si>
    <t>04.3.02.09-0102</t>
  </si>
  <si>
    <t>Смеси сухие водостойкие для затирки межплиточных швов шириной 1-6 мм (различная цветовая гамма)</t>
  </si>
  <si>
    <t>ФССЦ-2001, 04.3.02.09-0102, приказ Минстроя России № 876/пр от 26.12.2019</t>
  </si>
  <si>
    <t>18.3</t>
  </si>
  <si>
    <t>14.1.06.02-1002</t>
  </si>
  <si>
    <t>Клей плиточный</t>
  </si>
  <si>
    <t>ФССЦ-2001, 14.1.06.02-1002, приказ Минстроя России № 876/пр от 26.12.2019</t>
  </si>
  <si>
    <t>19</t>
  </si>
  <si>
    <t>Керамогранит Quadro Decor Соль-Перец 30x30 см 1.44 м2 неполированный цвет серый</t>
  </si>
  <si>
    <t>[637 / 1.2 /  8.9] +  5% Трансп +  2% Заг.скл</t>
  </si>
  <si>
    <t>20</t>
  </si>
  <si>
    <t>Клей для плитки Церезит CM11 Pro</t>
  </si>
  <si>
    <t>[21.64 / 1.2 /  8.9] +  5% Трансп +  2% Заг.скл</t>
  </si>
  <si>
    <t>21</t>
  </si>
  <si>
    <t>Затирка цементная Церезит CE 33 Comfort цвет белый</t>
  </si>
  <si>
    <t>[135 / 1.2 /  8.9] +  5% Трансп +  2% Заг.скл</t>
  </si>
  <si>
    <t>22</t>
  </si>
  <si>
    <t>Облицовка стен глухих (без проемов) по металлическому одинарному каркасу гипсокартонными листами</t>
  </si>
  <si>
    <t>22.1</t>
  </si>
  <si>
    <t>07.2.06.03-0119</t>
  </si>
  <si>
    <t>Профиль направляющий, стальной, оцинкованный, для монтажа гипсовых перегородок и подвесных потолков, длина 3 м, сечение 28x27x0,6 мм</t>
  </si>
  <si>
    <t>м</t>
  </si>
  <si>
    <t>ФССЦ-2001, 07.2.06.03-0119, приказ Минстроя России № 876/пр от 26.12.2019</t>
  </si>
  <si>
    <t>22.2</t>
  </si>
  <si>
    <t>07.2.06.03-0155</t>
  </si>
  <si>
    <t>Профиль направляющий, стальной, оцинкованный, для монтажа гипсовых перегородок и подвесных потолков, длина 3 м, сечение 60x27x0,6 мм</t>
  </si>
  <si>
    <t>ФССЦ-2001, 07.2.06.03-0155, приказ Минстроя России № 876/пр от 26.12.2019</t>
  </si>
  <si>
    <t>22.3</t>
  </si>
  <si>
    <t>07.2.06.04-0076</t>
  </si>
  <si>
    <t>Подвес прямой, стальной, оцинкованный, для закрепления (подвески) потолочных профилей к несущим конструкциям</t>
  </si>
  <si>
    <t>ФССЦ-2001, 07.2.06.04-0076, приказ Минстроя России № 876/пр от 26.12.2019</t>
  </si>
  <si>
    <t>22.4</t>
  </si>
  <si>
    <t>07.2.06.05-0017</t>
  </si>
  <si>
    <t>Соединитель профиля одноуровневый потолочный</t>
  </si>
  <si>
    <t>ФССЦ-2001, 07.2.06.05-0017, приказ Минстроя России № 876/пр от 26.12.2019</t>
  </si>
  <si>
    <t>23</t>
  </si>
  <si>
    <t>Листы ГКЛ влагостойкие толщ.12,5 мм</t>
  </si>
  <si>
    <t>[203.33 / 1.2 /  8.9] +  5% Трансп +  2% Заг.скл</t>
  </si>
  <si>
    <t>24</t>
  </si>
  <si>
    <t>[85 / 1.2 /  8.9] +  5% Трансп +  2% Заг.скл</t>
  </si>
  <si>
    <t>25</t>
  </si>
  <si>
    <t>[73.3 / 1.2 /  8.9] +  5% Трансп +  2% Заг.скл</t>
  </si>
  <si>
    <t>26</t>
  </si>
  <si>
    <t>ШТ</t>
  </si>
  <si>
    <t>[27 / 1.2 /  8.9] +  5% Трансп +  2% Заг.скл</t>
  </si>
  <si>
    <t>27</t>
  </si>
  <si>
    <t>[136.67 / 1.2 /  8.9] +  5% Трансп +  2% Заг.скл</t>
  </si>
  <si>
    <t>28</t>
  </si>
  <si>
    <t>29</t>
  </si>
  <si>
    <t>[90.1 / 1.2 /  8.9] +  5% Трансп +  2% Заг.скл</t>
  </si>
  <si>
    <t>30</t>
  </si>
  <si>
    <t>15-01-019-05</t>
  </si>
  <si>
    <t>Гладкая облицовка стен, столбов, пилястр и откосов (без карнизных, плинтусных и угловых плиток) без установки плиток туалетного гарнитура на клее из сухих смесей: по кирпичу и бетону</t>
  </si>
  <si>
    <t>ФЕР-2001 доп.5, 15-01-019-05, приказ Минстроя России № 51/пр от 09.02.2021</t>
  </si>
  <si>
    <t>31</t>
  </si>
  <si>
    <t>Плитка настенная Шахтинская Плитка 20x30 см цвет белый матовый</t>
  </si>
  <si>
    <t>[376 / 1.2 /  8.9] +  5% Трансп +  2% Заг.скл</t>
  </si>
  <si>
    <t>32</t>
  </si>
  <si>
    <t>33</t>
  </si>
  <si>
    <t>34</t>
  </si>
  <si>
    <t>11-01-036-04</t>
  </si>
  <si>
    <t>Устройство покрытий: из линолеума насухо со свариванием полотнищ в стыках</t>
  </si>
  <si>
    <t>ФЕР-2001 доп.8, 11-01-036-04, приказ Минстроя России № 746/пр от 14.10.2021</t>
  </si>
  <si>
    <t>35</t>
  </si>
  <si>
    <t>Линолеум «Noventis Мастер цемент» 32 класс</t>
  </si>
  <si>
    <t>[527 / 1.2 /  8.9] +  5% Трансп +  2% Заг.скл</t>
  </si>
  <si>
    <t>36</t>
  </si>
  <si>
    <t>11-01-040-03</t>
  </si>
  <si>
    <t>Устройство плинтусов поливинилхлоридных: на винтах самонарезающих</t>
  </si>
  <si>
    <t>ФЕР-2001, 11-01-040-03, приказ Минстроя России № 876/пр от 26.12.2019</t>
  </si>
  <si>
    <t>36.1</t>
  </si>
  <si>
    <t>11.3.03.14-0001</t>
  </si>
  <si>
    <t>Заглушки торцевые для плинтуса из ПВХ, левые, высота 48 мм</t>
  </si>
  <si>
    <t>ФССЦ-2001, 11.3.03.14-0001, приказ Минстроя России № 876/пр от 26.12.2019</t>
  </si>
  <si>
    <t>36.2</t>
  </si>
  <si>
    <t>11.3.03.14-0011</t>
  </si>
  <si>
    <t>Заглушки торцевые для плинтуса из ПВХ, правые, высота 48 мм</t>
  </si>
  <si>
    <t>ФССЦ-2001, 11.3.03.14-0011, приказ Минстроя России № 876/пр от 26.12.2019</t>
  </si>
  <si>
    <t>36.3</t>
  </si>
  <si>
    <t>11.3.03.14-0021</t>
  </si>
  <si>
    <t>Соединитель для плинтуса из ПВХ, высота 48 мм</t>
  </si>
  <si>
    <t>ФССЦ-2001, 11.3.03.14-0021, приказ Минстроя России № 876/пр от 26.12.2019</t>
  </si>
  <si>
    <t>36.4</t>
  </si>
  <si>
    <t>11.3.03.14-0031</t>
  </si>
  <si>
    <t>Уголок внутренний для плинтуса из ПВХ, высота 48 мм</t>
  </si>
  <si>
    <t>ФССЦ-2001, 11.3.03.14-0031, приказ Минстроя России № 876/пр от 26.12.2019</t>
  </si>
  <si>
    <t>36.5</t>
  </si>
  <si>
    <t>11.3.03.14-0033</t>
  </si>
  <si>
    <t>Уголок наружный для плинтуса из ПВХ, высота 48 мм</t>
  </si>
  <si>
    <t>ФССЦ-2001, 11.3.03.14-0033, приказ Минстроя России № 876/пр от 26.12.2019</t>
  </si>
  <si>
    <t>37</t>
  </si>
  <si>
    <t>Плинтус напольный Artens ПВХ Кратос 5.5 см</t>
  </si>
  <si>
    <t>[141 / 1.2 /  8.9] +  5% Трансп +  2% Заг.скл</t>
  </si>
  <si>
    <t>38</t>
  </si>
  <si>
    <t>Комплектующие: углы, соединители,заглушки</t>
  </si>
  <si>
    <t>[30 / 1.2 /  8.9] +  5% Трансп +  2% Заг.скл</t>
  </si>
  <si>
    <t>39</t>
  </si>
  <si>
    <t>10-04-013-01</t>
  </si>
  <si>
    <t>Установка: деревянных дверных блоков</t>
  </si>
  <si>
    <t>ФЕР-2001, 10-04-013-01, приказ Минстроя России № 876/пр от 26.12.2019</t>
  </si>
  <si>
    <t>40</t>
  </si>
  <si>
    <t>Дверь межкомнатная глухая с замком и петлями в комплекте Пьемонт 60x200 см Hardflex цвет белый жемчуг</t>
  </si>
  <si>
    <t>[5 685 / 1.2 /  8.9] +  5% Трансп +  2% Заг.скл</t>
  </si>
  <si>
    <t>41</t>
  </si>
  <si>
    <t>Дверь межкомнатная глухая с замком и петлями в комплекте Пьемонт 80x200 см Hardflex цвет белый жемчуг</t>
  </si>
  <si>
    <t>42</t>
  </si>
  <si>
    <t>Комплект дверной коробки Пьемонт/Линеа 2100x70 мм цвет платина светлая 2.5 шт.</t>
  </si>
  <si>
    <t>компл.</t>
  </si>
  <si>
    <t>[1 704 / 1.2 /  8.9] +  5% Трансп +  2% Заг.скл</t>
  </si>
  <si>
    <t>43</t>
  </si>
  <si>
    <t>Комплект наличников Пьемонт/Линеа 2150x70x8 мм Hard Flex цвет платина светлая 5 шт.</t>
  </si>
  <si>
    <t>[1 552 / 1.2 /  8.9] +  5% Трансп +  2% Заг.скл</t>
  </si>
  <si>
    <t>44</t>
  </si>
  <si>
    <t>Дверная ручка Нора-М</t>
  </si>
  <si>
    <t>[1 258 / 1.2 /  8.9] +  5% Трансп +  2% Заг.скл</t>
  </si>
  <si>
    <t>45</t>
  </si>
  <si>
    <t>15-04-006-03</t>
  </si>
  <si>
    <t>Покрытие поверхностей грунтовкой глубокого проникновения: за 1 раз стен</t>
  </si>
  <si>
    <t>ФЕР-2001, 15-04-006-03, приказ Минстроя России № 876/пр от 26.12.2019</t>
  </si>
  <si>
    <t>46</t>
  </si>
  <si>
    <t>47</t>
  </si>
  <si>
    <t>15-06-001-02</t>
  </si>
  <si>
    <t>Оклейка обоями стен по монолитной штукатурке и бетону: тиснеными и плотными</t>
  </si>
  <si>
    <t>ФЕР-2001 доп.5, 15-06-001-02, приказ Минстроя России № 51/пр от 09.02.2021</t>
  </si>
  <si>
    <t>47.1</t>
  </si>
  <si>
    <t>14.1.03.01-0001</t>
  </si>
  <si>
    <t>Клей для обоев КМЦ</t>
  </si>
  <si>
    <t>ФССЦ-2001, 14.1.03.01-0001, приказ Минстроя России № 876/пр от 26.12.2019</t>
  </si>
  <si>
    <t>48</t>
  </si>
  <si>
    <t>Обои под покраску флизелиновые Полосы Elysium Фактура 1.06x25 м Е 55825</t>
  </si>
  <si>
    <t>[63.2 / 1.2 /  8.9] +  5% Трансп +  2% Заг.скл</t>
  </si>
  <si>
    <t>49</t>
  </si>
  <si>
    <t>Клей для флизелиновых обоев 560 г.</t>
  </si>
  <si>
    <t>[618 / 1.2 /  8.9] +  5% Трансп +  2% Заг.скл</t>
  </si>
  <si>
    <t>50</t>
  </si>
  <si>
    <t>15-04-007-01</t>
  </si>
  <si>
    <t>Окраска водно-дисперсионными акриловыми составами улучшенная: по штукатурке стен</t>
  </si>
  <si>
    <t>ФЕР-2001, 15-04-007-01, приказ Минстроя России № 876/пр от 26.12.2019</t>
  </si>
  <si>
    <t>50.1</t>
  </si>
  <si>
    <t>14.5.11.02-0101</t>
  </si>
  <si>
    <t>Шпатлевка водно-дисперсионная</t>
  </si>
  <si>
    <t>ФССЦ-2001, 14.5.11.02-0101, приказ Минстроя России № 876/пр от 26.12.2019</t>
  </si>
  <si>
    <t>51</t>
  </si>
  <si>
    <t>Краска акриловая ВД-АК-230 Моя краска Интерьерная белая База А</t>
  </si>
  <si>
    <t>[93 / 1.2 /  8.9] +  5% Трансп +  2% Заг.скл</t>
  </si>
  <si>
    <t>52</t>
  </si>
  <si>
    <t>53</t>
  </si>
  <si>
    <t>Шпатлевка гипсовая  типа Unis Блик</t>
  </si>
  <si>
    <t>[23.68 / 1.2 /  8.9] +  5% Трансп +  2% Заг.скл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</si>
  <si>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</si>
  <si>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</si>
  <si>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</si>
  <si>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</si>
  <si>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</si>
  <si>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</si>
  <si>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</si>
  <si>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</si>
  <si>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</si>
  <si>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</si>
  <si>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</si>
  <si>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</si>
  <si>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</si>
  <si>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</si>
  <si>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</si>
  <si>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</si>
  <si>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</si>
  <si>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</si>
  <si>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</si>
  <si>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</si>
  <si>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</si>
  <si>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</si>
  <si>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</si>
  <si>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</si>
  <si>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</si>
  <si>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</si>
  <si>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</si>
  <si>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</si>
  <si>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</si>
  <si>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</si>
  <si>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</si>
  <si>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</si>
  <si>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</si>
  <si>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</si>
  <si>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</si>
  <si>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</si>
  <si>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</si>
  <si>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</si>
  <si>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</si>
  <si>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</si>
  <si>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</si>
  <si>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</si>
  <si>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</si>
  <si>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</si>
  <si>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</si>
  <si>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</si>
  <si>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Перевозка</t>
  </si>
  <si>
    <t>Перевозка грузов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</si>
  <si>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</si>
  <si>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</si>
  <si>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</si>
  <si>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</si>
  <si>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</si>
  <si>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</si>
  <si>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Ремонт системы отопления</t>
  </si>
  <si>
    <t>54</t>
  </si>
  <si>
    <t>65-19-1</t>
  </si>
  <si>
    <t>Демонтаж: радиаторов весом до 80 кг</t>
  </si>
  <si>
    <t>ФЕРр-2001, 65-19-1, приказ Минстроя России № 876/пр от 26.12.2019</t>
  </si>
  <si>
    <t>Внутренние санитарно-технические работы</t>
  </si>
  <si>
    <t>Внутренние санитарнотехнические работы: демонтаж и разборка</t>
  </si>
  <si>
    <t>рФЕР-65</t>
  </si>
  <si>
    <t>Пр/812-099.1-1</t>
  </si>
  <si>
    <t>Пр/774-099.1</t>
  </si>
  <si>
    <t>55</t>
  </si>
  <si>
    <t>65-1-4</t>
  </si>
  <si>
    <t>Разборка трубопроводов из водогазопроводных труб диаметром: свыше 40 до 50 мм</t>
  </si>
  <si>
    <t>ФЕРр-2001 доп. 5, 65-1-4, приказ Минстроя России № 51/пр от 09.02.2021</t>
  </si>
  <si>
    <t>55.1</t>
  </si>
  <si>
    <t>56</t>
  </si>
  <si>
    <t>16-03-001-09</t>
  </si>
  <si>
    <t>Прокладка трубопроводов отопления при коллекторной системе из многослойных металлополимерных труб диаметром: 50 мм</t>
  </si>
  <si>
    <t>ФЕР-2001, 16-03-001-09, приказ Минстроя России № 876/пр от 26.12.2019</t>
  </si>
  <si>
    <t>Сантехнические работы: внутренние трубопроводы, внутренние устройства водопровода, канализации, отопления, газоснабжения, вентиляция  кондиционирование воздуха</t>
  </si>
  <si>
    <t>Трубопроводы внутренние</t>
  </si>
  <si>
    <t>ФЕР-16</t>
  </si>
  <si>
    <t>Пр/812-016.0-1</t>
  </si>
  <si>
    <t>Пр/774-016.0</t>
  </si>
  <si>
    <t>57</t>
  </si>
  <si>
    <t>Труба PPR PN25, SDR6 (50x8.3), DN32, армированная стекловолокном</t>
  </si>
  <si>
    <t>[431.4 / 1.2 /  8.9] +  5% Трансп +  2% Заг.скл</t>
  </si>
  <si>
    <t>58</t>
  </si>
  <si>
    <t>Тройник PPRC диам.50х32х50 мм</t>
  </si>
  <si>
    <t>[90 / 1.2 /  8.9] +  5% Трансп +  2% Заг.скл</t>
  </si>
  <si>
    <t>59</t>
  </si>
  <si>
    <t>Тройник PPRC диам.50х50х50 мм</t>
  </si>
  <si>
    <t>[68 / 1.2 /  8.9] +  5% Трансп +  2% Заг.скл</t>
  </si>
  <si>
    <t>60</t>
  </si>
  <si>
    <t>Угольник PPRC д.50х50/90° мм</t>
  </si>
  <si>
    <t>[368.4 / 1.2 /  8.9] +  5% Трансп +  2% Заг.скл</t>
  </si>
  <si>
    <t>61</t>
  </si>
  <si>
    <t>Муфта PPRS ПНД соединительная 50x50 мм</t>
  </si>
  <si>
    <t>[536 / 1.2 /  8.9] +  5% Трансп +  2% Заг.скл</t>
  </si>
  <si>
    <t>62</t>
  </si>
  <si>
    <t>Муфта комбинированная PP-R НР 50мм х2" внутренняя резьба</t>
  </si>
  <si>
    <t>[1 051 / 1.2 /  8.9] +  5% Трансп +  2% Заг.скл</t>
  </si>
  <si>
    <t>63</t>
  </si>
  <si>
    <t>Хомут для труб Mayer 1 1/2" o48-52 мм со шпилькой 8х70 и дюбелем гайка М8</t>
  </si>
  <si>
    <t>[38 / 1.2 /  8.9] +  5% Трансп +  2% Заг.скл</t>
  </si>
  <si>
    <t>64</t>
  </si>
  <si>
    <t>16-04-006-05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</si>
  <si>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50 мм</t>
  </si>
  <si>
    <t>100 соединений</t>
  </si>
  <si>
    <t>ФЕР-2001 доп. 1, 16-04-006-05, приказ Минстроя России № 172/пр от 30.03.2020</t>
  </si>
  <si>
    <t>65</t>
  </si>
  <si>
    <t>16-03-001-07</t>
  </si>
  <si>
    <t>Прокладка трубопроводов отопления при коллекторной системе из многослойных металлополимерных труб диаметром: 32 мм</t>
  </si>
  <si>
    <t>ФЕР-2001, 16-03-001-07, приказ Минстроя России № 876/пр от 26.12.2019</t>
  </si>
  <si>
    <t>66</t>
  </si>
  <si>
    <t>16-04-006-03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</si>
  <si>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32 мм</t>
  </si>
  <si>
    <t>ФЕР-2001 доп. 1, 16-04-006-03, приказ Минстроя России № 172/пр от 30.03.2020</t>
  </si>
  <si>
    <t>67</t>
  </si>
  <si>
    <t>Труба PPR PN25, SDR6 (32x5.4), DN20, армированная стекловолокном</t>
  </si>
  <si>
    <t>[165 / 1.2 /  8.9] +  5% Трансп +  2% Заг.скл</t>
  </si>
  <si>
    <t>68</t>
  </si>
  <si>
    <t>Муфта переходная PPRC диам.3/4х32 мм наружная резьба</t>
  </si>
  <si>
    <t>[261 / 1.2 /  8.9] +  5% Трансп +  2% Заг.скл</t>
  </si>
  <si>
    <t>69</t>
  </si>
  <si>
    <t>Угольник PPRC диам.32х32/90° мм</t>
  </si>
  <si>
    <t>[79.2 / 1.2 /  8.9] +  5% Трансп +  2% Заг.скл</t>
  </si>
  <si>
    <t>70</t>
  </si>
  <si>
    <t>Кран шаровой Valfex 3/4" с американкой внутренняя-наружная резьба ручка бабочка</t>
  </si>
  <si>
    <t>[584 / 1.2 /  8.9] +  5% Трансп +  2% Заг.скл</t>
  </si>
  <si>
    <t>71</t>
  </si>
  <si>
    <t>16-07-005-01</t>
  </si>
  <si>
    <t>Гидравлическое испытание трубопроводов систем отопления, водопровода и горячего водоснабжения диаметром: до 50 мм</t>
  </si>
  <si>
    <t>ФЕР-2001, 16-07-005-01, приказ Минстроя России № 876/пр от 26.12.2019</t>
  </si>
  <si>
    <t>72</t>
  </si>
  <si>
    <t>18-03-001-02</t>
  </si>
  <si>
    <t>Установка радиаторов: стальных</t>
  </si>
  <si>
    <t>100 квт</t>
  </si>
  <si>
    <t>ФЕР-2001, 18-03-001-02, приказ Минстроя России № 876/пр от 26.12.2019</t>
  </si>
  <si>
    <t>)*1,25)*1,03</t>
  </si>
  <si>
    <t>)*1,15)*1,03</t>
  </si>
  <si>
    <t>Отопление - внутренние устройства</t>
  </si>
  <si>
    <t>ФЕР-18</t>
  </si>
  <si>
    <t>Поправка: МР 519/пр п.6.7.1  Поправка: Сб. 18, ОУ, п.1.18.16</t>
  </si>
  <si>
    <t>73</t>
  </si>
  <si>
    <t>Радиатор Royal Thermo Vittoria 500/80 биметалл 8 секций боковое подключение цвет белый, 1,24кВт</t>
  </si>
  <si>
    <t>[5 760 / 1.2 /  8.9] +  5% Трансп +  2% Заг.скл</t>
  </si>
  <si>
    <t>74</t>
  </si>
  <si>
    <t>Комплект для подключения радиатора Valfex 1"x3/4" без кронштейнов</t>
  </si>
  <si>
    <t>[275.29 / 1.2 /  8.9] +  5% Трансп +  2% Заг.скл</t>
  </si>
  <si>
    <t>75</t>
  </si>
  <si>
    <t>10-01-059-01</t>
  </si>
  <si>
    <t>Установка столов, шкафов под мойки, холодильных шкафов и др./прим. экран для радиаторов</t>
  </si>
  <si>
    <t>ФЕР-2001, 10-01-059-01, приказ Минстроя России № 876/пр от 26.12.2019</t>
  </si>
  <si>
    <t>75.1</t>
  </si>
  <si>
    <t>11.2.07.12-0011</t>
  </si>
  <si>
    <t>Штапик (раскладка), размер 19x19 мм</t>
  </si>
  <si>
    <t>ФССЦ-2001, 11.2.07.12-0011, приказ Минстроя России № 876/пр от 26.12.2019</t>
  </si>
  <si>
    <t>76</t>
  </si>
  <si>
    <t>Экраны для радиатора размером 0,9х0,6 м.</t>
  </si>
  <si>
    <t>[1 060 / 1.2 /  8.9] +  5% Трансп +  2% Заг.скл</t>
  </si>
  <si>
    <t>Ремонт крыльца</t>
  </si>
  <si>
    <t>77</t>
  </si>
  <si>
    <t>77.1</t>
  </si>
  <si>
    <t>78</t>
  </si>
  <si>
    <t>79</t>
  </si>
  <si>
    <t>80</t>
  </si>
  <si>
    <t>80.1</t>
  </si>
  <si>
    <t>80.2</t>
  </si>
  <si>
    <t>80.3</t>
  </si>
  <si>
    <t>81</t>
  </si>
  <si>
    <t>82</t>
  </si>
  <si>
    <t>83</t>
  </si>
  <si>
    <t>84</t>
  </si>
  <si>
    <t>11-01-049-01</t>
  </si>
  <si>
    <t>Укладка металлического накладного профиля (порога)//прим.</t>
  </si>
  <si>
    <t>ФЕР-2001, 11-01-049-01, приказ Минстроя России № 876/пр от 26.12.2019</t>
  </si>
  <si>
    <t>85</t>
  </si>
  <si>
    <t>Уголок для ступени Alprofi 200 см цвет серый</t>
  </si>
  <si>
    <t>[1 198 / 1.2 /  8.9] +  5% Трансп +  2% Заг.скл</t>
  </si>
  <si>
    <t>86</t>
  </si>
  <si>
    <t>87</t>
  </si>
  <si>
    <t>13-03-002-04</t>
  </si>
  <si>
    <t>Огрунтовка металлических поверхностей за один раз: грунтовкой ГФ-021</t>
  </si>
  <si>
    <t>ФЕР-2001, 13-03-002-04, приказ Минстроя России № 876/пр от 26.12.2019</t>
  </si>
  <si>
    <t>*2</t>
  </si>
  <si>
    <t>)*1,25*2</t>
  </si>
  <si>
    <t>)*1,15*2</t>
  </si>
  <si>
    <t>Защита строительных конструкций и оборудования от коррозии</t>
  </si>
  <si>
    <t>Защита строительных конструкций</t>
  </si>
  <si>
    <t>ФЕР-13</t>
  </si>
  <si>
    <t>Пр/812-013.0-1</t>
  </si>
  <si>
    <t>Пр/774-013.0</t>
  </si>
  <si>
    <t>88</t>
  </si>
  <si>
    <t>13-03-004-26</t>
  </si>
  <si>
    <t>Окраска металлических огрунтованных поверхностей: эмалью ПФ-115</t>
  </si>
  <si>
    <t>ФЕР-2001, 13-03-004-26, приказ Минстроя России № 876/пр от 26.12.2019</t>
  </si>
  <si>
    <t>89</t>
  </si>
  <si>
    <t>т01-01-01-043</t>
  </si>
  <si>
    <t>Погрузка при автомобильных перевозках мусора строительного с погрузкой экскаваторами емкостью ковша до 0,5 м3</t>
  </si>
  <si>
    <t>1 т груза</t>
  </si>
  <si>
    <t>ФССЦпг-2001, т01-01-01-043, приказ Минстроя России №876/пр от 26.12.2019</t>
  </si>
  <si>
    <t>Погрузочно-разгрузочные работы</t>
  </si>
  <si>
    <t>ФССЦпр  пог. а/п (2011,изм. 4-6)</t>
  </si>
  <si>
    <t>90</t>
  </si>
  <si>
    <t>т03-21-01-020</t>
  </si>
  <si>
    <t>Перевозка грузов I класса автомобилями-самосвалами грузоподъемностью 10 т работающих вне карьера на расстояние до 20 км</t>
  </si>
  <si>
    <t>ФССЦпг-2001, т03-21-01-020, приказ Минстроя России №876/пр от 26.12.2019</t>
  </si>
  <si>
    <t>Автомобили-самосвалы</t>
  </si>
  <si>
    <t>Перевозка строительных грузов автомобильным транспортом</t>
  </si>
  <si>
    <t>Перевозка строительных грузов автомобильным транспортом: Автомобили-самосвалы</t>
  </si>
  <si>
    <t>ФССЦпг 03-21, 03-22</t>
  </si>
  <si>
    <t>91</t>
  </si>
  <si>
    <t>т03-21-01-001</t>
  </si>
  <si>
    <t>Перевозка грузов I класса автомобилями-самосвалами грузоподъемностью 10 т работающих вне карьера на расстояние до 1 км</t>
  </si>
  <si>
    <t>ФССЦпг-2001, т03-21-01-001, приказ Минстроя России №876/пр от 26.12.2019</t>
  </si>
  <si>
    <t>усн</t>
  </si>
  <si>
    <t>НДС 20%</t>
  </si>
  <si>
    <t>итого</t>
  </si>
  <si>
    <t>Итого с НДС</t>
  </si>
  <si>
    <t>ндс</t>
  </si>
  <si>
    <t>НДС, 20%</t>
  </si>
  <si>
    <t>всего с ндс</t>
  </si>
  <si>
    <t>НДС</t>
  </si>
  <si>
    <t>Новая переменная</t>
  </si>
  <si>
    <t>Переменная</t>
  </si>
  <si>
    <t>Переменная1</t>
  </si>
  <si>
    <t>СТР_РЕК</t>
  </si>
  <si>
    <t>СТРОИТЕЛЬСТВО и РЕКОНСТРУКЦИЯ  зданий и сооружений всех назначений</t>
  </si>
  <si>
    <t>Строительство и реконструкция</t>
  </si>
  <si>
    <t>РЕМ_ЖИЛ</t>
  </si>
  <si>
    <t>КАП. РЕМ. ЖИЛЫХ И ОБЩЕСТВЕННЫХ ЗДАНИЙ</t>
  </si>
  <si>
    <t>Капитальный ремонт жилых и общественных зданий</t>
  </si>
  <si>
    <t>РЕМ_ПР</t>
  </si>
  <si>
    <t>КАП. РЕМ. ПРОИЗВОДСТВЕННЫХ ЗД. и СООРУЖЕНИЙ,  НАРУЖНЫХ ИНЖЕНЕРНЫХ СЕТЕЙ, УЛИЦ И ДОРОГ МЕСТНОГО ЗНАЧЕНИЯ, ИНЖ,СООРУЖЕНИЙ ( ГИДРОТЕХ,СООРУЖ, МОСТОВ И ПУТЕПРОВОДОВ И Т.П.)</t>
  </si>
  <si>
    <t>Капитальный ремонт прозводственных зданий</t>
  </si>
  <si>
    <t>Территория</t>
  </si>
  <si>
    <t>для территории Российской Федерации, не относящейся к районам Крайнего Севера и приравненным к ним местностям</t>
  </si>
  <si>
    <t>МПРКС</t>
  </si>
  <si>
    <t>для территории Российской Федерации, относящейся к местностям, приравненным к районам Крайнего Севера</t>
  </si>
  <si>
    <t>РКС</t>
  </si>
  <si>
    <t>для территории Российской Федерации, относящейся к районам Крайнего Севера</t>
  </si>
  <si>
    <t>СЛЖ</t>
  </si>
  <si>
    <t>При определении сметной стоимости строительства объектов капитального строительства, относящихся к особо опасным и технически сложным. За исключением АЭС.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</si>
  <si>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</si>
  <si>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Сложные объекты</t>
  </si>
  <si>
    <t>СТНДРТ</t>
  </si>
  <si>
    <t>При определении сметной стоимости строительства объектов капитального строительства (за исключением АЭС).</t>
  </si>
  <si>
    <t>АЭС_ПНР</t>
  </si>
  <si>
    <t>При определении сметной стоимости строительства объектов капитального строительства АЭС. Пусконаладочные работы (за исключением технологического оборудования АЭС).</t>
  </si>
  <si>
    <t>АЭС_ПНР_ТЕХ</t>
  </si>
  <si>
    <t>При определении сметной стоимости строительства объектов капитального строительства АЭС. Пусконаладочные работы технологического оборудования АЭС.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</si>
  <si>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</si>
  <si>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АЭС</t>
  </si>
  <si>
    <t>ОПТ/В</t>
  </si>
  <si>
    <t>{вкл}    - Прокладка  МЕЖДУГОРОДНЫХ  ВОЛОКОННО-ОПТИЧЕСКИХ ЛИНИЙ (для ФЕРм10, отд. 6 разд.3)  {выкл} - Прокладка  ГОРОДСКИХ               ВОЛОКОННО-ОПТИТЕСКИХ ЛИНИЙ  (для ФЕРм10, отд. 6 разд.3)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</si>
  <si>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</si>
  <si>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Прокладка междугородных в/опт. кабелей</t>
  </si>
  <si>
    <t>АВИ</t>
  </si>
  <si>
    <t>(вкл)   -  При работах по ДИСПЕТЧЕРЕЗАЦИИ управления движением АВИАТРАНСПОРТОМ {вкл}  (монтажные работы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</si>
  <si>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</si>
  <si>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Диспетчеризация авитранспорта</t>
  </si>
  <si>
    <t>ЗАКР</t>
  </si>
  <si>
    <t>{вкл}   -  Обслуживающие и сопутстующие работы в тоннелях при  производве работ ЗАКРЫТЫМ СПОСОБОМ   {выкл} - Обслуживающие и сопутстующие работы в тоннелях при  производве работ  ОТКРЫТЫМ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</si>
  <si>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</si>
  <si>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Производство работ закрытым способом (обслуживающие процессы)</t>
  </si>
  <si>
    <t>ГОР</t>
  </si>
  <si>
    <t>(вкл) - ФЕРм-08, выполнение работ на горнорудных объектах  (выкл) - ФЕРм-08, выполнение работ на других объектах</t>
  </si>
  <si>
    <t>Выполнение работ на горнорудных объектах</t>
  </si>
  <si>
    <t>ОБ_ПР</t>
  </si>
  <si>
    <t>Объект производственного назначения</t>
  </si>
  <si>
    <t>ОБ_НПР</t>
  </si>
  <si>
    <t>Объект непроизводственного назначения</t>
  </si>
  <si>
    <t>К_НР_РЕМ</t>
  </si>
  <si>
    <t>при ремонте жилых и общественных зданий если  ( если {РЕМ_ЖИЛ}= [вкл.]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</si>
  <si>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</si>
  <si>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п.25</t>
  </si>
  <si>
    <t>К_СП_РЕМ</t>
  </si>
  <si>
    <t>к нормам СП при капитальном ремонте зданий и сооружений всех назначений ( если или {РЕМ_ЖИЛ}=[вкл] , или (РЕМ_ПР}=[вкл] )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</si>
  <si>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</si>
  <si>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п.16</t>
  </si>
  <si>
    <t>К_НР_СЛЖ</t>
  </si>
  <si>
    <t>При определении сметной стоимости строительства объектов капитального строительства, относящихся к особо опасным и технически сложным. За исключением объектов атомных электрических станций.  ( если {СЛЖ} = [вкл] )</t>
  </si>
  <si>
    <t>п.27 СЛОЖН</t>
  </si>
  <si>
    <t>К_НР_АЭС</t>
  </si>
  <si>
    <t>При определении сметной стоимости строительства объектов капитального строительства, относящихся к особо опасным и технически сложным. Для объектов атомных электрических станций.  ( если {АЭС} = [вкл] )</t>
  </si>
  <si>
    <t>п.27 АЭС</t>
  </si>
  <si>
    <t>Р_ОКР</t>
  </si>
  <si>
    <t>Разрядность округления результата расчета НР и СП  (с 05.04.2020 - до семи знаков после запятой)</t>
  </si>
  <si>
    <t>Лист_НРиСП</t>
  </si>
  <si>
    <t>Уровень цен</t>
  </si>
  <si>
    <t>Индексы за итогом</t>
  </si>
  <si>
    <t>_OBSM_</t>
  </si>
  <si>
    <t>1-100-40</t>
  </si>
  <si>
    <t>Затраты труда рабочих (Средний разряд - 4)</t>
  </si>
  <si>
    <t>чел.-ч.</t>
  </si>
  <si>
    <t>4-100-00</t>
  </si>
  <si>
    <t>Затраты труда машинистов</t>
  </si>
  <si>
    <t>91.06.06-048</t>
  </si>
  <si>
    <t>ФСЭМ-2001, 91.06.06-048 , приказ Минстроя России № 876/пр от 26.12.2019</t>
  </si>
  <si>
    <t>Подъемники одномачтовые, грузоподъемность до 500 кг, высота подъема 45 м</t>
  </si>
  <si>
    <t>маш.-ч.</t>
  </si>
  <si>
    <t>1-100-20</t>
  </si>
  <si>
    <t>Затраты труда рабочих (Средний разряд - 2)</t>
  </si>
  <si>
    <t>1-100-23</t>
  </si>
  <si>
    <t>Затраты труда рабочих (Средний разряд - 2,3)</t>
  </si>
  <si>
    <t>91.18.01-508</t>
  </si>
  <si>
    <t>ФСЭМ-2001, 91.18.01-508 , приказ Минстроя России № 876/пр от 26.12.2019</t>
  </si>
  <si>
    <t>Компрессоры передвижные с электродвигателем, производительность до 5,0 м3/мин</t>
  </si>
  <si>
    <t>91.21.10-003</t>
  </si>
  <si>
    <t>ФСЭМ-2001, 91.21.10-003 , приказ Минстроя России № 876/пр от 26.12.2019</t>
  </si>
  <si>
    <t>Молотки при работе от передвижных компрессорных станций отбойные пневматические</t>
  </si>
  <si>
    <t>1-100-22</t>
  </si>
  <si>
    <t>Затраты труда рабочих (Средний разряд - 2,2)</t>
  </si>
  <si>
    <t>1-100-16</t>
  </si>
  <si>
    <t>Затраты труда рабочих (Средний разряд - 1,6)</t>
  </si>
  <si>
    <t>Рабочий среднего разряда 2</t>
  </si>
  <si>
    <t>1-100-34</t>
  </si>
  <si>
    <t>Затраты труда рабочих (Средний разряд - 3,4)</t>
  </si>
  <si>
    <t>91.06.06-045</t>
  </si>
  <si>
    <t>ФСЭМ-2001, 91.06.06-045 , приказ Минстроя России № 876/пр от 26.12.2019</t>
  </si>
  <si>
    <t>Подъемники одномачтовые, грузоподъемность до 500 кг, высота подъема 15 м</t>
  </si>
  <si>
    <t>01.7.03.01-0001</t>
  </si>
  <si>
    <t>ФССЦ-2001, 01.7.03.01-0001, приказ Минстроя России № 876/пр от 26.12.2019</t>
  </si>
  <si>
    <t>Вода</t>
  </si>
  <si>
    <t>м3</t>
  </si>
  <si>
    <t>01.7.06.01-0042</t>
  </si>
  <si>
    <t>ФССЦ-2001, 01.7.06.01-0042, приказ Минстроя России № 876/пр от 26.12.2019</t>
  </si>
  <si>
    <t>Лента эластичная самоклеящаяся для профилей направляющих 50/30000 мм</t>
  </si>
  <si>
    <t>01.7.06.04-0002</t>
  </si>
  <si>
    <t>ФССЦ-2001, 01.7.06.04-0002, приказ Минстроя России № 876/пр от 26.12.2019</t>
  </si>
  <si>
    <t>Лента бумажная для повышения трещиностойкости стыков ГКЛ и ГВЛ</t>
  </si>
  <si>
    <t>01.7.06.04-0007</t>
  </si>
  <si>
    <t>ФССЦ-2001, 01.7.06.04-0007, приказ Минстроя России № 876/пр от 26.12.2019</t>
  </si>
  <si>
    <t>Лента разделительная для сопряжения потолка из ЛГК со стеной</t>
  </si>
  <si>
    <t>01.7.15.07-0152</t>
  </si>
  <si>
    <t>ФССЦ-2001, 01.7.15.07-0152, приказ Минстроя России № 876/пр от 26.12.2019</t>
  </si>
  <si>
    <t>Дюбели с шурупом, размер 6x35 мм</t>
  </si>
  <si>
    <t>01.7.15.14-0042</t>
  </si>
  <si>
    <t>ФССЦ-2001, 01.7.15.14-0042, приказ Минстроя России № 876/пр от 26.12.2019</t>
  </si>
  <si>
    <t>Шурупы самонарезающий прокалывающий, для крепления металлических профилей или листовых деталей 3,5/9,5 мм</t>
  </si>
  <si>
    <t>01.7.15.14-0044</t>
  </si>
  <si>
    <t>ФССЦ-2001, 01.7.15.14-0044, приказ Минстроя России № 876/пр от 26.12.2019</t>
  </si>
  <si>
    <t>Шурупы самонарезающий прокалывающий, для крепления гипсокартонных листов (ГКЛ, ГКЛВ, ГКЛВО) к каркасу из металлических профилей 3,5/25 мм</t>
  </si>
  <si>
    <t>14.4.01.02-0012</t>
  </si>
  <si>
    <t>ФССЦ-2001, 14.4.01.02-0012, приказ Минстроя России № 876/пр от 26.12.2019</t>
  </si>
  <si>
    <t>Грунтовка укрепляющая, глубокого проникновения, быстросохнущая, паропроницаемая</t>
  </si>
  <si>
    <t>14.5.11.03-0004</t>
  </si>
  <si>
    <t>ФССЦ-2001, 14.5.11.03-0004, приказ Минстроя России № 876/пр от 26.12.2019</t>
  </si>
  <si>
    <t>Смесь сухая шпатлевочная на основе гипса, универсальная с полимерными добавками, крупность заполнителя не более 0,2 мм, прочность на изгиб не менее 1,0 МПа</t>
  </si>
  <si>
    <t>1-100-36</t>
  </si>
  <si>
    <t>Затраты труда рабочих (Средний разряд - 3,6)</t>
  </si>
  <si>
    <t>91.06.05-013</t>
  </si>
  <si>
    <t>ФСЭМ-2001, 91.06.05-013 , приказ Минстроя России № 876/пр от 26.12.2019</t>
  </si>
  <si>
    <t>Погрузчики на автомобильном ходу, грузоподъемность до 2 т</t>
  </si>
  <si>
    <t>91.14.02-001</t>
  </si>
  <si>
    <t>ФСЭМ-2001, 91.14.02-001 , приказ Минстроя России № 876/пр от 26.12.2019</t>
  </si>
  <si>
    <t>Автомобили бортовые, грузоподъемность до 5 т</t>
  </si>
  <si>
    <t>01.7.15.06-0111</t>
  </si>
  <si>
    <t>ФССЦ-2001, 01.7.15.06-0111, приказ Минстроя России № 876/пр от 26.12.2019</t>
  </si>
  <si>
    <t>Гвозди строительные</t>
  </si>
  <si>
    <t>01.7.15.14-0185</t>
  </si>
  <si>
    <t>ФССЦ-2001, 01.7.15.14-0185, приказ Минстроя России № 876/пр от 26.12.2019</t>
  </si>
  <si>
    <t>Шурупы с потайной головкой черные 8,0x100 мм</t>
  </si>
  <si>
    <t>01.7.17.11-0011</t>
  </si>
  <si>
    <t>ФССЦ-2001, 01.7.17.11-0011, приказ Минстроя России № 876/пр от 26.12.2019</t>
  </si>
  <si>
    <t>Шкурка шлифовальная двухслойная с зернистостью 40-25</t>
  </si>
  <si>
    <t>01.7.20.08-0051</t>
  </si>
  <si>
    <t>ФССЦ-2001, 01.7.20.08-0051, приказ Минстроя России № 876/пр от 26.12.2019</t>
  </si>
  <si>
    <t>Ветошь</t>
  </si>
  <si>
    <t>11.1.03.01-0080</t>
  </si>
  <si>
    <t>ФССЦ-2001, 11.1.03.01-0080, приказ Минстроя России № 876/пр от 26.12.2019</t>
  </si>
  <si>
    <t>Бруски обрезные, хвойных пород, длина 4-6,5 м, ширина 75-150 мм, толщина 40-75 мм, сорт IV</t>
  </si>
  <si>
    <t>11.3.03.11-0001</t>
  </si>
  <si>
    <t>ФССЦ-2001, 11.3.03.11-0001, приказ Минстроя России № 876/пр от 26.12.2019</t>
  </si>
  <si>
    <t>Раскладки вертикальные из ПВХ, все размеры</t>
  </si>
  <si>
    <t>11.3.03.11-0002</t>
  </si>
  <si>
    <t>ФССЦ-2001, 11.3.03.11-0002, приказ Минстроя России № 876/пр от 26.12.2019</t>
  </si>
  <si>
    <t>Раскладки горизонтальные из ПВХ, все размеры</t>
  </si>
  <si>
    <t>14.1.02.03-0002</t>
  </si>
  <si>
    <t>ФССЦ-2001, 14.1.02.03-0002, приказ Минстроя России № 876/пр от 26.12.2019</t>
  </si>
  <si>
    <t>Клей ПВА</t>
  </si>
  <si>
    <t>14.5.06.03-0002</t>
  </si>
  <si>
    <t>ФССЦ-2001, 14.5.06.03-0002, приказ Минстроя России № 876/пр от 26.12.2019</t>
  </si>
  <si>
    <t>Паста антисептическая</t>
  </si>
  <si>
    <t>1-100-30</t>
  </si>
  <si>
    <t>Затраты труда рабочих (Средний разряд - 3)</t>
  </si>
  <si>
    <t>1-100-21</t>
  </si>
  <si>
    <t>Затраты труда рабочих (Средний разряд - 2,1)</t>
  </si>
  <si>
    <t>91.06.06-046</t>
  </si>
  <si>
    <t>ФСЭМ-2001, 91.06.06-046 , приказ Минстроя России № 876/пр от 26.12.2019</t>
  </si>
  <si>
    <t>Подъемники одномачтовые, грузоподъемность до 500 кг, высота подъема 25 м</t>
  </si>
  <si>
    <t>91.21.01-012</t>
  </si>
  <si>
    <t>ФСЭМ-2001, 91.21.01-012 , приказ Минстроя России № 876/пр от 26.12.2019</t>
  </si>
  <si>
    <t>Агрегаты окрасочные высокого давления для окраски поверхностей конструкций, мощность 1 кВт</t>
  </si>
  <si>
    <t>1-100-32</t>
  </si>
  <si>
    <t>Затраты труда рабочих (Средний разряд - 3,2)</t>
  </si>
  <si>
    <t>91.06.05-011</t>
  </si>
  <si>
    <t>ФСЭМ-2001, 91.06.05-011 , приказ Минстроя России № 876/пр от 26.12.2019</t>
  </si>
  <si>
    <t>Погрузчики, грузоподъемность 5 т</t>
  </si>
  <si>
    <t>91.07.08-024</t>
  </si>
  <si>
    <t>ФСЭМ-2001, 91.07.08-024 , приказ Минстроя России № 876/пр от 26.12.2019</t>
  </si>
  <si>
    <t>Растворосмесители передвижные, объем барабана 65 л</t>
  </si>
  <si>
    <t>1-100-27</t>
  </si>
  <si>
    <t>Затраты труда рабочих (Средний разряд - 2,7)</t>
  </si>
  <si>
    <t>01.7.03.04-0001</t>
  </si>
  <si>
    <t>ФССЦ-2001, 01.7.03.04-0001, приказ Минстроя России № 876/пр от 26.12.2019</t>
  </si>
  <si>
    <t>Электроэнергия</t>
  </si>
  <si>
    <t>КВТ-Ч</t>
  </si>
  <si>
    <t>01.7.06.14-0034</t>
  </si>
  <si>
    <t>ФССЦ-2001, 01.7.06.14-0034, приказ Минстроя России № 876/пр от 26.12.2019</t>
  </si>
  <si>
    <t>Лента полимерная (фторопластовая) для сварки линолеума</t>
  </si>
  <si>
    <t>01.7.15.04-0048</t>
  </si>
  <si>
    <t>ФССЦ-2001, 01.7.15.04-0048, приказ Минстроя России № 876/пр от 26.12.2019</t>
  </si>
  <si>
    <t>Винты самонарезающие, остроконечные, длина 35 мм</t>
  </si>
  <si>
    <t>01.7.15.07-0021</t>
  </si>
  <si>
    <t>ФССЦ-2001, 01.7.15.07-0021, приказ Минстроя России № 876/пр от 26.12.2019</t>
  </si>
  <si>
    <t>Дюбели распорные полиэтиленовые, размер 6x30 мм</t>
  </si>
  <si>
    <t>1000 ШТ</t>
  </si>
  <si>
    <t>91.05.05-015</t>
  </si>
  <si>
    <t>ФСЭМ-2001, 91.05.05-015 , приказ Минстроя России № 876/пр от 26.12.2019</t>
  </si>
  <si>
    <t>Краны на автомобильном ходу, грузоподъемность 16 т</t>
  </si>
  <si>
    <t>1-100-35</t>
  </si>
  <si>
    <t>Затраты труда рабочих (Средний разряд - 3,5)</t>
  </si>
  <si>
    <t>01.7.02.10-0005</t>
  </si>
  <si>
    <t>ФССЦ-2001, 01.7.02.10-0005, приказ Минстроя России № 876/пр от 26.12.2019</t>
  </si>
  <si>
    <t>Бумага ролевая</t>
  </si>
  <si>
    <t>02.4.03.02-0001</t>
  </si>
  <si>
    <t>ФССЦ-2001, 02.4.03.02-0001, приказ Минстроя России № 876/пр от 26.12.2019</t>
  </si>
  <si>
    <t>Щебень пористый из металлургического шлака М 600, фракция 5-10 мм</t>
  </si>
  <si>
    <t>14.5.11.01-0001</t>
  </si>
  <si>
    <t>ФССЦ-2001, 14.5.11.01-0001, приказ Минстроя России № 876/пр от 26.12.2019</t>
  </si>
  <si>
    <t>Шпатлевка клеевая</t>
  </si>
  <si>
    <t>1-100-26</t>
  </si>
  <si>
    <t>Затраты труда рабочих (Средний разряд - 2,6)</t>
  </si>
  <si>
    <t>91.17.04-042</t>
  </si>
  <si>
    <t>ФСЭМ-2001, 91.17.04-042 , приказ Минстроя России № 876/пр от 26.12.2019</t>
  </si>
  <si>
    <t>Аппараты для газовой сварки и резки</t>
  </si>
  <si>
    <t>01.3.02.03-0001</t>
  </si>
  <si>
    <t>ФССЦ-2001, 01.3.02.03-0001, приказ Минстроя России № 876/пр от 26.12.2019</t>
  </si>
  <si>
    <t>Ацетилен газообразный технический</t>
  </si>
  <si>
    <t>01.3.02.08-0001</t>
  </si>
  <si>
    <t>ФССЦ-2001, 01.3.02.08-0001, приказ Минстроя России № 876/пр от 26.12.2019</t>
  </si>
  <si>
    <t>Кислород газообразный технический</t>
  </si>
  <si>
    <t>91.05.01-017</t>
  </si>
  <si>
    <t>ФСЭМ-2001, 91.05.01-017 , приказ Минстроя России № 876/пр от 26.12.2019</t>
  </si>
  <si>
    <t>Краны башенные, грузоподъемность 8 т</t>
  </si>
  <si>
    <t>03.1.02.03-0015</t>
  </si>
  <si>
    <t>ФССЦ-2001, 03.1.02.03-0015, приказ Минстроя России № 876/пр от 26.12.2019</t>
  </si>
  <si>
    <t>Известь строительная негашеная хлорная, марка А</t>
  </si>
  <si>
    <t>18.5.08.13-0011</t>
  </si>
  <si>
    <t>ФССЦ-2001, 18.5.08.13-0011, приказ Минстроя России № 876/пр от 26.12.2019</t>
  </si>
  <si>
    <t>Трубки защитные гофрированные</t>
  </si>
  <si>
    <t>1-100-44</t>
  </si>
  <si>
    <t>Затраты труда рабочих (Средний разряд - 4,4)</t>
  </si>
  <si>
    <t>1-100-53</t>
  </si>
  <si>
    <t>Затраты труда рабочих (Средний разряд - 5,3)</t>
  </si>
  <si>
    <t>91.10.09-011</t>
  </si>
  <si>
    <t>ФСЭМ-2001, 91.10.09-011 , приказ Минстроя России № 876/пр от 26.12.2019</t>
  </si>
  <si>
    <t>Установки для гидравлических испытаний трубопроводов, давление нагнетания низкое 0,1 МПа (1 кгс/см2), высокое 10 МПа (100 кгс/см2)</t>
  </si>
  <si>
    <t>01.7.07.29-0101</t>
  </si>
  <si>
    <t>ФССЦ-2001, 01.7.07.29-0101, приказ Минстроя России № 876/пр от 26.12.2019</t>
  </si>
  <si>
    <t>Очес льняной</t>
  </si>
  <si>
    <t>14.4.02.04-0142</t>
  </si>
  <si>
    <t>ФССЦ-2001, 14.4.02.04-0142, приказ Минстроя России № 876/пр от 26.12.2019</t>
  </si>
  <si>
    <t>Краска масляная земляная МА-0115, мумия, сурик железный</t>
  </si>
  <si>
    <t>14.5.05.01-0012</t>
  </si>
  <si>
    <t>ФССЦ-2001, 14.5.05.01-0012, приказ Минстроя России № 876/пр от 26.12.2019</t>
  </si>
  <si>
    <t>Олифа комбинированная для разведения масляных густотертых красок и для внешних работ по деревянным поверхностям</t>
  </si>
  <si>
    <t>01.3.05.38-0031</t>
  </si>
  <si>
    <t>ФССЦ-2001, 01.3.05.38-0031, приказ Минстроя России № 876/пр от 26.12.2019</t>
  </si>
  <si>
    <t>Водный раствор нитрата и карбоната</t>
  </si>
  <si>
    <t>01.7.15.07-0024</t>
  </si>
  <si>
    <t>ФССЦ-2001, 01.7.15.07-0024, приказ Минстроя России № 876/пр от 26.12.2019</t>
  </si>
  <si>
    <t>Дюбели распорные полиэтиленовые, размер 8x40 мм</t>
  </si>
  <si>
    <t>01.7.15.14-0194</t>
  </si>
  <si>
    <t>ФССЦ-2001, 01.7.15.14-0194, приказ Минстроя России № 876/пр от 26.12.2019</t>
  </si>
  <si>
    <t>Шурупы с шестигранной головкой 12x70 мм</t>
  </si>
  <si>
    <t>18.5.08.05-0031</t>
  </si>
  <si>
    <t>ФССЦ-2001, 18.5.08.05-0031, приказ Минстроя России № 876/пр от 26.12.2019</t>
  </si>
  <si>
    <t>Кронштейны для радиаторов стальных спаренных</t>
  </si>
  <si>
    <t>КОМПЛ</t>
  </si>
  <si>
    <t>08.1.02.11-0001</t>
  </si>
  <si>
    <t>ФССЦ-2001, 08.1.02.11-0001, приказ Минстроя России № 876/пр от 26.12.2019</t>
  </si>
  <si>
    <t>Поковки из квадратных заготовок, масса 1,8 кг</t>
  </si>
  <si>
    <t>1-100-47</t>
  </si>
  <si>
    <t>Затраты труда рабочих (Средний разряд - 4,7)</t>
  </si>
  <si>
    <t>91.06.03-060</t>
  </si>
  <si>
    <t>ФСЭМ-2001, 91.06.03-060 , приказ Минстроя России № 876/пр от 26.12.2019</t>
  </si>
  <si>
    <t>Лебедки электрические тяговым усилием до 5,79 кН (0,59 т)</t>
  </si>
  <si>
    <t>14.4.01.01-0003</t>
  </si>
  <si>
    <t>ФССЦ-2001, 14.4.01.01-0003, приказ Минстроя России № 876/пр от 26.12.2019</t>
  </si>
  <si>
    <t>Грунтовка ГФ-021</t>
  </si>
  <si>
    <t>14.5.09.02-0002</t>
  </si>
  <si>
    <t>ФССЦ-2001, 14.5.09.02-0002, приказ Минстроя России № 876/пр от 26.12.2019</t>
  </si>
  <si>
    <t>Ксилол нефтяной, марка А</t>
  </si>
  <si>
    <t>14.4.04.08-0003</t>
  </si>
  <si>
    <t>ФССЦ-2001, 14.4.04.08-0003, приказ Минстроя России № 876/пр от 26.12.2019</t>
  </si>
  <si>
    <t>Эмаль ПФ-115, серая</t>
  </si>
  <si>
    <t>14.5.09.11-0102</t>
  </si>
  <si>
    <t>ФССЦ-2001, 14.5.09.11-0102, приказ Минстроя России № 876/пр от 26.12.2019</t>
  </si>
  <si>
    <t>Уайт-спирит</t>
  </si>
  <si>
    <t>20.3.03.04</t>
  </si>
  <si>
    <t>Светильники с люминесцентными или ртутными лампами</t>
  </si>
  <si>
    <t>01.6.01.02</t>
  </si>
  <si>
    <t>Листы гипсокартонные</t>
  </si>
  <si>
    <t>11.2.04.05</t>
  </si>
  <si>
    <t>Рейки деревянные</t>
  </si>
  <si>
    <t>11.2.11.01</t>
  </si>
  <si>
    <t>Листы облицовочные декоративные</t>
  </si>
  <si>
    <t>14.5.05.01</t>
  </si>
  <si>
    <t>Олифы комбинированные</t>
  </si>
  <si>
    <t>14.4.01.02</t>
  </si>
  <si>
    <t>Грунтовки на акриловой основе</t>
  </si>
  <si>
    <t>04.3.02.09</t>
  </si>
  <si>
    <t>Смесь сухая для заделки швов</t>
  </si>
  <si>
    <t>06.2.05.04</t>
  </si>
  <si>
    <t>Плитки рядовые</t>
  </si>
  <si>
    <t>14.1.06.02</t>
  </si>
  <si>
    <t>Клей для облицовочных работ (сухая смесь)</t>
  </si>
  <si>
    <t>01.6.03.04</t>
  </si>
  <si>
    <t>Линолеум</t>
  </si>
  <si>
    <t>11.3.03.06</t>
  </si>
  <si>
    <t>Плинтуса для полов пластиковые</t>
  </si>
  <si>
    <t>01.7.04.07</t>
  </si>
  <si>
    <t>Скобяные изделия</t>
  </si>
  <si>
    <t>11.2.02.01</t>
  </si>
  <si>
    <t>Блоки дверные</t>
  </si>
  <si>
    <t>14.3.01.03</t>
  </si>
  <si>
    <t>Грунтовка</t>
  </si>
  <si>
    <t>01.6.02.01</t>
  </si>
  <si>
    <t>Обои</t>
  </si>
  <si>
    <t>14.3.02.01</t>
  </si>
  <si>
    <t>Краска акриловая</t>
  </si>
  <si>
    <t>18.1.09.06</t>
  </si>
  <si>
    <t>Арматура запорная к многослойным металлополимерным трубам</t>
  </si>
  <si>
    <t>23.1.02.07</t>
  </si>
  <si>
    <t>Крепления</t>
  </si>
  <si>
    <t>24.2.02.01</t>
  </si>
  <si>
    <t>Трубы металлополимерные многослойные</t>
  </si>
  <si>
    <t>24.2.06.01</t>
  </si>
  <si>
    <t>Фасонные и соединительные части к многослойным металлополимерным трубам</t>
  </si>
  <si>
    <t>18.5.10.06</t>
  </si>
  <si>
    <t>Радиаторы стальные</t>
  </si>
  <si>
    <t>квт</t>
  </si>
  <si>
    <t>11.2.07.12</t>
  </si>
  <si>
    <t>Изделия штучные</t>
  </si>
  <si>
    <t>09.2.03.02</t>
  </si>
  <si>
    <t>Профили стыкоперекрывающие из алюминиевых сплавов (порожки) с покрытием</t>
  </si>
  <si>
    <t>ГОСУДАРСТВЕННЫЕ СМЕТНЫЕ НОРМАТИВЫ (ФЕР-2020), утвержденные приказами Минстроя России от 26 декабря 2019 г.   № 876/пр (в редакции приказов Минстроя РФ от 30 марта 2020 г. № 172/пр, от 1 июня 2020 г. № 294/пр, от 30 июня 2020 г. № 352/пр,   от 20 октября 2020 г. № 636/пр, от 9 февраля 2021 г. № 51/пр, от 24 мая 2021 г. № 321/пр, от 24 июня 2021 г. № 408/пр,  от 14 октября 2021 № 746/пр, от 20 декабря 2021 № 962/пр)</t>
  </si>
  <si>
    <t>Поправка: М-ка 421/пр 04.08.20 п.58 п.п. б)  Наименование: При отсутствии необходимых норм (единичных расценок), включенных в сборники ГЭСНр (ФЕРр, ТЕРр), сметные затраты на работы по капитальному ремонту и реконструкции объектов капитального строительства могут быть определены по сметным нормам, включенным в ГЭСН (ФЕР, ТЕР), аналогичным технологическим процессам в новом строительстве, в том числе по возведению новых конструктивных элементов</t>
  </si>
  <si>
    <t>Поправка: МР 519/пр п.6.7.1  Наименование: При выполнении работ в существующих зданиях и сооружениях, аналогичных процессам при новом строительстве (кроме работ по нормам сборника № 46 «Работы при реконструкции зданий и сооружений»)  Поправка: Сб. 18, ОУ, п.1.18.16  Наименование: Тепловое испытание систем отопления с проверкой равномерности прогрева отопительных приборов</t>
  </si>
  <si>
    <t>(наименование стройки)</t>
  </si>
  <si>
    <t xml:space="preserve">Номер заказа   </t>
  </si>
  <si>
    <t>(наименование работ и затрат, наименование объекта)</t>
  </si>
  <si>
    <t>текущая цена</t>
  </si>
  <si>
    <t>Сметная стоимость</t>
  </si>
  <si>
    <t>тыс. руб.</t>
  </si>
  <si>
    <t xml:space="preserve">     Строительные работы</t>
  </si>
  <si>
    <t xml:space="preserve">     Монтажные работы</t>
  </si>
  <si>
    <t xml:space="preserve">     Оборудование</t>
  </si>
  <si>
    <t xml:space="preserve">     Прочие работы</t>
  </si>
  <si>
    <t>Нормативная трудоемкость</t>
  </si>
  <si>
    <t>чел. -ч.</t>
  </si>
  <si>
    <t>Средства на оплату труда</t>
  </si>
  <si>
    <t>Строительный объем:</t>
  </si>
  <si>
    <t>Стоимость ед.стр.объема:</t>
  </si>
  <si>
    <t>№ п/п</t>
  </si>
  <si>
    <t>Шифр расценки и коды ресурсов</t>
  </si>
  <si>
    <t>Наименование работ и затрат</t>
  </si>
  <si>
    <t>Ед. изм.</t>
  </si>
  <si>
    <t>Кол-во единиц</t>
  </si>
  <si>
    <t>Цена на ед. изм.</t>
  </si>
  <si>
    <t>Попра-вочные коэфф.</t>
  </si>
  <si>
    <t>Стоимость в ценах 2001г.</t>
  </si>
  <si>
    <t>Пункт коэфф. пересчета</t>
  </si>
  <si>
    <t>Коэфф. пересчета</t>
  </si>
  <si>
    <t>Стоимость в текущих ценах</t>
  </si>
  <si>
    <t>ЗТР всего чел.-час</t>
  </si>
  <si>
    <t>Составлена в ценах I квартал 2024 года</t>
  </si>
  <si>
    <t>ФЕРр 67-8-2</t>
  </si>
  <si>
    <t>Зарплата</t>
  </si>
  <si>
    <t>в т.ч. зарплата машинистов</t>
  </si>
  <si>
    <t>НР от ФОТ</t>
  </si>
  <si>
    <t>%</t>
  </si>
  <si>
    <t>СП от ФОТ</t>
  </si>
  <si>
    <t>Затраты труда</t>
  </si>
  <si>
    <t>чел-ч</t>
  </si>
  <si>
    <r>
      <t>Светильник светодиодный ДВО-45w 595х595х19 4000K 4200Лм призма IP20</t>
    </r>
    <r>
      <rPr>
        <i/>
        <sz val="10"/>
        <rFont val="Arial"/>
        <family val="2"/>
        <charset val="204"/>
      </rPr>
      <t xml:space="preserve">
167.29 = [1 668.23 / 1.2 /  8.9] +  5% Трансп +  2% Заг.скл</t>
    </r>
  </si>
  <si>
    <t>ФЕРр 57-2-1</t>
  </si>
  <si>
    <t>ФЕРр 57-3-1</t>
  </si>
  <si>
    <t>ФЕРр 56-9-1</t>
  </si>
  <si>
    <t>ФЕРр 56-10-1</t>
  </si>
  <si>
    <t>ФЕРр 62-47-1</t>
  </si>
  <si>
    <t>ФЕРр 63-5-1</t>
  </si>
  <si>
    <t>ФЕР 10-05-012-01</t>
  </si>
  <si>
    <t>ФЕР 15-01-050-01</t>
  </si>
  <si>
    <t>ФЕРр 63-14-3</t>
  </si>
  <si>
    <t>Материальные ресурсы</t>
  </si>
  <si>
    <t>ФССЦ 01.6.04.02-0001</t>
  </si>
  <si>
    <t>Исключен
Панели потолочные декоративные</t>
  </si>
  <si>
    <t>ФССЦ 01.7.15.07-0082</t>
  </si>
  <si>
    <t>Исключен
Дюбель-гвозди, размер 6x39 мм</t>
  </si>
  <si>
    <t>ФССЦ 09.2.01.05-0051</t>
  </si>
  <si>
    <t>Исключен
Подвес в комплекте</t>
  </si>
  <si>
    <r>
      <t>Потолочная панель ARMSTRONG BAJKAL 90RH Board 12 мм</t>
    </r>
    <r>
      <rPr>
        <i/>
        <sz val="10"/>
        <rFont val="Arial"/>
        <family val="2"/>
        <charset val="204"/>
      </rPr>
      <t xml:space="preserve">
51.91 = [517.64 / 1.2 /  8.9] +  5% Трансп +  2% Заг.скл</t>
    </r>
  </si>
  <si>
    <r>
      <t>Каркас для подвесного потолка Армстронг</t>
    </r>
    <r>
      <rPr>
        <i/>
        <sz val="10"/>
        <rFont val="Arial"/>
        <family val="2"/>
        <charset val="204"/>
      </rPr>
      <t xml:space="preserve">
26.48 = [264.04 / 1.2 /  8.9] +  5% Трансп +  2% Заг.скл</t>
    </r>
  </si>
  <si>
    <t>ФЕРр 57-2-3</t>
  </si>
  <si>
    <t>ФЕРр 63-7-5</t>
  </si>
  <si>
    <t>ФЕР 15-07-003-02</t>
  </si>
  <si>
    <r>
      <t>Грунтовка глубокого проникновения Bergauf TiefGrunt</t>
    </r>
    <r>
      <rPr>
        <i/>
        <sz val="10"/>
        <rFont val="Arial"/>
        <family val="2"/>
        <charset val="204"/>
      </rPr>
      <t xml:space="preserve">
8.76 = [87.4 / 1.2 /  8.9] +  5% Трансп +  2% Заг.скл</t>
    </r>
  </si>
  <si>
    <t>ФЕР 11-01-027-06</t>
  </si>
  <si>
    <t>ФССЦ 06.2.02.01-0071</t>
  </si>
  <si>
    <t>Исключен
Плитка керамическая неглазурованная для полов гладкая, одноцветная с красителем квадратная и прямоугольная</t>
  </si>
  <si>
    <t>ФССЦ 04.3.02.09-0102</t>
  </si>
  <si>
    <t>Исключен
Смеси сухие водостойкие для затирки межплиточных швов шириной 1-6 мм (различная цветовая гамма)</t>
  </si>
  <si>
    <t>ФССЦ 14.1.06.02-1002</t>
  </si>
  <si>
    <t>Исключен
Клей плиточный</t>
  </si>
  <si>
    <r>
      <t>Керамогранит Quadro Decor Соль-Перец 30x30 см 1.44 м2 неполированный цвет серый</t>
    </r>
    <r>
      <rPr>
        <i/>
        <sz val="10"/>
        <rFont val="Arial"/>
        <family val="2"/>
        <charset val="204"/>
      </rPr>
      <t xml:space="preserve">
63.87 = [637 / 1.2 /  8.9] +  5% Трансп +  2% Заг.скл</t>
    </r>
  </si>
  <si>
    <r>
      <t>Клей для плитки Церезит CM11 Pro</t>
    </r>
    <r>
      <rPr>
        <i/>
        <sz val="10"/>
        <rFont val="Arial"/>
        <family val="2"/>
        <charset val="204"/>
      </rPr>
      <t xml:space="preserve">
2.17 = [21.64 / 1.2 /  8.9] +  5% Трансп +  2% Заг.скл</t>
    </r>
  </si>
  <si>
    <r>
      <t>Затирка цементная Церезит CE 33 Comfort цвет белый</t>
    </r>
    <r>
      <rPr>
        <i/>
        <sz val="10"/>
        <rFont val="Arial"/>
        <family val="2"/>
        <charset val="204"/>
      </rPr>
      <t xml:space="preserve">
13.54 = [135 / 1.2 /  8.9] +  5% Трансп +  2% Заг.скл</t>
    </r>
  </si>
  <si>
    <t>ФССЦ 07.2.06.03-0119</t>
  </si>
  <si>
    <t>Исключен
Профиль направляющий, стальной, оцинкованный, для монтажа гипсовых перегородок и подвесных потолков, длина 3 м, сечение 28x27x0,6 мм</t>
  </si>
  <si>
    <t>ФССЦ 07.2.06.03-0155</t>
  </si>
  <si>
    <t>Исключен
Профиль направляющий, стальной, оцинкованный, для монтажа гипсовых перегородок и подвесных потолков, длина 3 м, сечение 60x27x0,6 мм</t>
  </si>
  <si>
    <t>ФССЦ 07.2.06.04-0076</t>
  </si>
  <si>
    <t>Исключен
Подвес прямой, стальной, оцинкованный, для закрепления (подвески) потолочных профилей к несущим конструкциям</t>
  </si>
  <si>
    <t>ФССЦ 07.2.06.05-0017</t>
  </si>
  <si>
    <t>Исключен
Соединитель профиля одноуровневый потолочный</t>
  </si>
  <si>
    <r>
      <t>Листы ГКЛ влагостойкие толщ.12,5 мм</t>
    </r>
    <r>
      <rPr>
        <i/>
        <sz val="10"/>
        <rFont val="Arial"/>
        <family val="2"/>
        <charset val="204"/>
      </rPr>
      <t xml:space="preserve">
20.39 = [203.33 / 1.2 /  8.9] +  5% Трансп +  2% Заг.скл</t>
    </r>
  </si>
  <si>
    <r>
      <t>Профиль направляющий, стальной, оцинкованный, для монтажа гипсовых перегородок и подвесных потолков, длина 3 м, сечение 28x27x0,6 мм</t>
    </r>
    <r>
      <rPr>
        <i/>
        <sz val="10"/>
        <rFont val="Arial"/>
        <family val="2"/>
        <charset val="204"/>
      </rPr>
      <t xml:space="preserve">
8.53 = [85 / 1.2 /  8.9] +  5% Трансп +  2% Заг.скл</t>
    </r>
  </si>
  <si>
    <r>
      <t>Профиль направляющий, стальной, оцинкованный, для монтажа гипсовых перегородок и подвесных потолков, длина 3 м, сечение 60x27x0,6 мм</t>
    </r>
    <r>
      <rPr>
        <i/>
        <sz val="10"/>
        <rFont val="Arial"/>
        <family val="2"/>
        <charset val="204"/>
      </rPr>
      <t xml:space="preserve">
7.34 = [73.3 / 1.2 /  8.9] +  5% Трансп +  2% Заг.скл</t>
    </r>
  </si>
  <si>
    <r>
      <t>Подвес прямой, стальной, оцинкованный, для закрепления (подвески) потолочных профилей к несущим конструкциям</t>
    </r>
    <r>
      <rPr>
        <i/>
        <sz val="10"/>
        <rFont val="Arial"/>
        <family val="2"/>
        <charset val="204"/>
      </rPr>
      <t xml:space="preserve">
2.71 = [27 / 1.2 /  8.9] +  5% Трансп +  2% Заг.скл</t>
    </r>
  </si>
  <si>
    <r>
      <t>Соединитель профиля одноуровневый потолочный</t>
    </r>
    <r>
      <rPr>
        <i/>
        <sz val="10"/>
        <rFont val="Arial"/>
        <family val="2"/>
        <charset val="204"/>
      </rPr>
      <t xml:space="preserve">
13.71 = [136.67 / 1.2 /  8.9] +  5% Трансп +  2% Заг.скл</t>
    </r>
  </si>
  <si>
    <r>
      <t>Грунтовка глубокого проникновения Bergauf TiefGrunt</t>
    </r>
    <r>
      <rPr>
        <i/>
        <sz val="10"/>
        <rFont val="Arial"/>
        <family val="2"/>
        <charset val="204"/>
      </rPr>
      <t xml:space="preserve">
9.04 = [90.1 / 1.2 /  8.9] +  5% Трансп +  2% Заг.скл</t>
    </r>
  </si>
  <si>
    <t>ФЕР 15-01-019-05</t>
  </si>
  <si>
    <r>
      <t>Плитка настенная Шахтинская Плитка 20x30 см цвет белый матовый</t>
    </r>
    <r>
      <rPr>
        <i/>
        <sz val="10"/>
        <rFont val="Arial"/>
        <family val="2"/>
        <charset val="204"/>
      </rPr>
      <t xml:space="preserve">
37.71 = [376 / 1.2 /  8.9] +  5% Трансп +  2% Заг.скл</t>
    </r>
  </si>
  <si>
    <t>ФЕР 11-01-036-04</t>
  </si>
  <si>
    <r>
      <t>Линолеум «Noventis Мастер цемент» 32 класс</t>
    </r>
    <r>
      <rPr>
        <i/>
        <sz val="10"/>
        <rFont val="Arial"/>
        <family val="2"/>
        <charset val="204"/>
      </rPr>
      <t xml:space="preserve">
52.85 = [527 / 1.2 /  8.9] +  5% Трансп +  2% Заг.скл</t>
    </r>
  </si>
  <si>
    <t>ФЕР 11-01-040-03</t>
  </si>
  <si>
    <t>ФССЦ 11.3.03.14-0001</t>
  </si>
  <si>
    <t>Исключен
Заглушки торцевые для плинтуса из ПВХ, левые, высота 48 мм</t>
  </si>
  <si>
    <t>ФССЦ 11.3.03.14-0011</t>
  </si>
  <si>
    <t>Исключен
Заглушки торцевые для плинтуса из ПВХ, правые, высота 48 мм</t>
  </si>
  <si>
    <t>ФССЦ 11.3.03.14-0021</t>
  </si>
  <si>
    <t>Исключен
Соединитель для плинтуса из ПВХ, высота 48 мм</t>
  </si>
  <si>
    <t>ФССЦ 11.3.03.14-0031</t>
  </si>
  <si>
    <t>Исключен
Уголок внутренний для плинтуса из ПВХ, высота 48 мм</t>
  </si>
  <si>
    <t>ФССЦ 11.3.03.14-0033</t>
  </si>
  <si>
    <t>Исключен
Уголок наружный для плинтуса из ПВХ, высота 48 мм</t>
  </si>
  <si>
    <r>
      <t>Плинтус напольный Artens ПВХ Кратос 5.5 см</t>
    </r>
    <r>
      <rPr>
        <i/>
        <sz val="10"/>
        <rFont val="Arial"/>
        <family val="2"/>
        <charset val="204"/>
      </rPr>
      <t xml:space="preserve">
14.14 = [141 / 1.2 /  8.9] +  5% Трансп +  2% Заг.скл</t>
    </r>
  </si>
  <si>
    <r>
      <t>Комплектующие: углы, соединители,заглушки</t>
    </r>
    <r>
      <rPr>
        <i/>
        <sz val="10"/>
        <rFont val="Arial"/>
        <family val="2"/>
        <charset val="204"/>
      </rPr>
      <t xml:space="preserve">
3.01 = [30 / 1.2 /  8.9] +  5% Трансп +  2% Заг.скл</t>
    </r>
  </si>
  <si>
    <t>ФЕР 10-04-013-01</t>
  </si>
  <si>
    <r>
      <t>Дверь межкомнатная глухая с замком и петлями в комплекте Пьемонт 60x200 см Hardflex цвет белый жемчуг</t>
    </r>
    <r>
      <rPr>
        <i/>
        <sz val="10"/>
        <rFont val="Arial"/>
        <family val="2"/>
        <charset val="204"/>
      </rPr>
      <t xml:space="preserve">
570.10 = [5 685 / 1.2 /  8.9] +  5% Трансп +  2% Заг.скл</t>
    </r>
  </si>
  <si>
    <r>
      <t>Дверь межкомнатная глухая с замком и петлями в комплекте Пьемонт 80x200 см Hardflex цвет белый жемчуг</t>
    </r>
    <r>
      <rPr>
        <i/>
        <sz val="10"/>
        <rFont val="Arial"/>
        <family val="2"/>
        <charset val="204"/>
      </rPr>
      <t xml:space="preserve">
570.10 = [5 685 / 1.2 /  8.9] +  5% Трансп +  2% Заг.скл</t>
    </r>
  </si>
  <si>
    <r>
      <t>Комплект дверной коробки Пьемонт/Линеа 2100x70 мм цвет платина светлая 2.5 шт.</t>
    </r>
    <r>
      <rPr>
        <i/>
        <sz val="10"/>
        <rFont val="Arial"/>
        <family val="2"/>
        <charset val="204"/>
      </rPr>
      <t xml:space="preserve">
170.88 = [1 704 / 1.2 /  8.9] +  5% Трансп +  2% Заг.скл</t>
    </r>
  </si>
  <si>
    <r>
      <t>Комплект наличников Пьемонт/Линеа 2150x70x8 мм Hard Flex цвет платина светлая 5 шт.</t>
    </r>
    <r>
      <rPr>
        <i/>
        <sz val="10"/>
        <rFont val="Arial"/>
        <family val="2"/>
        <charset val="204"/>
      </rPr>
      <t xml:space="preserve">
155.64 = [1 552 / 1.2 /  8.9] +  5% Трансп +  2% Заг.скл</t>
    </r>
  </si>
  <si>
    <r>
      <t>Дверная ручка Нора-М</t>
    </r>
    <r>
      <rPr>
        <i/>
        <sz val="10"/>
        <rFont val="Arial"/>
        <family val="2"/>
        <charset val="204"/>
      </rPr>
      <t xml:space="preserve">
126.15 = [1 258 / 1.2 /  8.9] +  5% Трансп +  2% Заг.скл</t>
    </r>
  </si>
  <si>
    <t>ФЕР 15-04-006-03</t>
  </si>
  <si>
    <t>ФЕР 15-06-001-02</t>
  </si>
  <si>
    <t>ФССЦ 14.1.03.01-0001</t>
  </si>
  <si>
    <t>Исключен
Клей для обоев КМЦ</t>
  </si>
  <si>
    <r>
      <t>Обои под покраску флизелиновые Полосы Elysium Фактура 1.06x25 м Е 55825</t>
    </r>
    <r>
      <rPr>
        <i/>
        <sz val="10"/>
        <rFont val="Arial"/>
        <family val="2"/>
        <charset val="204"/>
      </rPr>
      <t xml:space="preserve">
6.34 = [63.2 / 1.2 /  8.9] +  5% Трансп +  2% Заг.скл</t>
    </r>
  </si>
  <si>
    <r>
      <t>Клей для флизелиновых обоев 560 г.</t>
    </r>
    <r>
      <rPr>
        <i/>
        <sz val="10"/>
        <rFont val="Arial"/>
        <family val="2"/>
        <charset val="204"/>
      </rPr>
      <t xml:space="preserve">
61.98 = [618 / 1.2 /  8.9] +  5% Трансп +  2% Заг.скл</t>
    </r>
  </si>
  <si>
    <t>ФЕР 15-04-007-01</t>
  </si>
  <si>
    <t>ФССЦ 14.5.11.02-0101</t>
  </si>
  <si>
    <t>Исключен
Шпатлевка водно-дисперсионная</t>
  </si>
  <si>
    <r>
      <t>Краска акриловая ВД-АК-230 Моя краска Интерьерная белая База А</t>
    </r>
    <r>
      <rPr>
        <i/>
        <sz val="10"/>
        <rFont val="Arial"/>
        <family val="2"/>
        <charset val="204"/>
      </rPr>
      <t xml:space="preserve">
9.33 = [93 / 1.2 /  8.9] +  5% Трансп +  2% Заг.скл</t>
    </r>
  </si>
  <si>
    <r>
      <t>Шпатлевка гипсовая  типа Unis Блик</t>
    </r>
    <r>
      <rPr>
        <i/>
        <sz val="10"/>
        <rFont val="Arial"/>
        <family val="2"/>
        <charset val="204"/>
      </rPr>
      <t xml:space="preserve">
2.38 = [23.68 / 1.2 /  8.9] +  5% Трансп +  2% Заг.скл</t>
    </r>
  </si>
  <si>
    <t>ФЕРр 65-19-1</t>
  </si>
  <si>
    <t>ФЕРр 65-1-4</t>
  </si>
  <si>
    <t>ФЕР 16-03-001-09</t>
  </si>
  <si>
    <r>
      <t>Труба PPR PN25, SDR6 (50x8.3), DN32, армированная стекловолокном</t>
    </r>
    <r>
      <rPr>
        <i/>
        <sz val="10"/>
        <rFont val="Arial"/>
        <family val="2"/>
        <charset val="204"/>
      </rPr>
      <t xml:space="preserve">
43.26 = [431.4 / 1.2 /  8.9] +  5% Трансп +  2% Заг.скл</t>
    </r>
  </si>
  <si>
    <r>
      <t>Тройник PPRC диам.50х32х50 мм</t>
    </r>
    <r>
      <rPr>
        <i/>
        <sz val="10"/>
        <rFont val="Arial"/>
        <family val="2"/>
        <charset val="204"/>
      </rPr>
      <t xml:space="preserve">
9.03 = [90 / 1.2 /  8.9] +  5% Трансп +  2% Заг.скл</t>
    </r>
  </si>
  <si>
    <r>
      <t>Тройник PPRC диам.50х50х50 мм</t>
    </r>
    <r>
      <rPr>
        <i/>
        <sz val="10"/>
        <rFont val="Arial"/>
        <family val="2"/>
        <charset val="204"/>
      </rPr>
      <t xml:space="preserve">
6.82 = [68 / 1.2 /  8.9] +  5% Трансп +  2% Заг.скл</t>
    </r>
  </si>
  <si>
    <r>
      <t>Угольник PPRC д.50х50/90° мм</t>
    </r>
    <r>
      <rPr>
        <i/>
        <sz val="10"/>
        <rFont val="Arial"/>
        <family val="2"/>
        <charset val="204"/>
      </rPr>
      <t xml:space="preserve">
36.93 = [368.4 / 1.2 /  8.9] +  5% Трансп +  2% Заг.скл</t>
    </r>
  </si>
  <si>
    <r>
      <t>Муфта PPRS ПНД соединительная 50x50 мм</t>
    </r>
    <r>
      <rPr>
        <i/>
        <sz val="10"/>
        <rFont val="Arial"/>
        <family val="2"/>
        <charset val="204"/>
      </rPr>
      <t xml:space="preserve">
53.75 = [536 / 1.2 /  8.9] +  5% Трансп +  2% Заг.скл</t>
    </r>
  </si>
  <si>
    <r>
      <t>Муфта комбинированная PP-R НР 50мм х2" внутренняя резьба</t>
    </r>
    <r>
      <rPr>
        <i/>
        <sz val="10"/>
        <rFont val="Arial"/>
        <family val="2"/>
        <charset val="204"/>
      </rPr>
      <t xml:space="preserve">
105.40 = [1 051 / 1.2 /  8.9] +  5% Трансп +  2% Заг.скл</t>
    </r>
  </si>
  <si>
    <r>
      <t>Хомут для труб Mayer 1 1/2" o48-52 мм со шпилькой 8х70 и дюбелем гайка М8</t>
    </r>
    <r>
      <rPr>
        <i/>
        <sz val="10"/>
        <rFont val="Arial"/>
        <family val="2"/>
        <charset val="204"/>
      </rPr>
      <t xml:space="preserve">
3.81 = [38 / 1.2 /  8.9] +  5% Трансп +  2% Заг.скл</t>
    </r>
  </si>
  <si>
    <t>ФЕР 16-04-006-05</t>
  </si>
  <si>
    <t>ФЕР 16-03-001-07</t>
  </si>
  <si>
    <t>ФЕР 16-04-006-03</t>
  </si>
  <si>
    <r>
      <t>Труба PPR PN25, SDR6 (32x5.4), DN20, армированная стекловолокном</t>
    </r>
    <r>
      <rPr>
        <i/>
        <sz val="10"/>
        <rFont val="Arial"/>
        <family val="2"/>
        <charset val="204"/>
      </rPr>
      <t xml:space="preserve">
16.54 = [165 / 1.2 /  8.9] +  5% Трансп +  2% Заг.скл</t>
    </r>
  </si>
  <si>
    <r>
      <t>Муфта переходная PPRC диам.3/4х32 мм наружная резьба</t>
    </r>
    <r>
      <rPr>
        <i/>
        <sz val="10"/>
        <rFont val="Arial"/>
        <family val="2"/>
        <charset val="204"/>
      </rPr>
      <t xml:space="preserve">
26.17 = [261 / 1.2 /  8.9] +  5% Трансп +  2% Заг.скл</t>
    </r>
  </si>
  <si>
    <r>
      <t>Угольник PPRC диам.32х32/90° мм</t>
    </r>
    <r>
      <rPr>
        <i/>
        <sz val="10"/>
        <rFont val="Arial"/>
        <family val="2"/>
        <charset val="204"/>
      </rPr>
      <t xml:space="preserve">
7.95 = [79.2 / 1.2 /  8.9] +  5% Трансп +  2% Заг.скл</t>
    </r>
  </si>
  <si>
    <r>
      <t>Кран шаровой Valfex 3/4" с американкой внутренняя-наружная резьба ручка бабочка</t>
    </r>
    <r>
      <rPr>
        <i/>
        <sz val="10"/>
        <rFont val="Arial"/>
        <family val="2"/>
        <charset val="204"/>
      </rPr>
      <t xml:space="preserve">
58.56 = [584 / 1.2 /  8.9] +  5% Трансп +  2% Заг.скл</t>
    </r>
  </si>
  <si>
    <t>ФЕР 16-07-005-01</t>
  </si>
  <si>
    <t>ФЕР 18-03-001-02</t>
  </si>
  <si>
    <r>
      <t>Радиатор Royal Thermo Vittoria 500/80 биметалл 8 секций боковое подключение цвет белый, 1,24кВт</t>
    </r>
    <r>
      <rPr>
        <i/>
        <sz val="10"/>
        <rFont val="Arial"/>
        <family val="2"/>
        <charset val="204"/>
      </rPr>
      <t xml:space="preserve">
577.63 = [5 760 / 1.2 /  8.9] +  5% Трансп +  2% Заг.скл</t>
    </r>
  </si>
  <si>
    <r>
      <t>Комплект для подключения радиатора Valfex 1"x3/4" без кронштейнов</t>
    </r>
    <r>
      <rPr>
        <i/>
        <sz val="10"/>
        <rFont val="Arial"/>
        <family val="2"/>
        <charset val="204"/>
      </rPr>
      <t xml:space="preserve">
27.61 = [275.29 / 1.2 /  8.9] +  5% Трансп +  2% Заг.скл</t>
    </r>
  </si>
  <si>
    <t>ФЕР 10-01-059-01</t>
  </si>
  <si>
    <t>ФССЦ 11.2.07.12-0011</t>
  </si>
  <si>
    <t>Исключен
Штапик (раскладка), размер 19x19 мм</t>
  </si>
  <si>
    <r>
      <t>Экраны для радиатора размером 0,9х0,6 м.</t>
    </r>
    <r>
      <rPr>
        <i/>
        <sz val="10"/>
        <rFont val="Arial"/>
        <family val="2"/>
        <charset val="204"/>
      </rPr>
      <t xml:space="preserve">
106.29 = [1 060 / 1.2 /  8.9] +  5% Трансп +  2% Заг.скл</t>
    </r>
  </si>
  <si>
    <t>ФЕР 11-01-049-01</t>
  </si>
  <si>
    <r>
      <t>Уголок для ступени Alprofi 200 см цвет серый</t>
    </r>
    <r>
      <rPr>
        <i/>
        <sz val="10"/>
        <rFont val="Arial"/>
        <family val="2"/>
        <charset val="204"/>
      </rPr>
      <t xml:space="preserve">
120.14 = [1 198 / 1.2 /  8.9] +  5% Трансп +  2% Заг.скл</t>
    </r>
  </si>
  <si>
    <t>ФЕР 13-03-002-04</t>
  </si>
  <si>
    <t>ФЕР 13-03-004-26</t>
  </si>
  <si>
    <t>ФССЦ 01-01-01-043</t>
  </si>
  <si>
    <t>ФССЦ 03-21-01-020</t>
  </si>
  <si>
    <t>ФССЦ 03-21-01-001</t>
  </si>
  <si>
    <t xml:space="preserve">   </t>
  </si>
  <si>
    <t xml:space="preserve">Объемы согласовал  </t>
  </si>
  <si>
    <t>[должность,подпись(инициалы,фамилия)]</t>
  </si>
  <si>
    <t xml:space="preserve">Составил  </t>
  </si>
  <si>
    <t xml:space="preserve">Проверил  </t>
  </si>
  <si>
    <t>Ремонт помещений, системы отопления и крыльца здания столовой инв. № 10-00000050</t>
  </si>
  <si>
    <t>Приложение № 2</t>
  </si>
  <si>
    <t xml:space="preserve">к техническому заданию </t>
  </si>
  <si>
    <t>Генеральный директор</t>
  </si>
  <si>
    <t>АО "Ульяновскцемент</t>
  </si>
  <si>
    <t>Е.Н. Соколов</t>
  </si>
  <si>
    <r>
      <t>"     "</t>
    </r>
    <r>
      <rPr>
        <sz val="12"/>
        <color theme="1"/>
        <rFont val="Times New Roman"/>
        <family val="1"/>
        <charset val="204"/>
      </rPr>
      <t xml:space="preserve"> </t>
    </r>
    <r>
      <rPr>
        <u/>
        <sz val="12"/>
        <color theme="1"/>
        <rFont val="Times New Roman"/>
        <family val="2"/>
        <charset val="204"/>
      </rPr>
      <t xml:space="preserve">                       </t>
    </r>
    <r>
      <rPr>
        <sz val="12"/>
        <color theme="1"/>
        <rFont val="Times New Roman"/>
        <family val="1"/>
        <charset val="204"/>
      </rPr>
      <t>20</t>
    </r>
    <r>
      <rPr>
        <u/>
        <sz val="12"/>
        <color theme="1"/>
        <rFont val="Times New Roman"/>
        <family val="2"/>
        <charset val="204"/>
      </rPr>
      <t>24г.</t>
    </r>
  </si>
  <si>
    <t>Дефектная ведомость №1</t>
  </si>
  <si>
    <t xml:space="preserve">Всего с понижающим коэффициентом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</si>
</sst>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\-\ #,##0.00"/>
    <numFmt numFmtId="165" formatCode="#,##0.00############;[Red]\-\ #,##0.00############"/>
  </numFmts>
  <fonts count="22" x14ac:knownFonts="1">
    <font>
      <sz val="10"/>
      <name val="Arial"/>
      <charset val="204"/>
    </font>
    <font>
      <b/>
      <sz val="10"/>
      <color indexed="12"/>
      <name val="Arial"/>
      <charset val="204"/>
    </font>
    <font>
      <b/>
      <sz val="10"/>
      <color indexed="16"/>
      <name val="Arial"/>
      <charset val="204"/>
    </font>
    <font>
      <b/>
      <sz val="10"/>
      <color indexed="20"/>
      <name val="Arial"/>
      <charset val="204"/>
    </font>
    <font>
      <b/>
      <sz val="10"/>
      <color indexed="17"/>
      <name val="Arial"/>
      <charset val="204"/>
    </font>
    <font>
      <b/>
      <sz val="10"/>
      <color indexed="14"/>
      <name val="Arial"/>
      <charset val="204"/>
    </font>
    <font>
      <sz val="10"/>
      <color indexed="17"/>
      <name val="Arial"/>
      <charset val="204"/>
    </font>
    <font>
      <sz val="10"/>
      <color indexed="12"/>
      <name val="Arial"/>
      <charset val="204"/>
    </font>
    <font>
      <sz val="10"/>
      <color indexed="14"/>
      <name val="Arial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3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i/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9"/>
      <name val="Arial"/>
      <family val="2"/>
      <charset val="204"/>
    </font>
    <font>
      <u/>
      <sz val="12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wrapText="1"/>
    </xf>
    <xf numFmtId="0" fontId="11" fillId="0" borderId="0" xfId="0" applyFont="1" applyBorder="1"/>
    <xf numFmtId="0" fontId="11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0" fontId="14" fillId="0" borderId="0" xfId="0" applyFont="1" applyBorder="1" applyAlignment="1">
      <alignment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top"/>
    </xf>
    <xf numFmtId="0" fontId="14" fillId="0" borderId="0" xfId="0" applyFont="1" applyAlignment="1">
      <alignment horizontal="right"/>
    </xf>
    <xf numFmtId="0" fontId="11" fillId="0" borderId="0" xfId="0" applyFont="1" applyAlignment="1">
      <alignment horizontal="right" vertical="top"/>
    </xf>
    <xf numFmtId="0" fontId="16" fillId="0" borderId="0" xfId="0" applyFont="1" applyAlignment="1">
      <alignment horizontal="right" vertical="top"/>
    </xf>
    <xf numFmtId="0" fontId="16" fillId="0" borderId="0" xfId="0" applyFont="1" applyAlignment="1">
      <alignment horizontal="left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9" fillId="0" borderId="0" xfId="0" applyFont="1" applyAlignment="1">
      <alignment vertical="top" wrapText="1"/>
    </xf>
    <xf numFmtId="164" fontId="0" fillId="0" borderId="0" xfId="0" applyNumberFormat="1"/>
    <xf numFmtId="0" fontId="11" fillId="0" borderId="2" xfId="0" applyFont="1" applyBorder="1"/>
    <xf numFmtId="0" fontId="0" fillId="0" borderId="2" xfId="0" applyBorder="1"/>
    <xf numFmtId="0" fontId="9" fillId="0" borderId="2" xfId="0" applyFont="1" applyBorder="1" applyAlignment="1">
      <alignment vertical="top" wrapText="1"/>
    </xf>
    <xf numFmtId="0" fontId="11" fillId="0" borderId="0" xfId="0" applyFont="1" applyAlignment="1">
      <alignment vertical="center"/>
    </xf>
    <xf numFmtId="0" fontId="14" fillId="0" borderId="0" xfId="0" applyFont="1"/>
    <xf numFmtId="0" fontId="11" fillId="0" borderId="0" xfId="0" applyFont="1" applyAlignment="1">
      <alignment horizontal="left" wrapText="1"/>
    </xf>
    <xf numFmtId="0" fontId="17" fillId="0" borderId="0" xfId="0" applyFont="1" applyAlignment="1">
      <alignment horizontal="right" wrapText="1"/>
    </xf>
    <xf numFmtId="164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164" fontId="17" fillId="0" borderId="0" xfId="0" applyNumberFormat="1" applyFont="1" applyAlignment="1">
      <alignment horizontal="right"/>
    </xf>
    <xf numFmtId="0" fontId="9" fillId="0" borderId="0" xfId="0" applyFont="1" applyAlignment="1">
      <alignment horizontal="right" wrapText="1"/>
    </xf>
    <xf numFmtId="0" fontId="17" fillId="0" borderId="2" xfId="0" applyFont="1" applyBorder="1" applyAlignment="1">
      <alignment horizontal="right" wrapText="1"/>
    </xf>
    <xf numFmtId="0" fontId="11" fillId="0" borderId="2" xfId="0" applyFont="1" applyBorder="1" applyAlignment="1">
      <alignment horizontal="right"/>
    </xf>
    <xf numFmtId="164" fontId="11" fillId="0" borderId="2" xfId="0" applyNumberFormat="1" applyFont="1" applyBorder="1" applyAlignment="1">
      <alignment horizontal="right"/>
    </xf>
    <xf numFmtId="0" fontId="11" fillId="0" borderId="2" xfId="0" applyFont="1" applyBorder="1" applyAlignment="1">
      <alignment horizontal="right" wrapText="1"/>
    </xf>
    <xf numFmtId="164" fontId="10" fillId="0" borderId="2" xfId="0" applyNumberFormat="1" applyFont="1" applyBorder="1" applyAlignment="1">
      <alignment horizontal="right"/>
    </xf>
    <xf numFmtId="164" fontId="19" fillId="0" borderId="0" xfId="0" applyNumberFormat="1" applyFont="1" applyAlignment="1">
      <alignment horizontal="right"/>
    </xf>
    <xf numFmtId="0" fontId="10" fillId="0" borderId="2" xfId="0" applyFont="1" applyBorder="1" applyAlignment="1">
      <alignment horizontal="right"/>
    </xf>
    <xf numFmtId="164" fontId="10" fillId="0" borderId="0" xfId="0" applyNumberFormat="1" applyFont="1" applyAlignment="1">
      <alignment horizontal="right"/>
    </xf>
    <xf numFmtId="0" fontId="11" fillId="0" borderId="2" xfId="0" quotePrefix="1" applyFont="1" applyBorder="1" applyAlignment="1">
      <alignment horizontal="right" wrapText="1"/>
    </xf>
    <xf numFmtId="0" fontId="11" fillId="0" borderId="0" xfId="0" quotePrefix="1" applyFont="1" applyAlignment="1">
      <alignment horizontal="right" wrapText="1"/>
    </xf>
    <xf numFmtId="0" fontId="11" fillId="0" borderId="0" xfId="0" applyFont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164" fontId="9" fillId="0" borderId="0" xfId="0" applyNumberFormat="1" applyFont="1" applyAlignment="1">
      <alignment horizontal="left"/>
    </xf>
    <xf numFmtId="0" fontId="15" fillId="0" borderId="2" xfId="0" applyFont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164" fontId="19" fillId="3" borderId="0" xfId="0" applyNumberFormat="1" applyFont="1" applyFill="1" applyAlignment="1">
      <alignment horizontal="right"/>
    </xf>
    <xf numFmtId="164" fontId="14" fillId="0" borderId="1" xfId="0" applyNumberFormat="1" applyFont="1" applyBorder="1" applyAlignment="1">
      <alignment horizontal="right"/>
    </xf>
    <xf numFmtId="164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 wrapText="1"/>
    </xf>
    <xf numFmtId="0" fontId="12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vertical="top"/>
    </xf>
    <xf numFmtId="0" fontId="11" fillId="0" borderId="0" xfId="0" applyFont="1" applyAlignment="1">
      <alignment horizontal="left" wrapText="1"/>
    </xf>
    <xf numFmtId="164" fontId="11" fillId="0" borderId="0" xfId="0" applyNumberFormat="1" applyFont="1" applyAlignment="1">
      <alignment horizontal="right"/>
    </xf>
    <xf numFmtId="165" fontId="11" fillId="0" borderId="0" xfId="0" applyNumberFormat="1" applyFont="1" applyAlignment="1">
      <alignment horizontal="right"/>
    </xf>
    <xf numFmtId="164" fontId="11" fillId="3" borderId="0" xfId="0" applyNumberFormat="1" applyFont="1" applyFill="1" applyAlignment="1">
      <alignment horizontal="right"/>
    </xf>
    <xf numFmtId="0" fontId="11" fillId="0" borderId="2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/>
    <xf numFmtId="0" fontId="14" fillId="0" borderId="0" xfId="0" applyFont="1" applyAlignment="1">
      <alignment horizontal="right"/>
    </xf>
    <xf numFmtId="164" fontId="11" fillId="2" borderId="0" xfId="0" applyNumberFormat="1" applyFont="1" applyFill="1" applyAlignment="1">
      <alignment horizontal="right"/>
    </xf>
    <xf numFmtId="0" fontId="13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575"/>
  <sheetViews>
    <sheetView tabSelected="1" view="pageBreakPreview" topLeftCell="A539" zoomScaleNormal="100" zoomScaleSheetLayoutView="100" workbookViewId="0">
      <selection activeCell="I21" sqref="I21:J21"/>
    </sheetView>
  </sheetViews>
  <sheetFormatPr defaultRowHeight="12.75" x14ac:dyDescent="0.2"/>
  <cols>
    <col min="1" max="1" width="5.7109375" customWidth="1"/>
    <col min="2" max="2" width="11.7109375" customWidth="1"/>
    <col min="3" max="3" width="40.7109375" customWidth="1"/>
    <col min="4" max="5" width="10.7109375" customWidth="1"/>
    <col min="6" max="8" width="12.7109375" customWidth="1"/>
    <col min="9" max="9" width="17.7109375" customWidth="1"/>
    <col min="10" max="10" width="8.7109375" customWidth="1"/>
    <col min="11" max="11" width="12.7109375" customWidth="1"/>
    <col min="12" max="12" width="9.7109375" customWidth="1"/>
    <col min="15" max="29" width="0" hidden="1" customWidth="1"/>
    <col min="30" max="30" width="147.7109375" hidden="1" customWidth="1"/>
    <col min="31" max="31" width="0" hidden="1" customWidth="1"/>
    <col min="32" max="32" width="91.7109375" hidden="1" customWidth="1"/>
    <col min="33" max="36" width="0" hidden="1" customWidth="1"/>
  </cols>
  <sheetData>
    <row r="1" spans="1:30" x14ac:dyDescent="0.2">
      <c r="A1" s="9" t="str">
        <f>Source!B1</f>
        <v>Smeta.RU  (495) 974-1589</v>
      </c>
      <c r="L1" s="58" t="s">
        <v>1020</v>
      </c>
    </row>
    <row r="2" spans="1:30" x14ac:dyDescent="0.2">
      <c r="L2" s="58" t="s">
        <v>1021</v>
      </c>
    </row>
    <row r="3" spans="1:30" x14ac:dyDescent="0.2">
      <c r="L3" s="58"/>
    </row>
    <row r="4" spans="1:30" x14ac:dyDescent="0.2">
      <c r="L4" s="58" t="s">
        <v>1022</v>
      </c>
    </row>
    <row r="5" spans="1:30" x14ac:dyDescent="0.2">
      <c r="L5" s="58" t="s">
        <v>1023</v>
      </c>
    </row>
    <row r="6" spans="1:30" x14ac:dyDescent="0.2">
      <c r="L6" s="58" t="s">
        <v>1024</v>
      </c>
    </row>
    <row r="7" spans="1:30" ht="15.75" x14ac:dyDescent="0.2">
      <c r="L7" s="59" t="s">
        <v>1025</v>
      </c>
    </row>
    <row r="10" spans="1:30" ht="15.75" x14ac:dyDescent="0.25">
      <c r="A10" s="14"/>
      <c r="B10" s="77" t="s">
        <v>4</v>
      </c>
      <c r="C10" s="77"/>
      <c r="D10" s="77"/>
      <c r="E10" s="77"/>
      <c r="F10" s="77"/>
      <c r="G10" s="77"/>
      <c r="H10" s="77"/>
      <c r="I10" s="77"/>
      <c r="J10" s="77"/>
      <c r="K10" s="77"/>
      <c r="L10" s="14"/>
    </row>
    <row r="11" spans="1:30" ht="14.25" x14ac:dyDescent="0.2">
      <c r="A11" s="15"/>
      <c r="B11" s="82" t="s">
        <v>865</v>
      </c>
      <c r="C11" s="82"/>
      <c r="D11" s="82"/>
      <c r="E11" s="82"/>
      <c r="F11" s="82"/>
      <c r="G11" s="82"/>
      <c r="H11" s="82"/>
      <c r="I11" s="82"/>
      <c r="J11" s="82"/>
      <c r="K11" s="82"/>
      <c r="L11" s="14"/>
    </row>
    <row r="12" spans="1:30" ht="14.25" x14ac:dyDescent="0.2">
      <c r="A12" s="11"/>
      <c r="B12" s="11"/>
      <c r="C12" s="11"/>
      <c r="D12" s="11"/>
      <c r="E12" s="11"/>
      <c r="F12" s="65" t="s">
        <v>866</v>
      </c>
      <c r="G12" s="65"/>
      <c r="H12" s="68" t="str">
        <f>IF(Source!F12&lt;&gt;"Новый объект", Source!F12, "")</f>
        <v>1</v>
      </c>
      <c r="I12" s="68"/>
      <c r="J12" s="68"/>
      <c r="K12" s="68"/>
      <c r="L12" s="16"/>
    </row>
    <row r="13" spans="1:30" ht="15.75" x14ac:dyDescent="0.25">
      <c r="A13" s="17"/>
      <c r="B13" s="77" t="str">
        <f>CONCATENATE( "ЛОКАЛЬНАЯ СМЕТА № ",IF(Source!F12&lt;&gt;"Новый объект", Source!F12, ""))</f>
        <v>ЛОКАЛЬНАЯ СМЕТА № 1</v>
      </c>
      <c r="C13" s="77"/>
      <c r="D13" s="77"/>
      <c r="E13" s="77"/>
      <c r="F13" s="77"/>
      <c r="G13" s="77"/>
      <c r="H13" s="77"/>
      <c r="I13" s="77"/>
      <c r="J13" s="77"/>
      <c r="K13" s="77"/>
      <c r="L13" s="17"/>
    </row>
    <row r="14" spans="1:30" ht="18" hidden="1" x14ac:dyDescent="0.25">
      <c r="A14" s="17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17"/>
    </row>
    <row r="15" spans="1:30" ht="14.25" hidden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30" ht="18" x14ac:dyDescent="0.25">
      <c r="A16" s="11"/>
      <c r="B16" s="79" t="str">
        <f>IF(Source!G12&lt;&gt;"Новый объект", Source!G12, "")</f>
        <v>Ремонт помещений, системы отопления и крыльца здания столовой инв. № 10-00000050</v>
      </c>
      <c r="C16" s="79"/>
      <c r="D16" s="79"/>
      <c r="E16" s="79"/>
      <c r="F16" s="79"/>
      <c r="G16" s="79"/>
      <c r="H16" s="79"/>
      <c r="I16" s="79"/>
      <c r="J16" s="79"/>
      <c r="K16" s="79"/>
      <c r="L16" s="18"/>
      <c r="AD16" s="55" t="str">
        <f>IF(Source!G12&lt;&gt;"Новый объект", Source!G12, "")</f>
        <v>Ремонт помещений, системы отопления и крыльца здания столовой инв. № 10-00000050</v>
      </c>
    </row>
    <row r="17" spans="1:12" ht="14.25" x14ac:dyDescent="0.2">
      <c r="A17" s="11"/>
      <c r="B17" s="80" t="s">
        <v>867</v>
      </c>
      <c r="C17" s="80"/>
      <c r="D17" s="80"/>
      <c r="E17" s="80"/>
      <c r="F17" s="80"/>
      <c r="G17" s="80"/>
      <c r="H17" s="80"/>
      <c r="I17" s="80"/>
      <c r="J17" s="80"/>
      <c r="K17" s="80"/>
      <c r="L17" s="14"/>
    </row>
    <row r="18" spans="1:12" ht="14.25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4.25" x14ac:dyDescent="0.2">
      <c r="A19" s="68" t="str">
        <f>CONCATENATE("Основание: ", Source!J12)</f>
        <v>Основание: Дефектная ведомость №1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1:12" ht="14.25" x14ac:dyDescent="0.2">
      <c r="A20" s="11"/>
      <c r="B20" s="11"/>
      <c r="C20" s="11"/>
      <c r="D20" s="11"/>
      <c r="E20" s="19"/>
      <c r="F20" s="19"/>
      <c r="G20" s="81"/>
      <c r="H20" s="81"/>
      <c r="I20" s="81" t="s">
        <v>868</v>
      </c>
      <c r="J20" s="81"/>
      <c r="K20" s="11"/>
      <c r="L20" s="11"/>
    </row>
    <row r="21" spans="1:12" ht="15" x14ac:dyDescent="0.25">
      <c r="A21" s="11"/>
      <c r="B21" s="11"/>
      <c r="C21" s="75" t="s">
        <v>869</v>
      </c>
      <c r="D21" s="75"/>
      <c r="E21" s="75"/>
      <c r="F21" s="75"/>
      <c r="G21" s="69"/>
      <c r="H21" s="69"/>
      <c r="I21" s="62">
        <f>J565/1000</f>
        <v>4716.9228704000006</v>
      </c>
      <c r="J21" s="62"/>
      <c r="K21" s="83" t="s">
        <v>870</v>
      </c>
      <c r="L21" s="83"/>
    </row>
    <row r="22" spans="1:12" ht="14.25" hidden="1" x14ac:dyDescent="0.2">
      <c r="A22" s="11"/>
      <c r="B22" s="11"/>
      <c r="C22" s="73" t="s">
        <v>871</v>
      </c>
      <c r="D22" s="73"/>
      <c r="E22" s="73"/>
      <c r="F22" s="73"/>
      <c r="G22" s="69"/>
      <c r="H22" s="69"/>
      <c r="I22" s="69">
        <f>ROUND((Source!F300)/1000, 2)</f>
        <v>4319.53</v>
      </c>
      <c r="J22" s="69"/>
      <c r="K22" s="74" t="s">
        <v>870</v>
      </c>
      <c r="L22" s="74"/>
    </row>
    <row r="23" spans="1:12" ht="14.25" hidden="1" x14ac:dyDescent="0.2">
      <c r="A23" s="11"/>
      <c r="B23" s="11"/>
      <c r="C23" s="73" t="s">
        <v>872</v>
      </c>
      <c r="D23" s="73"/>
      <c r="E23" s="73"/>
      <c r="F23" s="73"/>
      <c r="G23" s="69"/>
      <c r="H23" s="69"/>
      <c r="I23" s="69">
        <f>ROUND((Source!F301)/1000, 2)</f>
        <v>0</v>
      </c>
      <c r="J23" s="69"/>
      <c r="K23" s="74" t="s">
        <v>870</v>
      </c>
      <c r="L23" s="74"/>
    </row>
    <row r="24" spans="1:12" ht="14.25" hidden="1" x14ac:dyDescent="0.2">
      <c r="A24" s="11"/>
      <c r="B24" s="11"/>
      <c r="C24" s="73" t="s">
        <v>873</v>
      </c>
      <c r="D24" s="73"/>
      <c r="E24" s="73"/>
      <c r="F24" s="73"/>
      <c r="G24" s="69"/>
      <c r="H24" s="69"/>
      <c r="I24" s="69">
        <f>ROUND((Source!F292)/1000, 2)</f>
        <v>0</v>
      </c>
      <c r="J24" s="69"/>
      <c r="K24" s="74" t="s">
        <v>870</v>
      </c>
      <c r="L24" s="74"/>
    </row>
    <row r="25" spans="1:12" ht="14.25" hidden="1" x14ac:dyDescent="0.2">
      <c r="A25" s="11"/>
      <c r="B25" s="11"/>
      <c r="C25" s="73" t="s">
        <v>874</v>
      </c>
      <c r="D25" s="73"/>
      <c r="E25" s="73"/>
      <c r="F25" s="73"/>
      <c r="G25" s="69"/>
      <c r="H25" s="69"/>
      <c r="I25" s="69">
        <f>ROUND((Source!F302+Source!F303)/1000, 2)</f>
        <v>0</v>
      </c>
      <c r="J25" s="69"/>
      <c r="K25" s="74" t="s">
        <v>870</v>
      </c>
      <c r="L25" s="74"/>
    </row>
    <row r="26" spans="1:12" ht="15" hidden="1" x14ac:dyDescent="0.25">
      <c r="A26" s="11"/>
      <c r="B26" s="11"/>
      <c r="C26" s="75" t="s">
        <v>875</v>
      </c>
      <c r="D26" s="75"/>
      <c r="E26" s="75"/>
      <c r="F26" s="75"/>
      <c r="G26" s="69"/>
      <c r="H26" s="69"/>
      <c r="I26" s="69">
        <f>(Source!F305+Source!F306)</f>
        <v>3709.6755947699999</v>
      </c>
      <c r="J26" s="69"/>
      <c r="K26" s="74" t="s">
        <v>876</v>
      </c>
      <c r="L26" s="74"/>
    </row>
    <row r="27" spans="1:12" ht="15" hidden="1" x14ac:dyDescent="0.25">
      <c r="A27" s="11"/>
      <c r="B27" s="11"/>
      <c r="C27" s="75" t="s">
        <v>877</v>
      </c>
      <c r="D27" s="75"/>
      <c r="E27" s="75"/>
      <c r="F27" s="75"/>
      <c r="G27" s="69"/>
      <c r="H27" s="69"/>
      <c r="I27" s="69">
        <f>(Source!F298+ Source!F297)/1000</f>
        <v>1059.8465000000001</v>
      </c>
      <c r="J27" s="69"/>
      <c r="K27" s="74" t="s">
        <v>870</v>
      </c>
      <c r="L27" s="74"/>
    </row>
    <row r="28" spans="1:12" ht="14.25" hidden="1" x14ac:dyDescent="0.2">
      <c r="A28" s="11"/>
      <c r="B28" s="11"/>
      <c r="C28" s="73" t="s">
        <v>358</v>
      </c>
      <c r="D28" s="73"/>
      <c r="E28" s="73"/>
      <c r="F28" s="73"/>
      <c r="G28" s="69"/>
      <c r="H28" s="69"/>
      <c r="I28" s="69"/>
      <c r="J28" s="69"/>
      <c r="K28" s="20" t="s">
        <v>870</v>
      </c>
      <c r="L28" s="11"/>
    </row>
    <row r="29" spans="1:12" ht="15" x14ac:dyDescent="0.25">
      <c r="A29" s="11"/>
      <c r="B29" s="11"/>
      <c r="C29" s="21"/>
      <c r="D29" s="21"/>
      <c r="E29" s="21"/>
      <c r="F29" s="13"/>
      <c r="G29" s="22"/>
      <c r="H29" s="22"/>
      <c r="I29" s="22"/>
      <c r="J29" s="22"/>
      <c r="K29" s="22"/>
      <c r="L29" s="22"/>
    </row>
    <row r="30" spans="1:12" ht="15" hidden="1" x14ac:dyDescent="0.2">
      <c r="A30" s="13" t="s">
        <v>878</v>
      </c>
      <c r="B30" s="11"/>
      <c r="C30" s="11"/>
      <c r="D30" s="12"/>
      <c r="E30" s="11"/>
      <c r="F30" s="11"/>
      <c r="G30" s="23"/>
      <c r="H30" s="23"/>
      <c r="I30" s="24"/>
      <c r="J30" s="23"/>
      <c r="K30" s="23"/>
      <c r="L30" s="23"/>
    </row>
    <row r="31" spans="1:12" ht="15" hidden="1" x14ac:dyDescent="0.2">
      <c r="A31" s="13" t="s">
        <v>879</v>
      </c>
      <c r="B31" s="11"/>
      <c r="C31" s="11"/>
      <c r="D31" s="12"/>
      <c r="E31" s="11"/>
      <c r="F31" s="11"/>
      <c r="G31" s="23"/>
      <c r="H31" s="23"/>
      <c r="I31" s="24"/>
      <c r="J31" s="23"/>
      <c r="K31" s="23"/>
      <c r="L31" s="23"/>
    </row>
    <row r="32" spans="1:12" ht="15" hidden="1" x14ac:dyDescent="0.2">
      <c r="A32" s="11"/>
      <c r="B32" s="11"/>
      <c r="C32" s="10"/>
      <c r="D32" s="10"/>
      <c r="E32" s="10"/>
      <c r="F32" s="10"/>
      <c r="G32" s="23"/>
      <c r="H32" s="23"/>
      <c r="I32" s="24"/>
      <c r="J32" s="23"/>
      <c r="K32" s="23"/>
      <c r="L32" s="23"/>
    </row>
    <row r="33" spans="1:26" ht="14.25" x14ac:dyDescent="0.2">
      <c r="A33" s="72" t="s">
        <v>892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</row>
    <row r="34" spans="1:26" ht="57" x14ac:dyDescent="0.2">
      <c r="A34" s="25" t="s">
        <v>880</v>
      </c>
      <c r="B34" s="25" t="s">
        <v>881</v>
      </c>
      <c r="C34" s="25" t="s">
        <v>882</v>
      </c>
      <c r="D34" s="25" t="s">
        <v>883</v>
      </c>
      <c r="E34" s="25" t="s">
        <v>884</v>
      </c>
      <c r="F34" s="25" t="s">
        <v>885</v>
      </c>
      <c r="G34" s="25" t="s">
        <v>886</v>
      </c>
      <c r="H34" s="25" t="s">
        <v>887</v>
      </c>
      <c r="I34" s="25" t="s">
        <v>888</v>
      </c>
      <c r="J34" s="25" t="s">
        <v>889</v>
      </c>
      <c r="K34" s="25" t="s">
        <v>890</v>
      </c>
      <c r="L34" s="25" t="s">
        <v>891</v>
      </c>
    </row>
    <row r="35" spans="1:26" ht="14.25" x14ac:dyDescent="0.2">
      <c r="A35" s="26">
        <v>1</v>
      </c>
      <c r="B35" s="26">
        <v>2</v>
      </c>
      <c r="C35" s="26">
        <v>3</v>
      </c>
      <c r="D35" s="26">
        <v>4</v>
      </c>
      <c r="E35" s="26">
        <v>5</v>
      </c>
      <c r="F35" s="26">
        <v>6</v>
      </c>
      <c r="G35" s="26">
        <v>7</v>
      </c>
      <c r="H35" s="26">
        <v>8</v>
      </c>
      <c r="I35" s="26">
        <v>9</v>
      </c>
      <c r="J35" s="26">
        <v>10</v>
      </c>
      <c r="K35" s="26">
        <v>11</v>
      </c>
      <c r="L35" s="27">
        <v>12</v>
      </c>
    </row>
    <row r="36" spans="1:26" hidden="1" x14ac:dyDescent="0.2"/>
    <row r="37" spans="1:26" ht="16.5" hidden="1" x14ac:dyDescent="0.25">
      <c r="A37" s="66" t="str">
        <f>CONCATENATE("Локальная смета: ",IF(Source!G20&lt;&gt;"Новая локальная смета", Source!G20, ""))</f>
        <v xml:space="preserve">Локальная смета: 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26" hidden="1" x14ac:dyDescent="0.2"/>
    <row r="39" spans="1:26" ht="16.5" x14ac:dyDescent="0.25">
      <c r="A39" s="66" t="str">
        <f>CONCATENATE("Раздел: ",IF(Source!G24&lt;&gt;"Новый раздел", Source!G24, ""))</f>
        <v>Раздел: Ремонт помещений высотой 2,9 м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26" ht="28.5" x14ac:dyDescent="0.2">
      <c r="A40" s="52">
        <v>1</v>
      </c>
      <c r="B40" s="52" t="s">
        <v>893</v>
      </c>
      <c r="C40" s="52" t="str">
        <f>Source!G28</f>
        <v>Смена светильников: с люминесцентными лампами</v>
      </c>
      <c r="D40" s="36" t="str">
        <f>Source!H28</f>
        <v>100 ШТ</v>
      </c>
      <c r="E40" s="10">
        <f>Source!I28</f>
        <v>1.53</v>
      </c>
      <c r="F40" s="37">
        <f>Source!AL28+Source!AM28+Source!AO28</f>
        <v>1573.45</v>
      </c>
      <c r="G40" s="38"/>
      <c r="H40" s="37"/>
      <c r="I40" s="38" t="str">
        <f>Source!BO28</f>
        <v/>
      </c>
      <c r="J40" s="38"/>
      <c r="K40" s="37"/>
      <c r="L40" s="39"/>
      <c r="S40">
        <f>ROUND((Source!FX28/100)*((ROUND(Source!AF28*Source!I28, 2)+ROUND(Source!AE28*Source!I28, 2))), 2)</f>
        <v>2188.73</v>
      </c>
      <c r="T40">
        <f>Source!X28</f>
        <v>70061.48</v>
      </c>
      <c r="U40">
        <f>ROUND((Source!FY28/100)*((ROUND(Source!AF28*Source!I28, 2)+ROUND(Source!AE28*Source!I28, 2))), 2)</f>
        <v>1154.5</v>
      </c>
      <c r="V40">
        <f>Source!Y28</f>
        <v>36955.51</v>
      </c>
    </row>
    <row r="41" spans="1:26" x14ac:dyDescent="0.2">
      <c r="C41" s="28" t="str">
        <f>"Объем: "&amp;Source!I28&amp;"=153/"&amp;"100"</f>
        <v>Объем: 1,53=153/100</v>
      </c>
    </row>
    <row r="42" spans="1:26" ht="14.25" x14ac:dyDescent="0.2">
      <c r="A42" s="52"/>
      <c r="B42" s="52"/>
      <c r="C42" s="52" t="s">
        <v>894</v>
      </c>
      <c r="D42" s="36"/>
      <c r="E42" s="10"/>
      <c r="F42" s="37">
        <f>Source!AO28</f>
        <v>1570.95</v>
      </c>
      <c r="G42" s="38" t="str">
        <f>Source!DG28</f>
        <v/>
      </c>
      <c r="H42" s="37">
        <f>ROUND(Source!AF28*Source!I28, 2)</f>
        <v>2403.5500000000002</v>
      </c>
      <c r="I42" s="38"/>
      <c r="J42" s="38">
        <f>IF(Source!BA28&lt;&gt; 0, Source!BA28, 1)</f>
        <v>32.01</v>
      </c>
      <c r="K42" s="37">
        <f>Source!S28</f>
        <v>76937.75</v>
      </c>
      <c r="L42" s="39"/>
      <c r="R42">
        <f>H42</f>
        <v>2403.5500000000002</v>
      </c>
    </row>
    <row r="43" spans="1:26" ht="14.25" x14ac:dyDescent="0.2">
      <c r="A43" s="52"/>
      <c r="B43" s="52"/>
      <c r="C43" s="52" t="s">
        <v>340</v>
      </c>
      <c r="D43" s="36"/>
      <c r="E43" s="10"/>
      <c r="F43" s="37">
        <f>Source!AM28</f>
        <v>2.5</v>
      </c>
      <c r="G43" s="38" t="str">
        <f>Source!DE28</f>
        <v/>
      </c>
      <c r="H43" s="37">
        <f>ROUND((((Source!ET28)-(Source!EU28))+Source!AE28)*Source!I28, 2)</f>
        <v>3.83</v>
      </c>
      <c r="I43" s="38"/>
      <c r="J43" s="38">
        <f>IF(Source!BB28&lt;&gt; 0, Source!BB28, 1)</f>
        <v>12.44</v>
      </c>
      <c r="K43" s="37">
        <f>Source!Q28</f>
        <v>47.58</v>
      </c>
      <c r="L43" s="39"/>
    </row>
    <row r="44" spans="1:26" ht="14.25" x14ac:dyDescent="0.2">
      <c r="A44" s="52"/>
      <c r="B44" s="52"/>
      <c r="C44" s="52" t="s">
        <v>895</v>
      </c>
      <c r="D44" s="36"/>
      <c r="E44" s="10"/>
      <c r="F44" s="37">
        <f>Source!AN28</f>
        <v>1.08</v>
      </c>
      <c r="G44" s="38" t="str">
        <f>Source!DF28</f>
        <v/>
      </c>
      <c r="H44" s="40">
        <f>ROUND(Source!AE28*Source!I28, 2)</f>
        <v>1.65</v>
      </c>
      <c r="I44" s="38"/>
      <c r="J44" s="38">
        <f>IF(Source!BS28&lt;&gt; 0, Source!BS28, 1)</f>
        <v>32.01</v>
      </c>
      <c r="K44" s="40">
        <f>Source!R28</f>
        <v>52.89</v>
      </c>
      <c r="L44" s="39"/>
      <c r="R44">
        <f>H44</f>
        <v>1.65</v>
      </c>
    </row>
    <row r="45" spans="1:26" ht="14.25" x14ac:dyDescent="0.2">
      <c r="A45" s="52"/>
      <c r="B45" s="52"/>
      <c r="C45" s="52" t="s">
        <v>896</v>
      </c>
      <c r="D45" s="36" t="s">
        <v>897</v>
      </c>
      <c r="E45" s="10">
        <f>Source!BZ28</f>
        <v>91</v>
      </c>
      <c r="F45" s="54"/>
      <c r="G45" s="38"/>
      <c r="H45" s="37">
        <f>SUM(S40:S47)</f>
        <v>2188.73</v>
      </c>
      <c r="I45" s="41"/>
      <c r="J45" s="35">
        <f>Source!AT28</f>
        <v>91</v>
      </c>
      <c r="K45" s="37">
        <f>SUM(T40:T47)</f>
        <v>70061.48</v>
      </c>
      <c r="L45" s="39"/>
    </row>
    <row r="46" spans="1:26" ht="14.25" x14ac:dyDescent="0.2">
      <c r="A46" s="52"/>
      <c r="B46" s="52"/>
      <c r="C46" s="52" t="s">
        <v>898</v>
      </c>
      <c r="D46" s="36" t="s">
        <v>897</v>
      </c>
      <c r="E46" s="10">
        <f>Source!CA28</f>
        <v>48</v>
      </c>
      <c r="F46" s="54"/>
      <c r="G46" s="38"/>
      <c r="H46" s="37">
        <f>SUM(U40:U47)</f>
        <v>1154.5</v>
      </c>
      <c r="I46" s="41"/>
      <c r="J46" s="35">
        <f>Source!AU28</f>
        <v>48</v>
      </c>
      <c r="K46" s="37">
        <f>SUM(V40:V47)</f>
        <v>36955.51</v>
      </c>
      <c r="L46" s="39"/>
    </row>
    <row r="47" spans="1:26" ht="14.25" x14ac:dyDescent="0.2">
      <c r="A47" s="53"/>
      <c r="B47" s="53"/>
      <c r="C47" s="53" t="s">
        <v>899</v>
      </c>
      <c r="D47" s="42" t="s">
        <v>900</v>
      </c>
      <c r="E47" s="43">
        <f>Source!AQ28</f>
        <v>163.30000000000001</v>
      </c>
      <c r="F47" s="44"/>
      <c r="G47" s="45" t="str">
        <f>Source!DI28</f>
        <v/>
      </c>
      <c r="H47" s="44"/>
      <c r="I47" s="45"/>
      <c r="J47" s="45"/>
      <c r="K47" s="44"/>
      <c r="L47" s="46">
        <f>Source!U28</f>
        <v>249.84900000000002</v>
      </c>
    </row>
    <row r="48" spans="1:26" ht="15" x14ac:dyDescent="0.25">
      <c r="G48" s="61">
        <f>H42+H43+H45+H46</f>
        <v>5750.6100000000006</v>
      </c>
      <c r="H48" s="61"/>
      <c r="J48" s="61">
        <f>K42+K43+K45+K46</f>
        <v>184002.32</v>
      </c>
      <c r="K48" s="61"/>
      <c r="L48" s="47">
        <f>Source!U28</f>
        <v>249.84900000000002</v>
      </c>
      <c r="O48" s="29">
        <f>G48</f>
        <v>5750.6100000000006</v>
      </c>
      <c r="P48" s="29">
        <f>J48</f>
        <v>184002.32</v>
      </c>
      <c r="Q48" s="29">
        <f>L48</f>
        <v>249.84900000000002</v>
      </c>
      <c r="W48">
        <f>IF(Source!BI28&lt;=1,H42+H43+H45+H46, 0)</f>
        <v>5750.6100000000006</v>
      </c>
      <c r="X48">
        <f>IF(Source!BI28=2,H42+H43+H45+H46, 0)</f>
        <v>0</v>
      </c>
      <c r="Y48">
        <f>IF(Source!BI28=3,H42+H43+H45+H46, 0)</f>
        <v>0</v>
      </c>
      <c r="Z48">
        <f>IF(Source!BI28=4,H42+H43+H45+H46, 0)</f>
        <v>0</v>
      </c>
    </row>
    <row r="49" spans="1:26" ht="54" x14ac:dyDescent="0.2">
      <c r="A49" s="53">
        <v>2</v>
      </c>
      <c r="B49" s="53" t="s">
        <v>29</v>
      </c>
      <c r="C49" s="53" t="s">
        <v>901</v>
      </c>
      <c r="D49" s="42" t="str">
        <f>Source!H29</f>
        <v>шт.</v>
      </c>
      <c r="E49" s="43">
        <f>Source!I29</f>
        <v>153</v>
      </c>
      <c r="F49" s="44">
        <f>Source!AL29</f>
        <v>167.29</v>
      </c>
      <c r="G49" s="45" t="str">
        <f>Source!DD29</f>
        <v/>
      </c>
      <c r="H49" s="44">
        <f>ROUND(Source!AC29*Source!I29, 2)</f>
        <v>25595.37</v>
      </c>
      <c r="I49" s="45" t="str">
        <f>Source!BO29</f>
        <v/>
      </c>
      <c r="J49" s="45">
        <f>IF(Source!BC29&lt;&gt; 0, Source!BC29, 1)</f>
        <v>8.9</v>
      </c>
      <c r="K49" s="44">
        <f>Source!P29</f>
        <v>227798.79</v>
      </c>
      <c r="L49" s="48"/>
      <c r="S49">
        <f>ROUND((Source!FX29/100)*((ROUND(Source!AF29*Source!I29, 2)+ROUND(Source!AE29*Source!I29, 2))), 2)</f>
        <v>0</v>
      </c>
      <c r="T49">
        <f>Source!X29</f>
        <v>0</v>
      </c>
      <c r="U49">
        <f>ROUND((Source!FY29/100)*((ROUND(Source!AF29*Source!I29, 2)+ROUND(Source!AE29*Source!I29, 2))), 2)</f>
        <v>0</v>
      </c>
      <c r="V49">
        <f>Source!Y29</f>
        <v>0</v>
      </c>
    </row>
    <row r="50" spans="1:26" ht="15" x14ac:dyDescent="0.25">
      <c r="G50" s="61">
        <f>H49</f>
        <v>25595.37</v>
      </c>
      <c r="H50" s="61"/>
      <c r="J50" s="61">
        <f>K49</f>
        <v>227798.79</v>
      </c>
      <c r="K50" s="61"/>
      <c r="L50" s="47">
        <f>Source!U29</f>
        <v>0</v>
      </c>
      <c r="O50" s="29">
        <f>G50</f>
        <v>25595.37</v>
      </c>
      <c r="P50" s="29">
        <f>J50</f>
        <v>227798.79</v>
      </c>
      <c r="Q50" s="29">
        <f>L50</f>
        <v>0</v>
      </c>
      <c r="W50">
        <f>IF(Source!BI29&lt;=1,H49, 0)</f>
        <v>25595.37</v>
      </c>
      <c r="X50">
        <f>IF(Source!BI29=2,H49, 0)</f>
        <v>0</v>
      </c>
      <c r="Y50">
        <f>IF(Source!BI29=3,H49, 0)</f>
        <v>0</v>
      </c>
      <c r="Z50">
        <f>IF(Source!BI29=4,H49, 0)</f>
        <v>0</v>
      </c>
    </row>
    <row r="51" spans="1:26" ht="28.5" x14ac:dyDescent="0.2">
      <c r="A51" s="52">
        <v>3</v>
      </c>
      <c r="B51" s="52" t="s">
        <v>902</v>
      </c>
      <c r="C51" s="52" t="str">
        <f>Source!G30</f>
        <v>Разборка покрытий полов: из линолеума и релина</v>
      </c>
      <c r="D51" s="36" t="str">
        <f>Source!H30</f>
        <v>100 м2</v>
      </c>
      <c r="E51" s="10">
        <f>Source!I30</f>
        <v>0.16</v>
      </c>
      <c r="F51" s="37">
        <f>Source!AL30+Source!AM30+Source!AO30</f>
        <v>92.9</v>
      </c>
      <c r="G51" s="38"/>
      <c r="H51" s="37"/>
      <c r="I51" s="38" t="str">
        <f>Source!BO30</f>
        <v/>
      </c>
      <c r="J51" s="38"/>
      <c r="K51" s="37"/>
      <c r="L51" s="39"/>
      <c r="S51">
        <f>ROUND((Source!FX30/100)*((ROUND(Source!AF30*Source!I30, 2)+ROUND(Source!AE30*Source!I30, 2))), 2)</f>
        <v>12.9</v>
      </c>
      <c r="T51">
        <f>Source!X30</f>
        <v>412.97</v>
      </c>
      <c r="U51">
        <f>ROUND((Source!FY30/100)*((ROUND(Source!AF30*Source!I30, 2)+ROUND(Source!AE30*Source!I30, 2))), 2)</f>
        <v>7.1</v>
      </c>
      <c r="V51">
        <f>Source!Y30</f>
        <v>227.36</v>
      </c>
    </row>
    <row r="52" spans="1:26" x14ac:dyDescent="0.2">
      <c r="C52" s="28" t="str">
        <f>"Объем: "&amp;Source!I30&amp;"=16/"&amp;"100"</f>
        <v>Объем: 0,16=16/100</v>
      </c>
    </row>
    <row r="53" spans="1:26" ht="14.25" x14ac:dyDescent="0.2">
      <c r="A53" s="52"/>
      <c r="B53" s="52"/>
      <c r="C53" s="52" t="s">
        <v>894</v>
      </c>
      <c r="D53" s="36"/>
      <c r="E53" s="10"/>
      <c r="F53" s="37">
        <f>Source!AO30</f>
        <v>88.84</v>
      </c>
      <c r="G53" s="38" t="str">
        <f>Source!DG30</f>
        <v/>
      </c>
      <c r="H53" s="37">
        <f>ROUND(Source!AF30*Source!I30, 2)</f>
        <v>14.21</v>
      </c>
      <c r="I53" s="38"/>
      <c r="J53" s="38">
        <f>IF(Source!BA30&lt;&gt; 0, Source!BA30, 1)</f>
        <v>32.01</v>
      </c>
      <c r="K53" s="37">
        <f>Source!S30</f>
        <v>455</v>
      </c>
      <c r="L53" s="39"/>
      <c r="R53">
        <f>H53</f>
        <v>14.21</v>
      </c>
    </row>
    <row r="54" spans="1:26" ht="14.25" x14ac:dyDescent="0.2">
      <c r="A54" s="52"/>
      <c r="B54" s="52"/>
      <c r="C54" s="52" t="s">
        <v>340</v>
      </c>
      <c r="D54" s="36"/>
      <c r="E54" s="10"/>
      <c r="F54" s="37">
        <f>Source!AM30</f>
        <v>4.0599999999999996</v>
      </c>
      <c r="G54" s="38" t="str">
        <f>Source!DE30</f>
        <v/>
      </c>
      <c r="H54" s="37">
        <f>ROUND((((Source!ET30)-(Source!EU30))+Source!AE30)*Source!I30, 2)</f>
        <v>0.65</v>
      </c>
      <c r="I54" s="38"/>
      <c r="J54" s="38">
        <f>IF(Source!BB30&lt;&gt; 0, Source!BB30, 1)</f>
        <v>12.44</v>
      </c>
      <c r="K54" s="37">
        <f>Source!Q30</f>
        <v>8.08</v>
      </c>
      <c r="L54" s="39"/>
    </row>
    <row r="55" spans="1:26" ht="14.25" x14ac:dyDescent="0.2">
      <c r="A55" s="52"/>
      <c r="B55" s="52"/>
      <c r="C55" s="52" t="s">
        <v>895</v>
      </c>
      <c r="D55" s="36"/>
      <c r="E55" s="10"/>
      <c r="F55" s="37">
        <f>Source!AN30</f>
        <v>1.76</v>
      </c>
      <c r="G55" s="38" t="str">
        <f>Source!DF30</f>
        <v/>
      </c>
      <c r="H55" s="40">
        <f>ROUND(Source!AE30*Source!I30, 2)</f>
        <v>0.28000000000000003</v>
      </c>
      <c r="I55" s="38"/>
      <c r="J55" s="38">
        <f>IF(Source!BS30&lt;&gt; 0, Source!BS30, 1)</f>
        <v>32.01</v>
      </c>
      <c r="K55" s="40">
        <f>Source!R30</f>
        <v>9.01</v>
      </c>
      <c r="L55" s="39"/>
      <c r="R55">
        <f>H55</f>
        <v>0.28000000000000003</v>
      </c>
    </row>
    <row r="56" spans="1:26" ht="14.25" x14ac:dyDescent="0.2">
      <c r="A56" s="52"/>
      <c r="B56" s="52"/>
      <c r="C56" s="52" t="s">
        <v>896</v>
      </c>
      <c r="D56" s="36" t="s">
        <v>897</v>
      </c>
      <c r="E56" s="10">
        <f>Source!BZ30</f>
        <v>89</v>
      </c>
      <c r="F56" s="54"/>
      <c r="G56" s="38"/>
      <c r="H56" s="37">
        <f>SUM(S51:S59)</f>
        <v>12.9</v>
      </c>
      <c r="I56" s="41"/>
      <c r="J56" s="35">
        <f>Source!AT30</f>
        <v>89</v>
      </c>
      <c r="K56" s="37">
        <f>SUM(T51:T59)</f>
        <v>412.97</v>
      </c>
      <c r="L56" s="39"/>
    </row>
    <row r="57" spans="1:26" ht="14.25" x14ac:dyDescent="0.2">
      <c r="A57" s="52"/>
      <c r="B57" s="52"/>
      <c r="C57" s="52" t="s">
        <v>898</v>
      </c>
      <c r="D57" s="36" t="s">
        <v>897</v>
      </c>
      <c r="E57" s="10">
        <f>Source!CA30</f>
        <v>49</v>
      </c>
      <c r="F57" s="54"/>
      <c r="G57" s="38"/>
      <c r="H57" s="37">
        <f>SUM(U51:U59)</f>
        <v>7.1</v>
      </c>
      <c r="I57" s="41"/>
      <c r="J57" s="35">
        <f>Source!AU30</f>
        <v>49</v>
      </c>
      <c r="K57" s="37">
        <f>SUM(V51:V59)</f>
        <v>227.36</v>
      </c>
      <c r="L57" s="39"/>
    </row>
    <row r="58" spans="1:26" ht="14.25" x14ac:dyDescent="0.2">
      <c r="A58" s="52"/>
      <c r="B58" s="52"/>
      <c r="C58" s="52" t="s">
        <v>899</v>
      </c>
      <c r="D58" s="36" t="s">
        <v>900</v>
      </c>
      <c r="E58" s="10">
        <f>Source!AQ30</f>
        <v>11.39</v>
      </c>
      <c r="F58" s="37"/>
      <c r="G58" s="38" t="str">
        <f>Source!DI30</f>
        <v/>
      </c>
      <c r="H58" s="37"/>
      <c r="I58" s="38"/>
      <c r="J58" s="38"/>
      <c r="K58" s="37"/>
      <c r="L58" s="49">
        <f>Source!U30</f>
        <v>1.8224</v>
      </c>
    </row>
    <row r="59" spans="1:26" ht="14.25" x14ac:dyDescent="0.2">
      <c r="A59" s="53">
        <v>3.1</v>
      </c>
      <c r="B59" s="53" t="s">
        <v>47</v>
      </c>
      <c r="C59" s="53" t="str">
        <f>Source!G31</f>
        <v>Строительный мусор</v>
      </c>
      <c r="D59" s="42" t="str">
        <f>Source!H31</f>
        <v>т</v>
      </c>
      <c r="E59" s="43">
        <f>Source!I31</f>
        <v>7.5200000000000003E-2</v>
      </c>
      <c r="F59" s="44">
        <f>Source!AL31+Source!AM31+Source!AO31</f>
        <v>0</v>
      </c>
      <c r="G59" s="50" t="s">
        <v>3</v>
      </c>
      <c r="H59" s="44">
        <f>ROUND(Source!AC31*Source!I31, 2)+ROUND((((Source!ET31)-(Source!EU31))+Source!AE31)*Source!I31, 2)+ROUND(Source!AF31*Source!I31, 2)</f>
        <v>0</v>
      </c>
      <c r="I59" s="45"/>
      <c r="J59" s="45">
        <f>IF(Source!BC31&lt;&gt; 0, Source!BC31, 1)</f>
        <v>8.9</v>
      </c>
      <c r="K59" s="44">
        <f>Source!O31</f>
        <v>0</v>
      </c>
      <c r="L59" s="48"/>
      <c r="S59">
        <f>ROUND((Source!FX31/100)*((ROUND(Source!AF31*Source!I31, 2)+ROUND(Source!AE31*Source!I31, 2))), 2)</f>
        <v>0</v>
      </c>
      <c r="T59">
        <f>Source!X31</f>
        <v>0</v>
      </c>
      <c r="U59">
        <f>ROUND((Source!FY31/100)*((ROUND(Source!AF31*Source!I31, 2)+ROUND(Source!AE31*Source!I31, 2))), 2)</f>
        <v>0</v>
      </c>
      <c r="V59">
        <f>Source!Y31</f>
        <v>0</v>
      </c>
      <c r="W59">
        <f>IF(Source!BI31&lt;=1,H59, 0)</f>
        <v>0</v>
      </c>
      <c r="X59">
        <f>IF(Source!BI31=2,H59, 0)</f>
        <v>0</v>
      </c>
      <c r="Y59">
        <f>IF(Source!BI31=3,H59, 0)</f>
        <v>0</v>
      </c>
      <c r="Z59">
        <f>IF(Source!BI31=4,H59, 0)</f>
        <v>0</v>
      </c>
    </row>
    <row r="60" spans="1:26" ht="15" x14ac:dyDescent="0.25">
      <c r="G60" s="61">
        <f>H53+H54+H56+H57+SUM(H59:H59)</f>
        <v>34.86</v>
      </c>
      <c r="H60" s="61"/>
      <c r="J60" s="61">
        <f>K53+K54+K56+K57+SUM(K59:K59)</f>
        <v>1103.4099999999999</v>
      </c>
      <c r="K60" s="61"/>
      <c r="L60" s="47">
        <f>Source!U30</f>
        <v>1.8224</v>
      </c>
      <c r="O60" s="29">
        <f>G60</f>
        <v>34.86</v>
      </c>
      <c r="P60" s="29">
        <f>J60</f>
        <v>1103.4099999999999</v>
      </c>
      <c r="Q60" s="29">
        <f>L60</f>
        <v>1.8224</v>
      </c>
      <c r="W60">
        <f>IF(Source!BI30&lt;=1,H53+H54+H56+H57, 0)</f>
        <v>34.86</v>
      </c>
      <c r="X60">
        <f>IF(Source!BI30=2,H53+H54+H56+H57, 0)</f>
        <v>0</v>
      </c>
      <c r="Y60">
        <f>IF(Source!BI30=3,H53+H54+H56+H57, 0)</f>
        <v>0</v>
      </c>
      <c r="Z60">
        <f>IF(Source!BI30=4,H53+H54+H56+H57, 0)</f>
        <v>0</v>
      </c>
    </row>
    <row r="61" spans="1:26" ht="28.5" x14ac:dyDescent="0.2">
      <c r="A61" s="52">
        <v>4</v>
      </c>
      <c r="B61" s="52" t="s">
        <v>903</v>
      </c>
      <c r="C61" s="52" t="str">
        <f>Source!G32</f>
        <v>Разборка плинтусов: деревянных и из пластмассовых материалов</v>
      </c>
      <c r="D61" s="36" t="str">
        <f>Source!H32</f>
        <v>100 м</v>
      </c>
      <c r="E61" s="10">
        <f>Source!I32</f>
        <v>1.4319999999999999</v>
      </c>
      <c r="F61" s="37">
        <f>Source!AL32+Source!AM32+Source!AO32</f>
        <v>29.41</v>
      </c>
      <c r="G61" s="38"/>
      <c r="H61" s="37"/>
      <c r="I61" s="38" t="str">
        <f>Source!BO32</f>
        <v/>
      </c>
      <c r="J61" s="38"/>
      <c r="K61" s="37"/>
      <c r="L61" s="39"/>
      <c r="S61">
        <f>ROUND((Source!FX32/100)*((ROUND(Source!AF32*Source!I32, 2)+ROUND(Source!AE32*Source!I32, 2))), 2)</f>
        <v>37.49</v>
      </c>
      <c r="T61">
        <f>Source!X32</f>
        <v>1199.81</v>
      </c>
      <c r="U61">
        <f>ROUND((Source!FY32/100)*((ROUND(Source!AF32*Source!I32, 2)+ROUND(Source!AE32*Source!I32, 2))), 2)</f>
        <v>20.64</v>
      </c>
      <c r="V61">
        <f>Source!Y32</f>
        <v>660.57</v>
      </c>
    </row>
    <row r="62" spans="1:26" ht="14.25" x14ac:dyDescent="0.2">
      <c r="A62" s="52"/>
      <c r="B62" s="52"/>
      <c r="C62" s="52" t="s">
        <v>894</v>
      </c>
      <c r="D62" s="36"/>
      <c r="E62" s="10"/>
      <c r="F62" s="37">
        <f>Source!AO32</f>
        <v>29.41</v>
      </c>
      <c r="G62" s="38" t="str">
        <f>Source!DG32</f>
        <v/>
      </c>
      <c r="H62" s="37">
        <f>ROUND(Source!AF32*Source!I32, 2)</f>
        <v>42.12</v>
      </c>
      <c r="I62" s="38"/>
      <c r="J62" s="38">
        <f>IF(Source!BA32&lt;&gt; 0, Source!BA32, 1)</f>
        <v>32.01</v>
      </c>
      <c r="K62" s="37">
        <f>Source!S32</f>
        <v>1348.1</v>
      </c>
      <c r="L62" s="39"/>
      <c r="R62">
        <f>H62</f>
        <v>42.12</v>
      </c>
    </row>
    <row r="63" spans="1:26" ht="14.25" x14ac:dyDescent="0.2">
      <c r="A63" s="52"/>
      <c r="B63" s="52"/>
      <c r="C63" s="52" t="s">
        <v>896</v>
      </c>
      <c r="D63" s="36" t="s">
        <v>897</v>
      </c>
      <c r="E63" s="10">
        <f>Source!BZ32</f>
        <v>89</v>
      </c>
      <c r="F63" s="54"/>
      <c r="G63" s="38"/>
      <c r="H63" s="37">
        <f>SUM(S61:S66)</f>
        <v>37.49</v>
      </c>
      <c r="I63" s="41"/>
      <c r="J63" s="35">
        <f>Source!AT32</f>
        <v>89</v>
      </c>
      <c r="K63" s="37">
        <f>SUM(T61:T66)</f>
        <v>1199.81</v>
      </c>
      <c r="L63" s="39"/>
    </row>
    <row r="64" spans="1:26" ht="14.25" x14ac:dyDescent="0.2">
      <c r="A64" s="52"/>
      <c r="B64" s="52"/>
      <c r="C64" s="52" t="s">
        <v>898</v>
      </c>
      <c r="D64" s="36" t="s">
        <v>897</v>
      </c>
      <c r="E64" s="10">
        <f>Source!CA32</f>
        <v>49</v>
      </c>
      <c r="F64" s="54"/>
      <c r="G64" s="38"/>
      <c r="H64" s="37">
        <f>SUM(U61:U66)</f>
        <v>20.64</v>
      </c>
      <c r="I64" s="41"/>
      <c r="J64" s="35">
        <f>Source!AU32</f>
        <v>49</v>
      </c>
      <c r="K64" s="37">
        <f>SUM(V61:V66)</f>
        <v>660.57</v>
      </c>
      <c r="L64" s="39"/>
    </row>
    <row r="65" spans="1:26" ht="14.25" x14ac:dyDescent="0.2">
      <c r="A65" s="52"/>
      <c r="B65" s="52"/>
      <c r="C65" s="52" t="s">
        <v>899</v>
      </c>
      <c r="D65" s="36" t="s">
        <v>900</v>
      </c>
      <c r="E65" s="10">
        <f>Source!AQ32</f>
        <v>3.77</v>
      </c>
      <c r="F65" s="37"/>
      <c r="G65" s="38" t="str">
        <f>Source!DI32</f>
        <v/>
      </c>
      <c r="H65" s="37"/>
      <c r="I65" s="38"/>
      <c r="J65" s="38"/>
      <c r="K65" s="37"/>
      <c r="L65" s="49">
        <f>Source!U32</f>
        <v>5.3986399999999994</v>
      </c>
    </row>
    <row r="66" spans="1:26" ht="14.25" x14ac:dyDescent="0.2">
      <c r="A66" s="53">
        <v>4.0999999999999996</v>
      </c>
      <c r="B66" s="53" t="s">
        <v>47</v>
      </c>
      <c r="C66" s="53" t="str">
        <f>Source!G33</f>
        <v>Строительный мусор</v>
      </c>
      <c r="D66" s="42" t="str">
        <f>Source!H33</f>
        <v>т</v>
      </c>
      <c r="E66" s="43">
        <f>Source!I33</f>
        <v>0.15751999999999999</v>
      </c>
      <c r="F66" s="44">
        <f>Source!AL33+Source!AM33+Source!AO33</f>
        <v>0</v>
      </c>
      <c r="G66" s="50" t="s">
        <v>3</v>
      </c>
      <c r="H66" s="44">
        <f>ROUND(Source!AC33*Source!I33, 2)+ROUND((((Source!ET33)-(Source!EU33))+Source!AE33)*Source!I33, 2)+ROUND(Source!AF33*Source!I33, 2)</f>
        <v>0</v>
      </c>
      <c r="I66" s="45"/>
      <c r="J66" s="45">
        <f>IF(Source!BC33&lt;&gt; 0, Source!BC33, 1)</f>
        <v>8.9</v>
      </c>
      <c r="K66" s="44">
        <f>Source!O33</f>
        <v>0</v>
      </c>
      <c r="L66" s="48"/>
      <c r="S66">
        <f>ROUND((Source!FX33/100)*((ROUND(Source!AF33*Source!I33, 2)+ROUND(Source!AE33*Source!I33, 2))), 2)</f>
        <v>0</v>
      </c>
      <c r="T66">
        <f>Source!X33</f>
        <v>0</v>
      </c>
      <c r="U66">
        <f>ROUND((Source!FY33/100)*((ROUND(Source!AF33*Source!I33, 2)+ROUND(Source!AE33*Source!I33, 2))), 2)</f>
        <v>0</v>
      </c>
      <c r="V66">
        <f>Source!Y33</f>
        <v>0</v>
      </c>
      <c r="W66">
        <f>IF(Source!BI33&lt;=1,H66, 0)</f>
        <v>0</v>
      </c>
      <c r="X66">
        <f>IF(Source!BI33=2,H66, 0)</f>
        <v>0</v>
      </c>
      <c r="Y66">
        <f>IF(Source!BI33=3,H66, 0)</f>
        <v>0</v>
      </c>
      <c r="Z66">
        <f>IF(Source!BI33=4,H66, 0)</f>
        <v>0</v>
      </c>
    </row>
    <row r="67" spans="1:26" ht="15" x14ac:dyDescent="0.25">
      <c r="G67" s="61">
        <f>H62+H63+H64+SUM(H66:H66)</f>
        <v>100.25</v>
      </c>
      <c r="H67" s="61"/>
      <c r="J67" s="61">
        <f>K62+K63+K64+SUM(K66:K66)</f>
        <v>3208.48</v>
      </c>
      <c r="K67" s="61"/>
      <c r="L67" s="47">
        <f>Source!U32</f>
        <v>5.3986399999999994</v>
      </c>
      <c r="O67" s="29">
        <f>G67</f>
        <v>100.25</v>
      </c>
      <c r="P67" s="29">
        <f>J67</f>
        <v>3208.48</v>
      </c>
      <c r="Q67" s="29">
        <f>L67</f>
        <v>5.3986399999999994</v>
      </c>
      <c r="W67">
        <f>IF(Source!BI32&lt;=1,H62+H63+H64, 0)</f>
        <v>100.25</v>
      </c>
      <c r="X67">
        <f>IF(Source!BI32=2,H62+H63+H64, 0)</f>
        <v>0</v>
      </c>
      <c r="Y67">
        <f>IF(Source!BI32=3,H62+H63+H64, 0)</f>
        <v>0</v>
      </c>
      <c r="Z67">
        <f>IF(Source!BI32=4,H62+H63+H64, 0)</f>
        <v>0</v>
      </c>
    </row>
    <row r="68" spans="1:26" ht="42.75" x14ac:dyDescent="0.2">
      <c r="A68" s="52">
        <v>5</v>
      </c>
      <c r="B68" s="52" t="s">
        <v>904</v>
      </c>
      <c r="C68" s="52" t="str">
        <f>Source!G34</f>
        <v>Демонтаж дверных коробок: в каменных стенах с отбивкой штукатурки в откосах</v>
      </c>
      <c r="D68" s="36" t="str">
        <f>Source!H34</f>
        <v>100 ШТ</v>
      </c>
      <c r="E68" s="10">
        <f>Source!I34</f>
        <v>0.02</v>
      </c>
      <c r="F68" s="37">
        <f>Source!AL34+Source!AM34+Source!AO34</f>
        <v>1643.9</v>
      </c>
      <c r="G68" s="38"/>
      <c r="H68" s="37"/>
      <c r="I68" s="38" t="str">
        <f>Source!BO34</f>
        <v/>
      </c>
      <c r="J68" s="38"/>
      <c r="K68" s="37"/>
      <c r="L68" s="39"/>
      <c r="S68">
        <f>ROUND((Source!FX34/100)*((ROUND(Source!AF34*Source!I34, 2)+ROUND(Source!AE34*Source!I34, 2))), 2)</f>
        <v>25.88</v>
      </c>
      <c r="T68">
        <f>Source!X34</f>
        <v>828.54</v>
      </c>
      <c r="U68">
        <f>ROUND((Source!FY34/100)*((ROUND(Source!AF34*Source!I34, 2)+ROUND(Source!AE34*Source!I34, 2))), 2)</f>
        <v>13.52</v>
      </c>
      <c r="V68">
        <f>Source!Y34</f>
        <v>432.68</v>
      </c>
    </row>
    <row r="69" spans="1:26" x14ac:dyDescent="0.2">
      <c r="C69" s="28" t="str">
        <f>"Объем: "&amp;Source!I34&amp;"=2/"&amp;"100"</f>
        <v>Объем: 0,02=2/100</v>
      </c>
    </row>
    <row r="70" spans="1:26" ht="14.25" x14ac:dyDescent="0.2">
      <c r="A70" s="52"/>
      <c r="B70" s="52"/>
      <c r="C70" s="52" t="s">
        <v>894</v>
      </c>
      <c r="D70" s="36"/>
      <c r="E70" s="10"/>
      <c r="F70" s="37">
        <f>Source!AO34</f>
        <v>1437.99</v>
      </c>
      <c r="G70" s="38" t="str">
        <f>Source!DG34</f>
        <v/>
      </c>
      <c r="H70" s="37">
        <f>ROUND(Source!AF34*Source!I34, 2)</f>
        <v>28.76</v>
      </c>
      <c r="I70" s="38"/>
      <c r="J70" s="38">
        <f>IF(Source!BA34&lt;&gt; 0, Source!BA34, 1)</f>
        <v>32.01</v>
      </c>
      <c r="K70" s="37">
        <f>Source!S34</f>
        <v>920.6</v>
      </c>
      <c r="L70" s="39"/>
      <c r="R70">
        <f>H70</f>
        <v>28.76</v>
      </c>
    </row>
    <row r="71" spans="1:26" ht="14.25" x14ac:dyDescent="0.2">
      <c r="A71" s="52"/>
      <c r="B71" s="52"/>
      <c r="C71" s="52" t="s">
        <v>340</v>
      </c>
      <c r="D71" s="36"/>
      <c r="E71" s="10"/>
      <c r="F71" s="37">
        <f>Source!AM34</f>
        <v>205.91</v>
      </c>
      <c r="G71" s="38" t="str">
        <f>Source!DE34</f>
        <v/>
      </c>
      <c r="H71" s="37">
        <f>ROUND((((Source!ET34)-(Source!EU34))+Source!AE34)*Source!I34, 2)</f>
        <v>4.12</v>
      </c>
      <c r="I71" s="38"/>
      <c r="J71" s="38">
        <f>IF(Source!BB34&lt;&gt; 0, Source!BB34, 1)</f>
        <v>12.44</v>
      </c>
      <c r="K71" s="37">
        <f>Source!Q34</f>
        <v>51.23</v>
      </c>
      <c r="L71" s="39"/>
    </row>
    <row r="72" spans="1:26" ht="14.25" x14ac:dyDescent="0.2">
      <c r="A72" s="52"/>
      <c r="B72" s="52"/>
      <c r="C72" s="52" t="s">
        <v>896</v>
      </c>
      <c r="D72" s="36" t="s">
        <v>897</v>
      </c>
      <c r="E72" s="10">
        <f>Source!BZ34</f>
        <v>90</v>
      </c>
      <c r="F72" s="54"/>
      <c r="G72" s="38"/>
      <c r="H72" s="37">
        <f>SUM(S68:S75)</f>
        <v>25.88</v>
      </c>
      <c r="I72" s="41"/>
      <c r="J72" s="35">
        <f>Source!AT34</f>
        <v>90</v>
      </c>
      <c r="K72" s="37">
        <f>SUM(T68:T75)</f>
        <v>828.54</v>
      </c>
      <c r="L72" s="39"/>
    </row>
    <row r="73" spans="1:26" ht="14.25" x14ac:dyDescent="0.2">
      <c r="A73" s="52"/>
      <c r="B73" s="52"/>
      <c r="C73" s="52" t="s">
        <v>898</v>
      </c>
      <c r="D73" s="36" t="s">
        <v>897</v>
      </c>
      <c r="E73" s="10">
        <f>Source!CA34</f>
        <v>47</v>
      </c>
      <c r="F73" s="54"/>
      <c r="G73" s="38"/>
      <c r="H73" s="37">
        <f>SUM(U68:U75)</f>
        <v>13.52</v>
      </c>
      <c r="I73" s="41"/>
      <c r="J73" s="35">
        <f>Source!AU34</f>
        <v>47</v>
      </c>
      <c r="K73" s="37">
        <f>SUM(V68:V75)</f>
        <v>432.68</v>
      </c>
      <c r="L73" s="39"/>
    </row>
    <row r="74" spans="1:26" ht="14.25" x14ac:dyDescent="0.2">
      <c r="A74" s="52"/>
      <c r="B74" s="52"/>
      <c r="C74" s="52" t="s">
        <v>899</v>
      </c>
      <c r="D74" s="36" t="s">
        <v>900</v>
      </c>
      <c r="E74" s="10">
        <f>Source!AQ34</f>
        <v>179.3</v>
      </c>
      <c r="F74" s="37"/>
      <c r="G74" s="38" t="str">
        <f>Source!DI34</f>
        <v/>
      </c>
      <c r="H74" s="37"/>
      <c r="I74" s="38"/>
      <c r="J74" s="38"/>
      <c r="K74" s="37"/>
      <c r="L74" s="49">
        <f>Source!U34</f>
        <v>3.5860000000000003</v>
      </c>
    </row>
    <row r="75" spans="1:26" ht="14.25" x14ac:dyDescent="0.2">
      <c r="A75" s="53">
        <v>5.0999999999999996</v>
      </c>
      <c r="B75" s="53" t="s">
        <v>47</v>
      </c>
      <c r="C75" s="53" t="str">
        <f>Source!G35</f>
        <v>Строительный мусор</v>
      </c>
      <c r="D75" s="42" t="str">
        <f>Source!H35</f>
        <v>т</v>
      </c>
      <c r="E75" s="43">
        <f>Source!I35</f>
        <v>0.21</v>
      </c>
      <c r="F75" s="44">
        <f>Source!AL35+Source!AM35+Source!AO35</f>
        <v>0</v>
      </c>
      <c r="G75" s="50" t="s">
        <v>3</v>
      </c>
      <c r="H75" s="44">
        <f>ROUND(Source!AC35*Source!I35, 2)+ROUND((((Source!ET35)-(Source!EU35))+Source!AE35)*Source!I35, 2)+ROUND(Source!AF35*Source!I35, 2)</f>
        <v>0</v>
      </c>
      <c r="I75" s="45"/>
      <c r="J75" s="45">
        <f>IF(Source!BC35&lt;&gt; 0, Source!BC35, 1)</f>
        <v>8.9</v>
      </c>
      <c r="K75" s="44">
        <f>Source!O35</f>
        <v>0</v>
      </c>
      <c r="L75" s="48"/>
      <c r="S75">
        <f>ROUND((Source!FX35/100)*((ROUND(Source!AF35*Source!I35, 2)+ROUND(Source!AE35*Source!I35, 2))), 2)</f>
        <v>0</v>
      </c>
      <c r="T75">
        <f>Source!X35</f>
        <v>0</v>
      </c>
      <c r="U75">
        <f>ROUND((Source!FY35/100)*((ROUND(Source!AF35*Source!I35, 2)+ROUND(Source!AE35*Source!I35, 2))), 2)</f>
        <v>0</v>
      </c>
      <c r="V75">
        <f>Source!Y35</f>
        <v>0</v>
      </c>
      <c r="W75">
        <f>IF(Source!BI35&lt;=1,H75, 0)</f>
        <v>0</v>
      </c>
      <c r="X75">
        <f>IF(Source!BI35=2,H75, 0)</f>
        <v>0</v>
      </c>
      <c r="Y75">
        <f>IF(Source!BI35=3,H75, 0)</f>
        <v>0</v>
      </c>
      <c r="Z75">
        <f>IF(Source!BI35=4,H75, 0)</f>
        <v>0</v>
      </c>
    </row>
    <row r="76" spans="1:26" ht="15" x14ac:dyDescent="0.25">
      <c r="G76" s="61">
        <f>H70+H71+H72+H73+SUM(H75:H75)</f>
        <v>72.28</v>
      </c>
      <c r="H76" s="61"/>
      <c r="J76" s="61">
        <f>K70+K71+K72+K73+SUM(K75:K75)</f>
        <v>2233.0499999999997</v>
      </c>
      <c r="K76" s="61"/>
      <c r="L76" s="47">
        <f>Source!U34</f>
        <v>3.5860000000000003</v>
      </c>
      <c r="O76" s="29">
        <f>G76</f>
        <v>72.28</v>
      </c>
      <c r="P76" s="29">
        <f>J76</f>
        <v>2233.0499999999997</v>
      </c>
      <c r="Q76" s="29">
        <f>L76</f>
        <v>3.5860000000000003</v>
      </c>
      <c r="W76">
        <f>IF(Source!BI34&lt;=1,H70+H71+H72+H73, 0)</f>
        <v>72.28</v>
      </c>
      <c r="X76">
        <f>IF(Source!BI34=2,H70+H71+H72+H73, 0)</f>
        <v>0</v>
      </c>
      <c r="Y76">
        <f>IF(Source!BI34=3,H70+H71+H72+H73, 0)</f>
        <v>0</v>
      </c>
      <c r="Z76">
        <f>IF(Source!BI34=4,H70+H71+H72+H73, 0)</f>
        <v>0</v>
      </c>
    </row>
    <row r="77" spans="1:26" ht="28.5" x14ac:dyDescent="0.2">
      <c r="A77" s="52">
        <v>6</v>
      </c>
      <c r="B77" s="52" t="s">
        <v>905</v>
      </c>
      <c r="C77" s="52" t="str">
        <f>Source!G36</f>
        <v>Снятие дверных полотен</v>
      </c>
      <c r="D77" s="36" t="str">
        <f>Source!H36</f>
        <v>100 м2</v>
      </c>
      <c r="E77" s="10">
        <f>Source!I36</f>
        <v>2.9399999999999999E-2</v>
      </c>
      <c r="F77" s="37">
        <f>Source!AL36+Source!AM36+Source!AO36</f>
        <v>288.06</v>
      </c>
      <c r="G77" s="38"/>
      <c r="H77" s="37"/>
      <c r="I77" s="38" t="str">
        <f>Source!BO36</f>
        <v/>
      </c>
      <c r="J77" s="38"/>
      <c r="K77" s="37"/>
      <c r="L77" s="39"/>
      <c r="S77">
        <f>ROUND((Source!FX36/100)*((ROUND(Source!AF36*Source!I36, 2)+ROUND(Source!AE36*Source!I36, 2))), 2)</f>
        <v>7.62</v>
      </c>
      <c r="T77">
        <f>Source!X36</f>
        <v>243.98</v>
      </c>
      <c r="U77">
        <f>ROUND((Source!FY36/100)*((ROUND(Source!AF36*Source!I36, 2)+ROUND(Source!AE36*Source!I36, 2))), 2)</f>
        <v>3.98</v>
      </c>
      <c r="V77">
        <f>Source!Y36</f>
        <v>127.41</v>
      </c>
    </row>
    <row r="78" spans="1:26" ht="14.25" x14ac:dyDescent="0.2">
      <c r="A78" s="52"/>
      <c r="B78" s="52"/>
      <c r="C78" s="52" t="s">
        <v>894</v>
      </c>
      <c r="D78" s="36"/>
      <c r="E78" s="10"/>
      <c r="F78" s="37">
        <f>Source!AO36</f>
        <v>288.06</v>
      </c>
      <c r="G78" s="38" t="str">
        <f>Source!DG36</f>
        <v/>
      </c>
      <c r="H78" s="37">
        <f>ROUND(Source!AF36*Source!I36, 2)</f>
        <v>8.4700000000000006</v>
      </c>
      <c r="I78" s="38"/>
      <c r="J78" s="38">
        <f>IF(Source!BA36&lt;&gt; 0, Source!BA36, 1)</f>
        <v>32.01</v>
      </c>
      <c r="K78" s="37">
        <f>Source!S36</f>
        <v>271.08999999999997</v>
      </c>
      <c r="L78" s="39"/>
      <c r="R78">
        <f>H78</f>
        <v>8.4700000000000006</v>
      </c>
    </row>
    <row r="79" spans="1:26" ht="14.25" x14ac:dyDescent="0.2">
      <c r="A79" s="52"/>
      <c r="B79" s="52"/>
      <c r="C79" s="52" t="s">
        <v>896</v>
      </c>
      <c r="D79" s="36" t="s">
        <v>897</v>
      </c>
      <c r="E79" s="10">
        <f>Source!BZ36</f>
        <v>90</v>
      </c>
      <c r="F79" s="54"/>
      <c r="G79" s="38"/>
      <c r="H79" s="37">
        <f>SUM(S77:S82)</f>
        <v>7.62</v>
      </c>
      <c r="I79" s="41"/>
      <c r="J79" s="35">
        <f>Source!AT36</f>
        <v>90</v>
      </c>
      <c r="K79" s="37">
        <f>SUM(T77:T82)</f>
        <v>243.98</v>
      </c>
      <c r="L79" s="39"/>
    </row>
    <row r="80" spans="1:26" ht="14.25" x14ac:dyDescent="0.2">
      <c r="A80" s="52"/>
      <c r="B80" s="52"/>
      <c r="C80" s="52" t="s">
        <v>898</v>
      </c>
      <c r="D80" s="36" t="s">
        <v>897</v>
      </c>
      <c r="E80" s="10">
        <f>Source!CA36</f>
        <v>47</v>
      </c>
      <c r="F80" s="54"/>
      <c r="G80" s="38"/>
      <c r="H80" s="37">
        <f>SUM(U77:U82)</f>
        <v>3.98</v>
      </c>
      <c r="I80" s="41"/>
      <c r="J80" s="35">
        <f>Source!AU36</f>
        <v>47</v>
      </c>
      <c r="K80" s="37">
        <f>SUM(V77:V82)</f>
        <v>127.41</v>
      </c>
      <c r="L80" s="39"/>
    </row>
    <row r="81" spans="1:26" ht="14.25" x14ac:dyDescent="0.2">
      <c r="A81" s="52"/>
      <c r="B81" s="52"/>
      <c r="C81" s="52" t="s">
        <v>899</v>
      </c>
      <c r="D81" s="36" t="s">
        <v>900</v>
      </c>
      <c r="E81" s="10">
        <f>Source!AQ36</f>
        <v>36.28</v>
      </c>
      <c r="F81" s="37"/>
      <c r="G81" s="38" t="str">
        <f>Source!DI36</f>
        <v/>
      </c>
      <c r="H81" s="37"/>
      <c r="I81" s="38"/>
      <c r="J81" s="38"/>
      <c r="K81" s="37"/>
      <c r="L81" s="49">
        <f>Source!U36</f>
        <v>1.066632</v>
      </c>
    </row>
    <row r="82" spans="1:26" ht="14.25" x14ac:dyDescent="0.2">
      <c r="A82" s="53">
        <v>6.1</v>
      </c>
      <c r="B82" s="53" t="s">
        <v>47</v>
      </c>
      <c r="C82" s="53" t="str">
        <f>Source!G37</f>
        <v>Строительный мусор</v>
      </c>
      <c r="D82" s="42" t="str">
        <f>Source!H37</f>
        <v>т</v>
      </c>
      <c r="E82" s="43">
        <f>Source!I37</f>
        <v>3.4692000000000001E-2</v>
      </c>
      <c r="F82" s="44">
        <f>Source!AL37+Source!AM37+Source!AO37</f>
        <v>0</v>
      </c>
      <c r="G82" s="50" t="s">
        <v>3</v>
      </c>
      <c r="H82" s="44">
        <f>ROUND(Source!AC37*Source!I37, 2)+ROUND((((Source!ET37)-(Source!EU37))+Source!AE37)*Source!I37, 2)+ROUND(Source!AF37*Source!I37, 2)</f>
        <v>0</v>
      </c>
      <c r="I82" s="45"/>
      <c r="J82" s="45">
        <f>IF(Source!BC37&lt;&gt; 0, Source!BC37, 1)</f>
        <v>8.9</v>
      </c>
      <c r="K82" s="44">
        <f>Source!O37</f>
        <v>0</v>
      </c>
      <c r="L82" s="48"/>
      <c r="S82">
        <f>ROUND((Source!FX37/100)*((ROUND(Source!AF37*Source!I37, 2)+ROUND(Source!AE37*Source!I37, 2))), 2)</f>
        <v>0</v>
      </c>
      <c r="T82">
        <f>Source!X37</f>
        <v>0</v>
      </c>
      <c r="U82">
        <f>ROUND((Source!FY37/100)*((ROUND(Source!AF37*Source!I37, 2)+ROUND(Source!AE37*Source!I37, 2))), 2)</f>
        <v>0</v>
      </c>
      <c r="V82">
        <f>Source!Y37</f>
        <v>0</v>
      </c>
      <c r="W82">
        <f>IF(Source!BI37&lt;=1,H82, 0)</f>
        <v>0</v>
      </c>
      <c r="X82">
        <f>IF(Source!BI37=2,H82, 0)</f>
        <v>0</v>
      </c>
      <c r="Y82">
        <f>IF(Source!BI37=3,H82, 0)</f>
        <v>0</v>
      </c>
      <c r="Z82">
        <f>IF(Source!BI37=4,H82, 0)</f>
        <v>0</v>
      </c>
    </row>
    <row r="83" spans="1:26" ht="15" x14ac:dyDescent="0.25">
      <c r="G83" s="61">
        <f>H78+H79+H80+SUM(H82:H82)</f>
        <v>20.07</v>
      </c>
      <c r="H83" s="61"/>
      <c r="J83" s="61">
        <f>K78+K79+K80+SUM(K82:K82)</f>
        <v>642.4799999999999</v>
      </c>
      <c r="K83" s="61"/>
      <c r="L83" s="47">
        <f>Source!U36</f>
        <v>1.066632</v>
      </c>
      <c r="O83" s="29">
        <f>G83</f>
        <v>20.07</v>
      </c>
      <c r="P83" s="29">
        <f>J83</f>
        <v>642.4799999999999</v>
      </c>
      <c r="Q83" s="29">
        <f>L83</f>
        <v>1.066632</v>
      </c>
      <c r="W83">
        <f>IF(Source!BI36&lt;=1,H78+H79+H80, 0)</f>
        <v>20.07</v>
      </c>
      <c r="X83">
        <f>IF(Source!BI36=2,H78+H79+H80, 0)</f>
        <v>0</v>
      </c>
      <c r="Y83">
        <f>IF(Source!BI36=3,H78+H79+H80, 0)</f>
        <v>0</v>
      </c>
      <c r="Z83">
        <f>IF(Source!BI36=4,H78+H79+H80, 0)</f>
        <v>0</v>
      </c>
    </row>
    <row r="84" spans="1:26" ht="28.5" x14ac:dyDescent="0.2">
      <c r="A84" s="52">
        <v>7</v>
      </c>
      <c r="B84" s="52" t="s">
        <v>906</v>
      </c>
      <c r="C84" s="52" t="str">
        <f>Source!G38</f>
        <v>Расчистка поверхностей шпателем, щетками от старых покрасок</v>
      </c>
      <c r="D84" s="36" t="str">
        <f>Source!H38</f>
        <v>м2</v>
      </c>
      <c r="E84" s="10">
        <f>Source!I38</f>
        <v>432</v>
      </c>
      <c r="F84" s="37">
        <f>Source!AL38+Source!AM38+Source!AO38</f>
        <v>4.38</v>
      </c>
      <c r="G84" s="38"/>
      <c r="H84" s="37"/>
      <c r="I84" s="38" t="str">
        <f>Source!BO38</f>
        <v/>
      </c>
      <c r="J84" s="38"/>
      <c r="K84" s="37"/>
      <c r="L84" s="39"/>
      <c r="S84">
        <f>ROUND((Source!FX38/100)*((ROUND(Source!AF38*Source!I38, 2)+ROUND(Source!AE38*Source!I38, 2))), 2)</f>
        <v>1702.94</v>
      </c>
      <c r="T84">
        <f>Source!X38</f>
        <v>54511.24</v>
      </c>
      <c r="U84">
        <f>ROUND((Source!FY38/100)*((ROUND(Source!AF38*Source!I38, 2)+ROUND(Source!AE38*Source!I38, 2))), 2)</f>
        <v>870.39</v>
      </c>
      <c r="V84">
        <f>Source!Y38</f>
        <v>27861.3</v>
      </c>
    </row>
    <row r="85" spans="1:26" ht="14.25" x14ac:dyDescent="0.2">
      <c r="A85" s="52"/>
      <c r="B85" s="52"/>
      <c r="C85" s="52" t="s">
        <v>894</v>
      </c>
      <c r="D85" s="36"/>
      <c r="E85" s="10"/>
      <c r="F85" s="37">
        <f>Source!AO38</f>
        <v>4.38</v>
      </c>
      <c r="G85" s="38" t="str">
        <f>Source!DG38</f>
        <v/>
      </c>
      <c r="H85" s="37">
        <f>ROUND(Source!AF38*Source!I38, 2)</f>
        <v>1892.16</v>
      </c>
      <c r="I85" s="38"/>
      <c r="J85" s="38">
        <f>IF(Source!BA38&lt;&gt; 0, Source!BA38, 1)</f>
        <v>32.01</v>
      </c>
      <c r="K85" s="37">
        <f>Source!S38</f>
        <v>60568.04</v>
      </c>
      <c r="L85" s="39"/>
      <c r="R85">
        <f>H85</f>
        <v>1892.16</v>
      </c>
    </row>
    <row r="86" spans="1:26" ht="14.25" x14ac:dyDescent="0.2">
      <c r="A86" s="52"/>
      <c r="B86" s="52"/>
      <c r="C86" s="52" t="s">
        <v>896</v>
      </c>
      <c r="D86" s="36" t="s">
        <v>897</v>
      </c>
      <c r="E86" s="10">
        <f>Source!BZ38</f>
        <v>90</v>
      </c>
      <c r="F86" s="54"/>
      <c r="G86" s="38"/>
      <c r="H86" s="37">
        <f>SUM(S84:S88)</f>
        <v>1702.94</v>
      </c>
      <c r="I86" s="41"/>
      <c r="J86" s="35">
        <f>Source!AT38</f>
        <v>90</v>
      </c>
      <c r="K86" s="37">
        <f>SUM(T84:T88)</f>
        <v>54511.24</v>
      </c>
      <c r="L86" s="39"/>
    </row>
    <row r="87" spans="1:26" ht="14.25" x14ac:dyDescent="0.2">
      <c r="A87" s="52"/>
      <c r="B87" s="52"/>
      <c r="C87" s="52" t="s">
        <v>898</v>
      </c>
      <c r="D87" s="36" t="s">
        <v>897</v>
      </c>
      <c r="E87" s="10">
        <f>Source!CA38</f>
        <v>46</v>
      </c>
      <c r="F87" s="54"/>
      <c r="G87" s="38"/>
      <c r="H87" s="37">
        <f>SUM(U84:U88)</f>
        <v>870.39</v>
      </c>
      <c r="I87" s="41"/>
      <c r="J87" s="35">
        <f>Source!AU38</f>
        <v>46</v>
      </c>
      <c r="K87" s="37">
        <f>SUM(V84:V88)</f>
        <v>27861.3</v>
      </c>
      <c r="L87" s="39"/>
    </row>
    <row r="88" spans="1:26" ht="14.25" x14ac:dyDescent="0.2">
      <c r="A88" s="53"/>
      <c r="B88" s="53"/>
      <c r="C88" s="53" t="s">
        <v>899</v>
      </c>
      <c r="D88" s="42" t="s">
        <v>900</v>
      </c>
      <c r="E88" s="43">
        <f>Source!AQ38</f>
        <v>0.57999999999999996</v>
      </c>
      <c r="F88" s="44"/>
      <c r="G88" s="45" t="str">
        <f>Source!DI38</f>
        <v/>
      </c>
      <c r="H88" s="44"/>
      <c r="I88" s="45"/>
      <c r="J88" s="45"/>
      <c r="K88" s="44"/>
      <c r="L88" s="46">
        <f>Source!U38</f>
        <v>250.55999999999997</v>
      </c>
    </row>
    <row r="89" spans="1:26" ht="15" x14ac:dyDescent="0.25">
      <c r="G89" s="61">
        <f>H85+H86+H87</f>
        <v>4465.4900000000007</v>
      </c>
      <c r="H89" s="61"/>
      <c r="J89" s="61">
        <f>K85+K86+K87</f>
        <v>142940.57999999999</v>
      </c>
      <c r="K89" s="61"/>
      <c r="L89" s="47">
        <f>Source!U38</f>
        <v>250.55999999999997</v>
      </c>
      <c r="O89" s="29">
        <f>G89</f>
        <v>4465.4900000000007</v>
      </c>
      <c r="P89" s="29">
        <f>J89</f>
        <v>142940.57999999999</v>
      </c>
      <c r="Q89" s="29">
        <f>L89</f>
        <v>250.55999999999997</v>
      </c>
      <c r="W89">
        <f>IF(Source!BI38&lt;=1,H85+H86+H87, 0)</f>
        <v>4465.4900000000007</v>
      </c>
      <c r="X89">
        <f>IF(Source!BI38=2,H85+H86+H87, 0)</f>
        <v>0</v>
      </c>
      <c r="Y89">
        <f>IF(Source!BI38=3,H85+H86+H87, 0)</f>
        <v>0</v>
      </c>
      <c r="Z89">
        <f>IF(Source!BI38=4,H85+H86+H87, 0)</f>
        <v>0</v>
      </c>
    </row>
    <row r="90" spans="1:26" ht="28.5" x14ac:dyDescent="0.2">
      <c r="A90" s="52">
        <v>8</v>
      </c>
      <c r="B90" s="52" t="s">
        <v>907</v>
      </c>
      <c r="C90" s="52" t="str">
        <f>Source!G39</f>
        <v>Снятие обоев: простых и улучшенных</v>
      </c>
      <c r="D90" s="36" t="str">
        <f>Source!H39</f>
        <v>100 м2</v>
      </c>
      <c r="E90" s="10">
        <f>Source!I39</f>
        <v>1.6244000000000001</v>
      </c>
      <c r="F90" s="37">
        <f>Source!AL39+Source!AM39+Source!AO39</f>
        <v>81.12</v>
      </c>
      <c r="G90" s="38"/>
      <c r="H90" s="37"/>
      <c r="I90" s="38" t="str">
        <f>Source!BO39</f>
        <v/>
      </c>
      <c r="J90" s="38"/>
      <c r="K90" s="37"/>
      <c r="L90" s="39"/>
      <c r="S90">
        <f>ROUND((Source!FX39/100)*((ROUND(Source!AF39*Source!I39, 2)+ROUND(Source!AE39*Source!I39, 2))), 2)</f>
        <v>118.59</v>
      </c>
      <c r="T90">
        <f>Source!X39</f>
        <v>3796.2</v>
      </c>
      <c r="U90">
        <f>ROUND((Source!FY39/100)*((ROUND(Source!AF39*Source!I39, 2)+ROUND(Source!AE39*Source!I39, 2))), 2)</f>
        <v>59.3</v>
      </c>
      <c r="V90">
        <f>Source!Y39</f>
        <v>1898.1</v>
      </c>
    </row>
    <row r="91" spans="1:26" ht="14.25" x14ac:dyDescent="0.2">
      <c r="A91" s="52"/>
      <c r="B91" s="52"/>
      <c r="C91" s="52" t="s">
        <v>894</v>
      </c>
      <c r="D91" s="36"/>
      <c r="E91" s="10"/>
      <c r="F91" s="37">
        <f>Source!AO39</f>
        <v>81.12</v>
      </c>
      <c r="G91" s="38" t="str">
        <f>Source!DG39</f>
        <v/>
      </c>
      <c r="H91" s="37">
        <f>ROUND(Source!AF39*Source!I39, 2)</f>
        <v>131.77000000000001</v>
      </c>
      <c r="I91" s="38"/>
      <c r="J91" s="38">
        <f>IF(Source!BA39&lt;&gt; 0, Source!BA39, 1)</f>
        <v>32.01</v>
      </c>
      <c r="K91" s="37">
        <f>Source!S39</f>
        <v>4218</v>
      </c>
      <c r="L91" s="39"/>
      <c r="R91">
        <f>H91</f>
        <v>131.77000000000001</v>
      </c>
    </row>
    <row r="92" spans="1:26" ht="14.25" x14ac:dyDescent="0.2">
      <c r="A92" s="52"/>
      <c r="B92" s="52"/>
      <c r="C92" s="52" t="s">
        <v>896</v>
      </c>
      <c r="D92" s="36" t="s">
        <v>897</v>
      </c>
      <c r="E92" s="10">
        <f>Source!BZ39</f>
        <v>90</v>
      </c>
      <c r="F92" s="54"/>
      <c r="G92" s="38"/>
      <c r="H92" s="37">
        <f>SUM(S90:S95)</f>
        <v>118.59</v>
      </c>
      <c r="I92" s="41"/>
      <c r="J92" s="35">
        <f>Source!AT39</f>
        <v>90</v>
      </c>
      <c r="K92" s="37">
        <f>SUM(T90:T95)</f>
        <v>3796.2</v>
      </c>
      <c r="L92" s="39"/>
    </row>
    <row r="93" spans="1:26" ht="14.25" x14ac:dyDescent="0.2">
      <c r="A93" s="52"/>
      <c r="B93" s="52"/>
      <c r="C93" s="52" t="s">
        <v>898</v>
      </c>
      <c r="D93" s="36" t="s">
        <v>897</v>
      </c>
      <c r="E93" s="10">
        <f>Source!CA39</f>
        <v>45</v>
      </c>
      <c r="F93" s="54"/>
      <c r="G93" s="38"/>
      <c r="H93" s="37">
        <f>SUM(U90:U95)</f>
        <v>59.3</v>
      </c>
      <c r="I93" s="41"/>
      <c r="J93" s="35">
        <f>Source!AU39</f>
        <v>45</v>
      </c>
      <c r="K93" s="37">
        <f>SUM(V90:V95)</f>
        <v>1898.1</v>
      </c>
      <c r="L93" s="39"/>
    </row>
    <row r="94" spans="1:26" ht="14.25" x14ac:dyDescent="0.2">
      <c r="A94" s="52"/>
      <c r="B94" s="52"/>
      <c r="C94" s="52" t="s">
        <v>899</v>
      </c>
      <c r="D94" s="36" t="s">
        <v>900</v>
      </c>
      <c r="E94" s="10">
        <f>Source!AQ39</f>
        <v>10.4</v>
      </c>
      <c r="F94" s="37"/>
      <c r="G94" s="38" t="str">
        <f>Source!DI39</f>
        <v/>
      </c>
      <c r="H94" s="37"/>
      <c r="I94" s="38"/>
      <c r="J94" s="38"/>
      <c r="K94" s="37"/>
      <c r="L94" s="49">
        <f>Source!U39</f>
        <v>16.89376</v>
      </c>
    </row>
    <row r="95" spans="1:26" ht="14.25" x14ac:dyDescent="0.2">
      <c r="A95" s="53">
        <v>8.1</v>
      </c>
      <c r="B95" s="53" t="s">
        <v>47</v>
      </c>
      <c r="C95" s="53" t="str">
        <f>Source!G40</f>
        <v>Строительный мусор</v>
      </c>
      <c r="D95" s="42" t="str">
        <f>Source!H40</f>
        <v>т</v>
      </c>
      <c r="E95" s="43">
        <f>Source!I40</f>
        <v>4.8731999999999998E-2</v>
      </c>
      <c r="F95" s="44">
        <f>Source!AL40+Source!AM40+Source!AO40</f>
        <v>0</v>
      </c>
      <c r="G95" s="50" t="s">
        <v>3</v>
      </c>
      <c r="H95" s="44">
        <f>ROUND(Source!AC40*Source!I40, 2)+ROUND((((Source!ET40)-(Source!EU40))+Source!AE40)*Source!I40, 2)+ROUND(Source!AF40*Source!I40, 2)</f>
        <v>0</v>
      </c>
      <c r="I95" s="45"/>
      <c r="J95" s="45">
        <f>IF(Source!BC40&lt;&gt; 0, Source!BC40, 1)</f>
        <v>8.9</v>
      </c>
      <c r="K95" s="44">
        <f>Source!O40</f>
        <v>0</v>
      </c>
      <c r="L95" s="48"/>
      <c r="S95">
        <f>ROUND((Source!FX40/100)*((ROUND(Source!AF40*Source!I40, 2)+ROUND(Source!AE40*Source!I40, 2))), 2)</f>
        <v>0</v>
      </c>
      <c r="T95">
        <f>Source!X40</f>
        <v>0</v>
      </c>
      <c r="U95">
        <f>ROUND((Source!FY40/100)*((ROUND(Source!AF40*Source!I40, 2)+ROUND(Source!AE40*Source!I40, 2))), 2)</f>
        <v>0</v>
      </c>
      <c r="V95">
        <f>Source!Y40</f>
        <v>0</v>
      </c>
      <c r="W95">
        <f>IF(Source!BI40&lt;=1,H95, 0)</f>
        <v>0</v>
      </c>
      <c r="X95">
        <f>IF(Source!BI40=2,H95, 0)</f>
        <v>0</v>
      </c>
      <c r="Y95">
        <f>IF(Source!BI40=3,H95, 0)</f>
        <v>0</v>
      </c>
      <c r="Z95">
        <f>IF(Source!BI40=4,H95, 0)</f>
        <v>0</v>
      </c>
    </row>
    <row r="96" spans="1:26" ht="15" x14ac:dyDescent="0.25">
      <c r="G96" s="61">
        <f>H91+H92+H93+SUM(H95:H95)</f>
        <v>309.66000000000003</v>
      </c>
      <c r="H96" s="61"/>
      <c r="J96" s="61">
        <f>K91+K92+K93+SUM(K95:K95)</f>
        <v>9912.2999999999993</v>
      </c>
      <c r="K96" s="61"/>
      <c r="L96" s="47">
        <f>Source!U39</f>
        <v>16.89376</v>
      </c>
      <c r="O96" s="29">
        <f>G96</f>
        <v>309.66000000000003</v>
      </c>
      <c r="P96" s="29">
        <f>J96</f>
        <v>9912.2999999999993</v>
      </c>
      <c r="Q96" s="29">
        <f>L96</f>
        <v>16.89376</v>
      </c>
      <c r="W96">
        <f>IF(Source!BI39&lt;=1,H91+H92+H93, 0)</f>
        <v>309.66000000000003</v>
      </c>
      <c r="X96">
        <f>IF(Source!BI39=2,H91+H92+H93, 0)</f>
        <v>0</v>
      </c>
      <c r="Y96">
        <f>IF(Source!BI39=3,H91+H92+H93, 0)</f>
        <v>0</v>
      </c>
      <c r="Z96">
        <f>IF(Source!BI39=4,H91+H92+H93, 0)</f>
        <v>0</v>
      </c>
    </row>
    <row r="97" spans="1:26" ht="57" x14ac:dyDescent="0.2">
      <c r="A97" s="52">
        <v>9</v>
      </c>
      <c r="B97" s="52" t="s">
        <v>908</v>
      </c>
      <c r="C97" s="52" t="str">
        <f>Source!G41</f>
        <v>РАЗБОРКА/Облицовка стен глухих (без проемов) по металлическому одинарному каркасу гипсокартонными листами</v>
      </c>
      <c r="D97" s="36" t="str">
        <f>Source!H41</f>
        <v>100 м2</v>
      </c>
      <c r="E97" s="10">
        <f>Source!I41</f>
        <v>1.7565999999999999</v>
      </c>
      <c r="F97" s="37">
        <f>Source!AL41+Source!AM41+Source!AO41</f>
        <v>2525.4499999999998</v>
      </c>
      <c r="G97" s="38"/>
      <c r="H97" s="37"/>
      <c r="I97" s="38" t="str">
        <f>Source!BO41</f>
        <v/>
      </c>
      <c r="J97" s="38"/>
      <c r="K97" s="37"/>
      <c r="L97" s="39"/>
      <c r="S97">
        <f>ROUND((Source!FX41/100)*((ROUND(Source!AF41*Source!I41, 2)+ROUND(Source!AE41*Source!I41, 2))), 2)</f>
        <v>1101.73</v>
      </c>
      <c r="T97">
        <f>Source!X41</f>
        <v>35266.639999999999</v>
      </c>
      <c r="U97">
        <f>ROUND((Source!FY41/100)*((ROUND(Source!AF41*Source!I41, 2)+ROUND(Source!AE41*Source!I41, 2))), 2)</f>
        <v>561.07000000000005</v>
      </c>
      <c r="V97">
        <f>Source!Y41</f>
        <v>17959.87</v>
      </c>
    </row>
    <row r="98" spans="1:26" ht="14.25" x14ac:dyDescent="0.2">
      <c r="A98" s="52"/>
      <c r="B98" s="52"/>
      <c r="C98" s="52" t="s">
        <v>894</v>
      </c>
      <c r="D98" s="36"/>
      <c r="E98" s="10"/>
      <c r="F98" s="37">
        <f>Source!AO41</f>
        <v>724.51</v>
      </c>
      <c r="G98" s="38" t="str">
        <f>Source!DG41</f>
        <v>)*0,8</v>
      </c>
      <c r="H98" s="37">
        <f>ROUND(Source!AF41*Source!I41, 2)</f>
        <v>1018.14</v>
      </c>
      <c r="I98" s="38"/>
      <c r="J98" s="38">
        <f>IF(Source!BA41&lt;&gt; 0, Source!BA41, 1)</f>
        <v>32.01</v>
      </c>
      <c r="K98" s="37">
        <f>Source!S41</f>
        <v>32590.76</v>
      </c>
      <c r="L98" s="39"/>
      <c r="R98">
        <f>H98</f>
        <v>1018.14</v>
      </c>
    </row>
    <row r="99" spans="1:26" ht="14.25" x14ac:dyDescent="0.2">
      <c r="A99" s="52"/>
      <c r="B99" s="52"/>
      <c r="C99" s="52" t="s">
        <v>340</v>
      </c>
      <c r="D99" s="36"/>
      <c r="E99" s="10"/>
      <c r="F99" s="37">
        <f>Source!AM41</f>
        <v>3.41</v>
      </c>
      <c r="G99" s="38" t="str">
        <f>Source!DE41</f>
        <v>)*0,8</v>
      </c>
      <c r="H99" s="37">
        <f>ROUND(((((Source!ET41*0.8))-((Source!EU41*0.8)))+Source!AE41)*Source!I41, 2)</f>
        <v>4.8</v>
      </c>
      <c r="I99" s="38"/>
      <c r="J99" s="38">
        <f>IF(Source!BB41&lt;&gt; 0, Source!BB41, 1)</f>
        <v>12.44</v>
      </c>
      <c r="K99" s="37">
        <f>Source!Q41</f>
        <v>59.72</v>
      </c>
      <c r="L99" s="39"/>
    </row>
    <row r="100" spans="1:26" ht="14.25" x14ac:dyDescent="0.2">
      <c r="A100" s="52"/>
      <c r="B100" s="52"/>
      <c r="C100" s="52" t="s">
        <v>895</v>
      </c>
      <c r="D100" s="36"/>
      <c r="E100" s="10"/>
      <c r="F100" s="37">
        <f>Source!AN41</f>
        <v>1.41</v>
      </c>
      <c r="G100" s="38" t="str">
        <f>Source!DF41</f>
        <v>)*0,8</v>
      </c>
      <c r="H100" s="40">
        <f>ROUND(Source!AE41*Source!I41, 2)</f>
        <v>1.98</v>
      </c>
      <c r="I100" s="38"/>
      <c r="J100" s="38">
        <f>IF(Source!BS41&lt;&gt; 0, Source!BS41, 1)</f>
        <v>32.01</v>
      </c>
      <c r="K100" s="40">
        <f>Source!R41</f>
        <v>63.54</v>
      </c>
      <c r="L100" s="39"/>
      <c r="R100">
        <f>H100</f>
        <v>1.98</v>
      </c>
    </row>
    <row r="101" spans="1:26" ht="14.25" x14ac:dyDescent="0.2">
      <c r="A101" s="52"/>
      <c r="B101" s="52"/>
      <c r="C101" s="52" t="s">
        <v>896</v>
      </c>
      <c r="D101" s="36" t="s">
        <v>897</v>
      </c>
      <c r="E101" s="10">
        <f>Source!BZ41</f>
        <v>108</v>
      </c>
      <c r="F101" s="54"/>
      <c r="G101" s="38"/>
      <c r="H101" s="37">
        <f>SUM(S97:S103)</f>
        <v>1101.73</v>
      </c>
      <c r="I101" s="41"/>
      <c r="J101" s="35">
        <f>Source!AT41</f>
        <v>108</v>
      </c>
      <c r="K101" s="37">
        <f>SUM(T97:T103)</f>
        <v>35266.639999999999</v>
      </c>
      <c r="L101" s="39"/>
    </row>
    <row r="102" spans="1:26" ht="14.25" x14ac:dyDescent="0.2">
      <c r="A102" s="52"/>
      <c r="B102" s="52"/>
      <c r="C102" s="52" t="s">
        <v>898</v>
      </c>
      <c r="D102" s="36" t="s">
        <v>897</v>
      </c>
      <c r="E102" s="10">
        <f>Source!CA41</f>
        <v>55</v>
      </c>
      <c r="F102" s="54"/>
      <c r="G102" s="38"/>
      <c r="H102" s="37">
        <f>SUM(U97:U103)</f>
        <v>561.07000000000005</v>
      </c>
      <c r="I102" s="41"/>
      <c r="J102" s="35">
        <f>Source!AU41</f>
        <v>55</v>
      </c>
      <c r="K102" s="37">
        <f>SUM(V97:V103)</f>
        <v>17959.87</v>
      </c>
      <c r="L102" s="39"/>
    </row>
    <row r="103" spans="1:26" ht="14.25" x14ac:dyDescent="0.2">
      <c r="A103" s="53"/>
      <c r="B103" s="53"/>
      <c r="C103" s="53" t="s">
        <v>899</v>
      </c>
      <c r="D103" s="42" t="s">
        <v>900</v>
      </c>
      <c r="E103" s="43">
        <f>Source!AQ41</f>
        <v>80.77</v>
      </c>
      <c r="F103" s="44"/>
      <c r="G103" s="45" t="str">
        <f>Source!DI41</f>
        <v>)*0,8</v>
      </c>
      <c r="H103" s="44"/>
      <c r="I103" s="45"/>
      <c r="J103" s="45"/>
      <c r="K103" s="44"/>
      <c r="L103" s="46">
        <f>Source!U41</f>
        <v>113.50446559999999</v>
      </c>
    </row>
    <row r="104" spans="1:26" ht="15" x14ac:dyDescent="0.25">
      <c r="G104" s="61">
        <f>H98+H99+H101+H102</f>
        <v>2685.7400000000002</v>
      </c>
      <c r="H104" s="61"/>
      <c r="J104" s="61">
        <f>K98+K99+K101+K102</f>
        <v>85876.989999999991</v>
      </c>
      <c r="K104" s="61"/>
      <c r="L104" s="47">
        <f>Source!U41</f>
        <v>113.50446559999999</v>
      </c>
      <c r="O104" s="29">
        <f>G104</f>
        <v>2685.7400000000002</v>
      </c>
      <c r="P104" s="29">
        <f>J104</f>
        <v>85876.989999999991</v>
      </c>
      <c r="Q104" s="29">
        <f>L104</f>
        <v>113.50446559999999</v>
      </c>
      <c r="W104">
        <f>IF(Source!BI41&lt;=1,H98+H99+H101+H102, 0)</f>
        <v>2685.7400000000002</v>
      </c>
      <c r="X104">
        <f>IF(Source!BI41=2,H98+H99+H101+H102, 0)</f>
        <v>0</v>
      </c>
      <c r="Y104">
        <f>IF(Source!BI41=3,H98+H99+H101+H102, 0)</f>
        <v>0</v>
      </c>
      <c r="Z104">
        <f>IF(Source!BI41=4,H98+H99+H101+H102, 0)</f>
        <v>0</v>
      </c>
    </row>
    <row r="105" spans="1:26" ht="71.25" x14ac:dyDescent="0.2">
      <c r="A105" s="52">
        <v>10</v>
      </c>
      <c r="B105" s="52" t="s">
        <v>909</v>
      </c>
      <c r="C105" s="52" t="str">
        <f>Source!G42</f>
        <v>РАЗБОРКА КОРОБОВ/Облицовка стен декоративным бумажно-слоистым пластиком или листами из синтетических материалов: по деревянной обрешетке</v>
      </c>
      <c r="D105" s="36" t="str">
        <f>Source!H42</f>
        <v>100 м2</v>
      </c>
      <c r="E105" s="10">
        <f>Source!I42</f>
        <v>3.56E-2</v>
      </c>
      <c r="F105" s="37">
        <f>Source!AL42+Source!AM42+Source!AO42</f>
        <v>1245.82</v>
      </c>
      <c r="G105" s="38"/>
      <c r="H105" s="37"/>
      <c r="I105" s="38" t="str">
        <f>Source!BO42</f>
        <v/>
      </c>
      <c r="J105" s="38"/>
      <c r="K105" s="37"/>
      <c r="L105" s="39"/>
      <c r="S105">
        <f>ROUND((Source!FX42/100)*((ROUND(Source!AF42*Source!I42, 2)+ROUND(Source!AE42*Source!I42, 2))), 2)</f>
        <v>13.07</v>
      </c>
      <c r="T105">
        <f>Source!X42</f>
        <v>418.24</v>
      </c>
      <c r="U105">
        <f>ROUND((Source!FY42/100)*((ROUND(Source!AF42*Source!I42, 2)+ROUND(Source!AE42*Source!I42, 2))), 2)</f>
        <v>6.4</v>
      </c>
      <c r="V105">
        <f>Source!Y42</f>
        <v>204.94</v>
      </c>
    </row>
    <row r="106" spans="1:26" ht="14.25" x14ac:dyDescent="0.2">
      <c r="A106" s="52"/>
      <c r="B106" s="52"/>
      <c r="C106" s="52" t="s">
        <v>894</v>
      </c>
      <c r="D106" s="36"/>
      <c r="E106" s="10"/>
      <c r="F106" s="37">
        <f>Source!AO42</f>
        <v>456.71</v>
      </c>
      <c r="G106" s="38" t="str">
        <f>Source!DG42</f>
        <v>)*0,8</v>
      </c>
      <c r="H106" s="37">
        <f>ROUND(Source!AF42*Source!I42, 2)</f>
        <v>13.01</v>
      </c>
      <c r="I106" s="38"/>
      <c r="J106" s="38">
        <f>IF(Source!BA42&lt;&gt; 0, Source!BA42, 1)</f>
        <v>32.01</v>
      </c>
      <c r="K106" s="37">
        <f>Source!S42</f>
        <v>416.36</v>
      </c>
      <c r="L106" s="39"/>
      <c r="R106">
        <f>H106</f>
        <v>13.01</v>
      </c>
    </row>
    <row r="107" spans="1:26" ht="14.25" x14ac:dyDescent="0.2">
      <c r="A107" s="52"/>
      <c r="B107" s="52"/>
      <c r="C107" s="52" t="s">
        <v>340</v>
      </c>
      <c r="D107" s="36"/>
      <c r="E107" s="10"/>
      <c r="F107" s="37">
        <f>Source!AM42</f>
        <v>7.22</v>
      </c>
      <c r="G107" s="38" t="str">
        <f>Source!DE42</f>
        <v>)*0,8</v>
      </c>
      <c r="H107" s="37">
        <f>ROUND(((((Source!ET42*0.8))-((Source!EU42*0.8)))+Source!AE42)*Source!I42, 2)</f>
        <v>0.21</v>
      </c>
      <c r="I107" s="38"/>
      <c r="J107" s="38">
        <f>IF(Source!BB42&lt;&gt; 0, Source!BB42, 1)</f>
        <v>12.44</v>
      </c>
      <c r="K107" s="37">
        <f>Source!Q42</f>
        <v>2.56</v>
      </c>
      <c r="L107" s="39"/>
    </row>
    <row r="108" spans="1:26" ht="14.25" x14ac:dyDescent="0.2">
      <c r="A108" s="52"/>
      <c r="B108" s="52"/>
      <c r="C108" s="52" t="s">
        <v>895</v>
      </c>
      <c r="D108" s="36"/>
      <c r="E108" s="10"/>
      <c r="F108" s="37">
        <f>Source!AN42</f>
        <v>2.06</v>
      </c>
      <c r="G108" s="38" t="str">
        <f>Source!DF42</f>
        <v>)*0,8</v>
      </c>
      <c r="H108" s="40">
        <f>ROUND(Source!AE42*Source!I42, 2)</f>
        <v>0.06</v>
      </c>
      <c r="I108" s="38"/>
      <c r="J108" s="38">
        <f>IF(Source!BS42&lt;&gt; 0, Source!BS42, 1)</f>
        <v>32.01</v>
      </c>
      <c r="K108" s="40">
        <f>Source!R42</f>
        <v>1.88</v>
      </c>
      <c r="L108" s="39"/>
      <c r="R108">
        <f>H108</f>
        <v>0.06</v>
      </c>
    </row>
    <row r="109" spans="1:26" ht="14.25" x14ac:dyDescent="0.2">
      <c r="A109" s="52"/>
      <c r="B109" s="52"/>
      <c r="C109" s="52" t="s">
        <v>896</v>
      </c>
      <c r="D109" s="36" t="s">
        <v>897</v>
      </c>
      <c r="E109" s="10">
        <f>Source!BZ42</f>
        <v>100</v>
      </c>
      <c r="F109" s="54"/>
      <c r="G109" s="38"/>
      <c r="H109" s="37">
        <f>SUM(S105:S111)</f>
        <v>13.07</v>
      </c>
      <c r="I109" s="41"/>
      <c r="J109" s="35">
        <f>Source!AT42</f>
        <v>100</v>
      </c>
      <c r="K109" s="37">
        <f>SUM(T105:T111)</f>
        <v>418.24</v>
      </c>
      <c r="L109" s="39"/>
    </row>
    <row r="110" spans="1:26" ht="14.25" x14ac:dyDescent="0.2">
      <c r="A110" s="52"/>
      <c r="B110" s="52"/>
      <c r="C110" s="52" t="s">
        <v>898</v>
      </c>
      <c r="D110" s="36" t="s">
        <v>897</v>
      </c>
      <c r="E110" s="10">
        <f>Source!CA42</f>
        <v>49</v>
      </c>
      <c r="F110" s="54"/>
      <c r="G110" s="38"/>
      <c r="H110" s="37">
        <f>SUM(U105:U111)</f>
        <v>6.4</v>
      </c>
      <c r="I110" s="41"/>
      <c r="J110" s="35">
        <f>Source!AU42</f>
        <v>49</v>
      </c>
      <c r="K110" s="37">
        <f>SUM(V105:V111)</f>
        <v>204.94</v>
      </c>
      <c r="L110" s="39"/>
    </row>
    <row r="111" spans="1:26" ht="14.25" x14ac:dyDescent="0.2">
      <c r="A111" s="53"/>
      <c r="B111" s="53"/>
      <c r="C111" s="53" t="s">
        <v>899</v>
      </c>
      <c r="D111" s="42" t="s">
        <v>900</v>
      </c>
      <c r="E111" s="43">
        <f>Source!AQ42</f>
        <v>49.75</v>
      </c>
      <c r="F111" s="44"/>
      <c r="G111" s="45" t="str">
        <f>Source!DI42</f>
        <v>)*0,8</v>
      </c>
      <c r="H111" s="44"/>
      <c r="I111" s="45"/>
      <c r="J111" s="45"/>
      <c r="K111" s="44"/>
      <c r="L111" s="46">
        <f>Source!U42</f>
        <v>1.4168800000000001</v>
      </c>
    </row>
    <row r="112" spans="1:26" ht="15" x14ac:dyDescent="0.25">
      <c r="G112" s="61">
        <f>H106+H107+H109+H110</f>
        <v>32.69</v>
      </c>
      <c r="H112" s="61"/>
      <c r="J112" s="61">
        <f>K106+K107+K109+K110</f>
        <v>1042.1000000000001</v>
      </c>
      <c r="K112" s="61"/>
      <c r="L112" s="47">
        <f>Source!U42</f>
        <v>1.4168800000000001</v>
      </c>
      <c r="O112" s="29">
        <f>G112</f>
        <v>32.69</v>
      </c>
      <c r="P112" s="29">
        <f>J112</f>
        <v>1042.1000000000001</v>
      </c>
      <c r="Q112" s="29">
        <f>L112</f>
        <v>1.4168800000000001</v>
      </c>
      <c r="W112">
        <f>IF(Source!BI42&lt;=1,H106+H107+H109+H110, 0)</f>
        <v>32.69</v>
      </c>
      <c r="X112">
        <f>IF(Source!BI42=2,H106+H107+H109+H110, 0)</f>
        <v>0</v>
      </c>
      <c r="Y112">
        <f>IF(Source!BI42=3,H106+H107+H109+H110, 0)</f>
        <v>0</v>
      </c>
      <c r="Z112">
        <f>IF(Source!BI42=4,H106+H107+H109+H110, 0)</f>
        <v>0</v>
      </c>
    </row>
    <row r="113" spans="1:26" ht="42.75" x14ac:dyDescent="0.2">
      <c r="A113" s="52">
        <v>11</v>
      </c>
      <c r="B113" s="52" t="s">
        <v>910</v>
      </c>
      <c r="C113" s="52" t="str">
        <f>Source!G43</f>
        <v>Замена элементов облицовки потолков: плит растровых потолков с заменой каркаса</v>
      </c>
      <c r="D113" s="36" t="str">
        <f>Source!H43</f>
        <v>100 м2</v>
      </c>
      <c r="E113" s="10">
        <f>Source!I43</f>
        <v>3.1</v>
      </c>
      <c r="F113" s="37">
        <f>Source!AL43+Source!AM43+Source!AO43</f>
        <v>6199.66</v>
      </c>
      <c r="G113" s="38"/>
      <c r="H113" s="37"/>
      <c r="I113" s="38" t="str">
        <f>Source!BO43</f>
        <v/>
      </c>
      <c r="J113" s="38"/>
      <c r="K113" s="37"/>
      <c r="L113" s="39"/>
      <c r="S113">
        <f>ROUND((Source!FX43/100)*((ROUND(Source!AF43*Source!I43, 2)+ROUND(Source!AE43*Source!I43, 2))), 2)</f>
        <v>3649.52</v>
      </c>
      <c r="T113">
        <f>Source!X43</f>
        <v>116820.99</v>
      </c>
      <c r="U113">
        <f>ROUND((Source!FY43/100)*((ROUND(Source!AF43*Source!I43, 2)+ROUND(Source!AE43*Source!I43, 2))), 2)</f>
        <v>1824.76</v>
      </c>
      <c r="V113">
        <f>Source!Y43</f>
        <v>58410.5</v>
      </c>
    </row>
    <row r="114" spans="1:26" x14ac:dyDescent="0.2">
      <c r="C114" s="28" t="str">
        <f>"Объем: "&amp;Source!I43&amp;"=310/"&amp;"100"</f>
        <v>Объем: 3,1=310/100</v>
      </c>
    </row>
    <row r="115" spans="1:26" ht="14.25" x14ac:dyDescent="0.2">
      <c r="A115" s="52"/>
      <c r="B115" s="52"/>
      <c r="C115" s="52" t="s">
        <v>894</v>
      </c>
      <c r="D115" s="36"/>
      <c r="E115" s="10"/>
      <c r="F115" s="37">
        <f>Source!AO43</f>
        <v>1307.78</v>
      </c>
      <c r="G115" s="38" t="str">
        <f>Source!DG43</f>
        <v/>
      </c>
      <c r="H115" s="37">
        <f>ROUND(Source!AF43*Source!I43, 2)</f>
        <v>4054.12</v>
      </c>
      <c r="I115" s="38"/>
      <c r="J115" s="38">
        <f>IF(Source!BA43&lt;&gt; 0, Source!BA43, 1)</f>
        <v>32.01</v>
      </c>
      <c r="K115" s="37">
        <f>Source!S43</f>
        <v>129772.32</v>
      </c>
      <c r="L115" s="39"/>
      <c r="R115">
        <f>H115</f>
        <v>4054.12</v>
      </c>
    </row>
    <row r="116" spans="1:26" ht="14.25" x14ac:dyDescent="0.2">
      <c r="A116" s="52"/>
      <c r="B116" s="52"/>
      <c r="C116" s="52" t="s">
        <v>340</v>
      </c>
      <c r="D116" s="36"/>
      <c r="E116" s="10"/>
      <c r="F116" s="37">
        <f>Source!AM43</f>
        <v>0.76</v>
      </c>
      <c r="G116" s="38" t="str">
        <f>Source!DE43</f>
        <v/>
      </c>
      <c r="H116" s="37">
        <f>ROUND((((Source!ET43)-(Source!EU43))+Source!AE43)*Source!I43, 2)</f>
        <v>2.36</v>
      </c>
      <c r="I116" s="38"/>
      <c r="J116" s="38">
        <f>IF(Source!BB43&lt;&gt; 0, Source!BB43, 1)</f>
        <v>12.44</v>
      </c>
      <c r="K116" s="37">
        <f>Source!Q43</f>
        <v>29.31</v>
      </c>
      <c r="L116" s="39"/>
    </row>
    <row r="117" spans="1:26" ht="14.25" x14ac:dyDescent="0.2">
      <c r="A117" s="52"/>
      <c r="B117" s="52"/>
      <c r="C117" s="52" t="s">
        <v>895</v>
      </c>
      <c r="D117" s="36"/>
      <c r="E117" s="10"/>
      <c r="F117" s="37">
        <f>Source!AN43</f>
        <v>0.28999999999999998</v>
      </c>
      <c r="G117" s="38" t="str">
        <f>Source!DF43</f>
        <v/>
      </c>
      <c r="H117" s="40">
        <f>ROUND(Source!AE43*Source!I43, 2)</f>
        <v>0.9</v>
      </c>
      <c r="I117" s="38"/>
      <c r="J117" s="38">
        <f>IF(Source!BS43&lt;&gt; 0, Source!BS43, 1)</f>
        <v>32.01</v>
      </c>
      <c r="K117" s="40">
        <f>Source!R43</f>
        <v>28.78</v>
      </c>
      <c r="L117" s="39"/>
      <c r="R117">
        <f>H117</f>
        <v>0.9</v>
      </c>
    </row>
    <row r="118" spans="1:26" ht="14.25" x14ac:dyDescent="0.2">
      <c r="A118" s="52"/>
      <c r="B118" s="52"/>
      <c r="C118" s="52" t="s">
        <v>911</v>
      </c>
      <c r="D118" s="36"/>
      <c r="E118" s="10"/>
      <c r="F118" s="37">
        <f>Source!AL43</f>
        <v>4891.12</v>
      </c>
      <c r="G118" s="38" t="str">
        <f>Source!DD43</f>
        <v/>
      </c>
      <c r="H118" s="37">
        <f>ROUND(Source!AC43*Source!I43, 2)</f>
        <v>15162.47</v>
      </c>
      <c r="I118" s="38"/>
      <c r="J118" s="38">
        <f>IF(Source!BC43&lt;&gt; 0, Source!BC43, 1)</f>
        <v>8.9</v>
      </c>
      <c r="K118" s="37">
        <f>Source!P43</f>
        <v>134946</v>
      </c>
      <c r="L118" s="39"/>
    </row>
    <row r="119" spans="1:26" ht="14.25" x14ac:dyDescent="0.2">
      <c r="A119" s="52"/>
      <c r="B119" s="52"/>
      <c r="C119" s="52" t="s">
        <v>896</v>
      </c>
      <c r="D119" s="36" t="s">
        <v>897</v>
      </c>
      <c r="E119" s="10">
        <f>Source!BZ43</f>
        <v>90</v>
      </c>
      <c r="F119" s="54"/>
      <c r="G119" s="38"/>
      <c r="H119" s="37">
        <f>SUM(S113:S125)</f>
        <v>3649.52</v>
      </c>
      <c r="I119" s="41"/>
      <c r="J119" s="35">
        <f>Source!AT43</f>
        <v>90</v>
      </c>
      <c r="K119" s="37">
        <f>SUM(T113:T125)</f>
        <v>116820.99</v>
      </c>
      <c r="L119" s="39"/>
    </row>
    <row r="120" spans="1:26" ht="14.25" x14ac:dyDescent="0.2">
      <c r="A120" s="52"/>
      <c r="B120" s="52"/>
      <c r="C120" s="52" t="s">
        <v>898</v>
      </c>
      <c r="D120" s="36" t="s">
        <v>897</v>
      </c>
      <c r="E120" s="10">
        <f>Source!CA43</f>
        <v>45</v>
      </c>
      <c r="F120" s="54"/>
      <c r="G120" s="38"/>
      <c r="H120" s="37">
        <f>SUM(U113:U125)</f>
        <v>1824.76</v>
      </c>
      <c r="I120" s="41"/>
      <c r="J120" s="35">
        <f>Source!AU43</f>
        <v>45</v>
      </c>
      <c r="K120" s="37">
        <f>SUM(V113:V125)</f>
        <v>58410.5</v>
      </c>
      <c r="L120" s="39"/>
    </row>
    <row r="121" spans="1:26" ht="14.25" x14ac:dyDescent="0.2">
      <c r="A121" s="52"/>
      <c r="B121" s="52"/>
      <c r="C121" s="52" t="s">
        <v>899</v>
      </c>
      <c r="D121" s="36" t="s">
        <v>900</v>
      </c>
      <c r="E121" s="10">
        <f>Source!AQ43</f>
        <v>142.46</v>
      </c>
      <c r="F121" s="37"/>
      <c r="G121" s="38" t="str">
        <f>Source!DI43</f>
        <v/>
      </c>
      <c r="H121" s="37"/>
      <c r="I121" s="38"/>
      <c r="J121" s="38"/>
      <c r="K121" s="37"/>
      <c r="L121" s="49">
        <f>Source!U43</f>
        <v>441.62600000000003</v>
      </c>
    </row>
    <row r="122" spans="1:26" ht="28.5" x14ac:dyDescent="0.2">
      <c r="A122" s="52">
        <v>11.1</v>
      </c>
      <c r="B122" s="52" t="s">
        <v>114</v>
      </c>
      <c r="C122" s="52" t="str">
        <f>Source!G44</f>
        <v>Строительный мусор и масса возвратных материалов</v>
      </c>
      <c r="D122" s="36" t="str">
        <f>Source!H44</f>
        <v>т</v>
      </c>
      <c r="E122" s="10">
        <f>Source!I44</f>
        <v>0.79425100000000004</v>
      </c>
      <c r="F122" s="37">
        <f>Source!AL44+Source!AM44+Source!AO44</f>
        <v>0</v>
      </c>
      <c r="G122" s="51" t="s">
        <v>3</v>
      </c>
      <c r="H122" s="37">
        <f>ROUND(Source!AC44*Source!I44, 2)+ROUND((((Source!ET44)-(Source!EU44))+Source!AE44)*Source!I44, 2)+ROUND(Source!AF44*Source!I44, 2)</f>
        <v>0</v>
      </c>
      <c r="I122" s="38"/>
      <c r="J122" s="38">
        <f>IF(Source!BC44&lt;&gt; 0, Source!BC44, 1)</f>
        <v>8.9</v>
      </c>
      <c r="K122" s="37">
        <f>Source!O44</f>
        <v>0</v>
      </c>
      <c r="L122" s="39"/>
      <c r="S122">
        <f>ROUND((Source!FX44/100)*((ROUND(Source!AF44*Source!I44, 2)+ROUND(Source!AE44*Source!I44, 2))), 2)</f>
        <v>0</v>
      </c>
      <c r="T122">
        <f>Source!X44</f>
        <v>0</v>
      </c>
      <c r="U122">
        <f>ROUND((Source!FY44/100)*((ROUND(Source!AF44*Source!I44, 2)+ROUND(Source!AE44*Source!I44, 2))), 2)</f>
        <v>0</v>
      </c>
      <c r="V122">
        <f>Source!Y44</f>
        <v>0</v>
      </c>
      <c r="W122">
        <f>IF(Source!BI44&lt;=1,H122, 0)</f>
        <v>0</v>
      </c>
      <c r="X122">
        <f>IF(Source!BI44=2,H122, 0)</f>
        <v>0</v>
      </c>
      <c r="Y122">
        <f>IF(Source!BI44=3,H122, 0)</f>
        <v>0</v>
      </c>
      <c r="Z122">
        <f>IF(Source!BI44=4,H122, 0)</f>
        <v>0</v>
      </c>
    </row>
    <row r="123" spans="1:26" ht="42.75" x14ac:dyDescent="0.2">
      <c r="A123" s="52">
        <v>11.2</v>
      </c>
      <c r="B123" s="52" t="s">
        <v>912</v>
      </c>
      <c r="C123" s="52" t="s">
        <v>913</v>
      </c>
      <c r="D123" s="36" t="str">
        <f>Source!H45</f>
        <v>м2</v>
      </c>
      <c r="E123" s="10">
        <f>Source!I45</f>
        <v>-319.3</v>
      </c>
      <c r="F123" s="37">
        <f>Source!AL45+Source!AM45+Source!AO45</f>
        <v>42.94</v>
      </c>
      <c r="G123" s="51" t="s">
        <v>3</v>
      </c>
      <c r="H123" s="37">
        <f>ROUND(Source!AC45*Source!I45, 2)+ROUND((((Source!ET45)-(Source!EU45))+Source!AE45)*Source!I45, 2)+ROUND(Source!AF45*Source!I45, 2)</f>
        <v>-13710.74</v>
      </c>
      <c r="I123" s="38"/>
      <c r="J123" s="38">
        <f>IF(Source!BC45&lt;&gt; 0, Source!BC45, 1)</f>
        <v>8.9</v>
      </c>
      <c r="K123" s="37">
        <f>Source!O45</f>
        <v>-122025.60000000001</v>
      </c>
      <c r="L123" s="39"/>
      <c r="S123">
        <f>ROUND((Source!FX45/100)*((ROUND(Source!AF45*Source!I45, 2)+ROUND(Source!AE45*Source!I45, 2))), 2)</f>
        <v>0</v>
      </c>
      <c r="T123">
        <f>Source!X45</f>
        <v>0</v>
      </c>
      <c r="U123">
        <f>ROUND((Source!FY45/100)*((ROUND(Source!AF45*Source!I45, 2)+ROUND(Source!AE45*Source!I45, 2))), 2)</f>
        <v>0</v>
      </c>
      <c r="V123">
        <f>Source!Y45</f>
        <v>0</v>
      </c>
      <c r="W123">
        <f>IF(Source!BI45&lt;=1,H123, 0)</f>
        <v>-13710.74</v>
      </c>
      <c r="X123">
        <f>IF(Source!BI45=2,H123, 0)</f>
        <v>0</v>
      </c>
      <c r="Y123">
        <f>IF(Source!BI45=3,H123, 0)</f>
        <v>0</v>
      </c>
      <c r="Z123">
        <f>IF(Source!BI45=4,H123, 0)</f>
        <v>0</v>
      </c>
    </row>
    <row r="124" spans="1:26" ht="42.75" x14ac:dyDescent="0.2">
      <c r="A124" s="52">
        <v>11.3</v>
      </c>
      <c r="B124" s="52" t="s">
        <v>914</v>
      </c>
      <c r="C124" s="52" t="s">
        <v>915</v>
      </c>
      <c r="D124" s="36" t="str">
        <f>Source!H46</f>
        <v>100 ШТ</v>
      </c>
      <c r="E124" s="10">
        <f>Source!I46</f>
        <v>-9.3930000000000007</v>
      </c>
      <c r="F124" s="37">
        <f>Source!AL46+Source!AM46+Source!AO46</f>
        <v>70</v>
      </c>
      <c r="G124" s="51" t="s">
        <v>3</v>
      </c>
      <c r="H124" s="37">
        <f>ROUND(Source!AC46*Source!I46, 2)+ROUND((((Source!ET46)-(Source!EU46))+Source!AE46)*Source!I46, 2)+ROUND(Source!AF46*Source!I46, 2)</f>
        <v>-657.51</v>
      </c>
      <c r="I124" s="38"/>
      <c r="J124" s="38">
        <f>IF(Source!BC46&lt;&gt; 0, Source!BC46, 1)</f>
        <v>8.9</v>
      </c>
      <c r="K124" s="37">
        <f>Source!O46</f>
        <v>-5851.84</v>
      </c>
      <c r="L124" s="39"/>
      <c r="S124">
        <f>ROUND((Source!FX46/100)*((ROUND(Source!AF46*Source!I46, 2)+ROUND(Source!AE46*Source!I46, 2))), 2)</f>
        <v>0</v>
      </c>
      <c r="T124">
        <f>Source!X46</f>
        <v>0</v>
      </c>
      <c r="U124">
        <f>ROUND((Source!FY46/100)*((ROUND(Source!AF46*Source!I46, 2)+ROUND(Source!AE46*Source!I46, 2))), 2)</f>
        <v>0</v>
      </c>
      <c r="V124">
        <f>Source!Y46</f>
        <v>0</v>
      </c>
      <c r="W124">
        <f>IF(Source!BI46&lt;=1,H124, 0)</f>
        <v>-657.51</v>
      </c>
      <c r="X124">
        <f>IF(Source!BI46=2,H124, 0)</f>
        <v>0</v>
      </c>
      <c r="Y124">
        <f>IF(Source!BI46=3,H124, 0)</f>
        <v>0</v>
      </c>
      <c r="Z124">
        <f>IF(Source!BI46=4,H124, 0)</f>
        <v>0</v>
      </c>
    </row>
    <row r="125" spans="1:26" ht="42.75" x14ac:dyDescent="0.2">
      <c r="A125" s="53">
        <v>11.4</v>
      </c>
      <c r="B125" s="53" t="s">
        <v>916</v>
      </c>
      <c r="C125" s="53" t="s">
        <v>917</v>
      </c>
      <c r="D125" s="42" t="str">
        <f>Source!H47</f>
        <v>100 ШТ</v>
      </c>
      <c r="E125" s="43">
        <f>Source!I47</f>
        <v>-2.17</v>
      </c>
      <c r="F125" s="44">
        <f>Source!AL47+Source!AM47+Source!AO47</f>
        <v>366</v>
      </c>
      <c r="G125" s="50" t="s">
        <v>3</v>
      </c>
      <c r="H125" s="44">
        <f>ROUND(Source!AC47*Source!I47, 2)+ROUND((((Source!ET47)-(Source!EU47))+Source!AE47)*Source!I47, 2)+ROUND(Source!AF47*Source!I47, 2)</f>
        <v>-794.22</v>
      </c>
      <c r="I125" s="45"/>
      <c r="J125" s="45">
        <f>IF(Source!BC47&lt;&gt; 0, Source!BC47, 1)</f>
        <v>8.9</v>
      </c>
      <c r="K125" s="44">
        <f>Source!O47</f>
        <v>-7068.56</v>
      </c>
      <c r="L125" s="48"/>
      <c r="S125">
        <f>ROUND((Source!FX47/100)*((ROUND(Source!AF47*Source!I47, 2)+ROUND(Source!AE47*Source!I47, 2))), 2)</f>
        <v>0</v>
      </c>
      <c r="T125">
        <f>Source!X47</f>
        <v>0</v>
      </c>
      <c r="U125">
        <f>ROUND((Source!FY47/100)*((ROUND(Source!AF47*Source!I47, 2)+ROUND(Source!AE47*Source!I47, 2))), 2)</f>
        <v>0</v>
      </c>
      <c r="V125">
        <f>Source!Y47</f>
        <v>0</v>
      </c>
      <c r="W125">
        <f>IF(Source!BI47&lt;=1,H125, 0)</f>
        <v>-794.22</v>
      </c>
      <c r="X125">
        <f>IF(Source!BI47=2,H125, 0)</f>
        <v>0</v>
      </c>
      <c r="Y125">
        <f>IF(Source!BI47=3,H125, 0)</f>
        <v>0</v>
      </c>
      <c r="Z125">
        <f>IF(Source!BI47=4,H125, 0)</f>
        <v>0</v>
      </c>
    </row>
    <row r="126" spans="1:26" ht="15" x14ac:dyDescent="0.25">
      <c r="G126" s="61">
        <f>H115+H116+H118+H119+H120+SUM(H122:H125)</f>
        <v>9530.76</v>
      </c>
      <c r="H126" s="61"/>
      <c r="J126" s="61">
        <f>K115+K116+K118+K119+K120+SUM(K122:K125)</f>
        <v>305033.12</v>
      </c>
      <c r="K126" s="61"/>
      <c r="L126" s="47">
        <f>Source!U43</f>
        <v>441.62600000000003</v>
      </c>
      <c r="O126" s="29">
        <f>G126</f>
        <v>9530.76</v>
      </c>
      <c r="P126" s="29">
        <f>J126</f>
        <v>305033.12</v>
      </c>
      <c r="Q126" s="29">
        <f>L126</f>
        <v>441.62600000000003</v>
      </c>
      <c r="W126">
        <f>IF(Source!BI43&lt;=1,H115+H116+H118+H119+H120, 0)</f>
        <v>24693.23</v>
      </c>
      <c r="X126">
        <f>IF(Source!BI43=2,H115+H116+H118+H119+H120, 0)</f>
        <v>0</v>
      </c>
      <c r="Y126">
        <f>IF(Source!BI43=3,H115+H116+H118+H119+H120, 0)</f>
        <v>0</v>
      </c>
      <c r="Z126">
        <f>IF(Source!BI43=4,H115+H116+H118+H119+H120, 0)</f>
        <v>0</v>
      </c>
    </row>
    <row r="127" spans="1:26" ht="54" x14ac:dyDescent="0.2">
      <c r="A127" s="52">
        <v>12</v>
      </c>
      <c r="B127" s="52" t="s">
        <v>29</v>
      </c>
      <c r="C127" s="52" t="s">
        <v>918</v>
      </c>
      <c r="D127" s="36" t="str">
        <f>Source!H48</f>
        <v>м2</v>
      </c>
      <c r="E127" s="10">
        <f>Source!I48</f>
        <v>319.3</v>
      </c>
      <c r="F127" s="37">
        <f>Source!AL48</f>
        <v>51.910000000000004</v>
      </c>
      <c r="G127" s="38" t="str">
        <f>Source!DD48</f>
        <v/>
      </c>
      <c r="H127" s="37">
        <f>ROUND(Source!AC48*Source!I48, 2)</f>
        <v>16574.86</v>
      </c>
      <c r="I127" s="38" t="str">
        <f>Source!BO48</f>
        <v/>
      </c>
      <c r="J127" s="38">
        <f>IF(Source!BC48&lt;&gt; 0, Source!BC48, 1)</f>
        <v>8.9</v>
      </c>
      <c r="K127" s="37">
        <f>Source!P48</f>
        <v>147516.28</v>
      </c>
      <c r="L127" s="39"/>
      <c r="S127">
        <f>ROUND((Source!FX48/100)*((ROUND(Source!AF48*Source!I48, 2)+ROUND(Source!AE48*Source!I48, 2))), 2)</f>
        <v>0</v>
      </c>
      <c r="T127">
        <f>Source!X48</f>
        <v>0</v>
      </c>
      <c r="U127">
        <f>ROUND((Source!FY48/100)*((ROUND(Source!AF48*Source!I48, 2)+ROUND(Source!AE48*Source!I48, 2))), 2)</f>
        <v>0</v>
      </c>
      <c r="V127">
        <f>Source!Y48</f>
        <v>0</v>
      </c>
    </row>
    <row r="128" spans="1:26" x14ac:dyDescent="0.2">
      <c r="A128" s="31"/>
      <c r="B128" s="31"/>
      <c r="C128" s="32" t="str">
        <f>"Объем: "&amp;Source!I48&amp;"="&amp;Source!I43&amp;"*"&amp;"103"</f>
        <v>Объем: 319,3=3,1*103</v>
      </c>
      <c r="D128" s="31"/>
      <c r="E128" s="31"/>
      <c r="F128" s="31"/>
      <c r="G128" s="31"/>
      <c r="H128" s="31"/>
      <c r="I128" s="31"/>
      <c r="J128" s="31"/>
      <c r="K128" s="31"/>
      <c r="L128" s="31"/>
    </row>
    <row r="129" spans="1:26" ht="15" x14ac:dyDescent="0.25">
      <c r="G129" s="61">
        <f>H127</f>
        <v>16574.86</v>
      </c>
      <c r="H129" s="61"/>
      <c r="J129" s="61">
        <f>K127</f>
        <v>147516.28</v>
      </c>
      <c r="K129" s="61"/>
      <c r="L129" s="47">
        <f>Source!U48</f>
        <v>0</v>
      </c>
      <c r="O129" s="29">
        <f>G129</f>
        <v>16574.86</v>
      </c>
      <c r="P129" s="29">
        <f>J129</f>
        <v>147516.28</v>
      </c>
      <c r="Q129" s="29">
        <f>L129</f>
        <v>0</v>
      </c>
      <c r="W129">
        <f>IF(Source!BI48&lt;=1,H127, 0)</f>
        <v>16574.86</v>
      </c>
      <c r="X129">
        <f>IF(Source!BI48=2,H127, 0)</f>
        <v>0</v>
      </c>
      <c r="Y129">
        <f>IF(Source!BI48=3,H127, 0)</f>
        <v>0</v>
      </c>
      <c r="Z129">
        <f>IF(Source!BI48=4,H127, 0)</f>
        <v>0</v>
      </c>
    </row>
    <row r="130" spans="1:26" ht="54" x14ac:dyDescent="0.2">
      <c r="A130" s="52">
        <v>13</v>
      </c>
      <c r="B130" s="52" t="s">
        <v>29</v>
      </c>
      <c r="C130" s="52" t="s">
        <v>919</v>
      </c>
      <c r="D130" s="36" t="str">
        <f>Source!H49</f>
        <v>м2</v>
      </c>
      <c r="E130" s="10">
        <f>Source!I49</f>
        <v>313.10000000000002</v>
      </c>
      <c r="F130" s="37">
        <f>Source!AL49</f>
        <v>26.479999999999997</v>
      </c>
      <c r="G130" s="38" t="str">
        <f>Source!DD49</f>
        <v/>
      </c>
      <c r="H130" s="37">
        <f>ROUND(Source!AC49*Source!I49, 2)</f>
        <v>8290.89</v>
      </c>
      <c r="I130" s="38" t="str">
        <f>Source!BO49</f>
        <v/>
      </c>
      <c r="J130" s="38">
        <f>IF(Source!BC49&lt;&gt; 0, Source!BC49, 1)</f>
        <v>8.9</v>
      </c>
      <c r="K130" s="37">
        <f>Source!P49</f>
        <v>73788.899999999994</v>
      </c>
      <c r="L130" s="39"/>
      <c r="S130">
        <f>ROUND((Source!FX49/100)*((ROUND(Source!AF49*Source!I49, 2)+ROUND(Source!AE49*Source!I49, 2))), 2)</f>
        <v>0</v>
      </c>
      <c r="T130">
        <f>Source!X49</f>
        <v>0</v>
      </c>
      <c r="U130">
        <f>ROUND((Source!FY49/100)*((ROUND(Source!AF49*Source!I49, 2)+ROUND(Source!AE49*Source!I49, 2))), 2)</f>
        <v>0</v>
      </c>
      <c r="V130">
        <f>Source!Y49</f>
        <v>0</v>
      </c>
    </row>
    <row r="131" spans="1:26" x14ac:dyDescent="0.2">
      <c r="A131" s="31"/>
      <c r="B131" s="31"/>
      <c r="C131" s="32" t="str">
        <f>"Объем: "&amp;Source!I49&amp;"="&amp;Source!I43&amp;"*"&amp;"101"</f>
        <v>Объем: 313,1=3,1*101</v>
      </c>
      <c r="D131" s="31"/>
      <c r="E131" s="31"/>
      <c r="F131" s="31"/>
      <c r="G131" s="31"/>
      <c r="H131" s="31"/>
      <c r="I131" s="31"/>
      <c r="J131" s="31"/>
      <c r="K131" s="31"/>
      <c r="L131" s="31"/>
    </row>
    <row r="132" spans="1:26" ht="15" x14ac:dyDescent="0.25">
      <c r="G132" s="61">
        <f>H130</f>
        <v>8290.89</v>
      </c>
      <c r="H132" s="61"/>
      <c r="J132" s="61">
        <f>K130</f>
        <v>73788.899999999994</v>
      </c>
      <c r="K132" s="61"/>
      <c r="L132" s="47">
        <f>Source!U49</f>
        <v>0</v>
      </c>
      <c r="O132" s="29">
        <f>G132</f>
        <v>8290.89</v>
      </c>
      <c r="P132" s="29">
        <f>J132</f>
        <v>73788.899999999994</v>
      </c>
      <c r="Q132" s="29">
        <f>L132</f>
        <v>0</v>
      </c>
      <c r="W132">
        <f>IF(Source!BI49&lt;=1,H130, 0)</f>
        <v>8290.89</v>
      </c>
      <c r="X132">
        <f>IF(Source!BI49=2,H130, 0)</f>
        <v>0</v>
      </c>
      <c r="Y132">
        <f>IF(Source!BI49=3,H130, 0)</f>
        <v>0</v>
      </c>
      <c r="Z132">
        <f>IF(Source!BI49=4,H130, 0)</f>
        <v>0</v>
      </c>
    </row>
    <row r="133" spans="1:26" ht="28.5" x14ac:dyDescent="0.2">
      <c r="A133" s="52">
        <v>14</v>
      </c>
      <c r="B133" s="52" t="s">
        <v>920</v>
      </c>
      <c r="C133" s="52" t="str">
        <f>Source!G50</f>
        <v>Разборка покрытий полов: из керамических плиток</v>
      </c>
      <c r="D133" s="36" t="str">
        <f>Source!H50</f>
        <v>100 м2</v>
      </c>
      <c r="E133" s="10">
        <f>Source!I50</f>
        <v>2.58</v>
      </c>
      <c r="F133" s="37">
        <f>Source!AL50+Source!AM50+Source!AO50</f>
        <v>641</v>
      </c>
      <c r="G133" s="38"/>
      <c r="H133" s="37"/>
      <c r="I133" s="38" t="str">
        <f>Source!BO50</f>
        <v/>
      </c>
      <c r="J133" s="38"/>
      <c r="K133" s="37"/>
      <c r="L133" s="39"/>
      <c r="S133">
        <f>ROUND((Source!FX50/100)*((ROUND(Source!AF50*Source!I50, 2)+ROUND(Source!AE50*Source!I50, 2))), 2)</f>
        <v>1413.15</v>
      </c>
      <c r="T133">
        <f>Source!X50</f>
        <v>45234.94</v>
      </c>
      <c r="U133">
        <f>ROUND((Source!FY50/100)*((ROUND(Source!AF50*Source!I50, 2)+ROUND(Source!AE50*Source!I50, 2))), 2)</f>
        <v>778.03</v>
      </c>
      <c r="V133">
        <f>Source!Y50</f>
        <v>24904.63</v>
      </c>
    </row>
    <row r="134" spans="1:26" x14ac:dyDescent="0.2">
      <c r="C134" s="28" t="str">
        <f>"Объем: "&amp;Source!I50&amp;"=258/"&amp;"100"</f>
        <v>Объем: 2,58=258/100</v>
      </c>
    </row>
    <row r="135" spans="1:26" ht="14.25" x14ac:dyDescent="0.2">
      <c r="A135" s="52"/>
      <c r="B135" s="52"/>
      <c r="C135" s="52" t="s">
        <v>894</v>
      </c>
      <c r="D135" s="36"/>
      <c r="E135" s="10"/>
      <c r="F135" s="37">
        <f>Source!AO50</f>
        <v>595.99</v>
      </c>
      <c r="G135" s="38" t="str">
        <f>Source!DG50</f>
        <v/>
      </c>
      <c r="H135" s="37">
        <f>ROUND(Source!AF50*Source!I50, 2)</f>
        <v>1537.65</v>
      </c>
      <c r="I135" s="38"/>
      <c r="J135" s="38">
        <f>IF(Source!BA50&lt;&gt; 0, Source!BA50, 1)</f>
        <v>32.01</v>
      </c>
      <c r="K135" s="37">
        <f>Source!S50</f>
        <v>49220.31</v>
      </c>
      <c r="L135" s="39"/>
      <c r="R135">
        <f>H135</f>
        <v>1537.65</v>
      </c>
    </row>
    <row r="136" spans="1:26" ht="14.25" x14ac:dyDescent="0.2">
      <c r="A136" s="52"/>
      <c r="B136" s="52"/>
      <c r="C136" s="52" t="s">
        <v>340</v>
      </c>
      <c r="D136" s="36"/>
      <c r="E136" s="10"/>
      <c r="F136" s="37">
        <f>Source!AM50</f>
        <v>45.01</v>
      </c>
      <c r="G136" s="38" t="str">
        <f>Source!DE50</f>
        <v/>
      </c>
      <c r="H136" s="37">
        <f>ROUND((((Source!ET50)-(Source!EU50))+Source!AE50)*Source!I50, 2)</f>
        <v>116.13</v>
      </c>
      <c r="I136" s="38"/>
      <c r="J136" s="38">
        <f>IF(Source!BB50&lt;&gt; 0, Source!BB50, 1)</f>
        <v>12.44</v>
      </c>
      <c r="K136" s="37">
        <f>Source!Q50</f>
        <v>1444.6</v>
      </c>
      <c r="L136" s="39"/>
    </row>
    <row r="137" spans="1:26" ht="14.25" x14ac:dyDescent="0.2">
      <c r="A137" s="52"/>
      <c r="B137" s="52"/>
      <c r="C137" s="52" t="s">
        <v>895</v>
      </c>
      <c r="D137" s="36"/>
      <c r="E137" s="10"/>
      <c r="F137" s="37">
        <f>Source!AN50</f>
        <v>19.440000000000001</v>
      </c>
      <c r="G137" s="38" t="str">
        <f>Source!DF50</f>
        <v/>
      </c>
      <c r="H137" s="40">
        <f>ROUND(Source!AE50*Source!I50, 2)</f>
        <v>50.16</v>
      </c>
      <c r="I137" s="38"/>
      <c r="J137" s="38">
        <f>IF(Source!BS50&lt;&gt; 0, Source!BS50, 1)</f>
        <v>32.01</v>
      </c>
      <c r="K137" s="40">
        <f>Source!R50</f>
        <v>1605.47</v>
      </c>
      <c r="L137" s="39"/>
      <c r="R137">
        <f>H137</f>
        <v>50.16</v>
      </c>
    </row>
    <row r="138" spans="1:26" ht="14.25" x14ac:dyDescent="0.2">
      <c r="A138" s="52"/>
      <c r="B138" s="52"/>
      <c r="C138" s="52" t="s">
        <v>896</v>
      </c>
      <c r="D138" s="36" t="s">
        <v>897</v>
      </c>
      <c r="E138" s="10">
        <f>Source!BZ50</f>
        <v>89</v>
      </c>
      <c r="F138" s="54"/>
      <c r="G138" s="38"/>
      <c r="H138" s="37">
        <f>SUM(S133:S141)</f>
        <v>1413.15</v>
      </c>
      <c r="I138" s="41"/>
      <c r="J138" s="35">
        <f>Source!AT50</f>
        <v>89</v>
      </c>
      <c r="K138" s="37">
        <f>SUM(T133:T141)</f>
        <v>45234.94</v>
      </c>
      <c r="L138" s="39"/>
    </row>
    <row r="139" spans="1:26" ht="14.25" x14ac:dyDescent="0.2">
      <c r="A139" s="52"/>
      <c r="B139" s="52"/>
      <c r="C139" s="52" t="s">
        <v>898</v>
      </c>
      <c r="D139" s="36" t="s">
        <v>897</v>
      </c>
      <c r="E139" s="10">
        <f>Source!CA50</f>
        <v>49</v>
      </c>
      <c r="F139" s="54"/>
      <c r="G139" s="38"/>
      <c r="H139" s="37">
        <f>SUM(U133:U141)</f>
        <v>778.03</v>
      </c>
      <c r="I139" s="41"/>
      <c r="J139" s="35">
        <f>Source!AU50</f>
        <v>49</v>
      </c>
      <c r="K139" s="37">
        <f>SUM(V133:V141)</f>
        <v>24904.63</v>
      </c>
      <c r="L139" s="39"/>
    </row>
    <row r="140" spans="1:26" ht="14.25" x14ac:dyDescent="0.2">
      <c r="A140" s="52"/>
      <c r="B140" s="52"/>
      <c r="C140" s="52" t="s">
        <v>899</v>
      </c>
      <c r="D140" s="36" t="s">
        <v>900</v>
      </c>
      <c r="E140" s="10">
        <f>Source!AQ50</f>
        <v>69.87</v>
      </c>
      <c r="F140" s="37"/>
      <c r="G140" s="38" t="str">
        <f>Source!DI50</f>
        <v/>
      </c>
      <c r="H140" s="37"/>
      <c r="I140" s="38"/>
      <c r="J140" s="38"/>
      <c r="K140" s="37"/>
      <c r="L140" s="49">
        <f>Source!U50</f>
        <v>180.26460000000003</v>
      </c>
    </row>
    <row r="141" spans="1:26" ht="14.25" x14ac:dyDescent="0.2">
      <c r="A141" s="53">
        <v>14.1</v>
      </c>
      <c r="B141" s="53" t="s">
        <v>47</v>
      </c>
      <c r="C141" s="53" t="str">
        <f>Source!G51</f>
        <v>Строительный мусор</v>
      </c>
      <c r="D141" s="42" t="str">
        <f>Source!H51</f>
        <v>т</v>
      </c>
      <c r="E141" s="43">
        <f>Source!I51</f>
        <v>13.416</v>
      </c>
      <c r="F141" s="44">
        <f>Source!AL51+Source!AM51+Source!AO51</f>
        <v>0</v>
      </c>
      <c r="G141" s="50" t="s">
        <v>3</v>
      </c>
      <c r="H141" s="44">
        <f>ROUND(Source!AC51*Source!I51, 2)+ROUND((((Source!ET51)-(Source!EU51))+Source!AE51)*Source!I51, 2)+ROUND(Source!AF51*Source!I51, 2)</f>
        <v>0</v>
      </c>
      <c r="I141" s="45"/>
      <c r="J141" s="45">
        <f>IF(Source!BC51&lt;&gt; 0, Source!BC51, 1)</f>
        <v>8.9</v>
      </c>
      <c r="K141" s="44">
        <f>Source!O51</f>
        <v>0</v>
      </c>
      <c r="L141" s="48"/>
      <c r="S141">
        <f>ROUND((Source!FX51/100)*((ROUND(Source!AF51*Source!I51, 2)+ROUND(Source!AE51*Source!I51, 2))), 2)</f>
        <v>0</v>
      </c>
      <c r="T141">
        <f>Source!X51</f>
        <v>0</v>
      </c>
      <c r="U141">
        <f>ROUND((Source!FY51/100)*((ROUND(Source!AF51*Source!I51, 2)+ROUND(Source!AE51*Source!I51, 2))), 2)</f>
        <v>0</v>
      </c>
      <c r="V141">
        <f>Source!Y51</f>
        <v>0</v>
      </c>
      <c r="W141">
        <f>IF(Source!BI51&lt;=1,H141, 0)</f>
        <v>0</v>
      </c>
      <c r="X141">
        <f>IF(Source!BI51=2,H141, 0)</f>
        <v>0</v>
      </c>
      <c r="Y141">
        <f>IF(Source!BI51=3,H141, 0)</f>
        <v>0</v>
      </c>
      <c r="Z141">
        <f>IF(Source!BI51=4,H141, 0)</f>
        <v>0</v>
      </c>
    </row>
    <row r="142" spans="1:26" ht="15" x14ac:dyDescent="0.25">
      <c r="G142" s="61">
        <f>H135+H136+H138+H139+SUM(H141:H141)</f>
        <v>3844.96</v>
      </c>
      <c r="H142" s="61"/>
      <c r="J142" s="61">
        <f>K135+K136+K138+K139+SUM(K141:K141)</f>
        <v>120804.48000000001</v>
      </c>
      <c r="K142" s="61"/>
      <c r="L142" s="47">
        <f>Source!U50</f>
        <v>180.26460000000003</v>
      </c>
      <c r="O142" s="29">
        <f>G142</f>
        <v>3844.96</v>
      </c>
      <c r="P142" s="29">
        <f>J142</f>
        <v>120804.48000000001</v>
      </c>
      <c r="Q142" s="29">
        <f>L142</f>
        <v>180.26460000000003</v>
      </c>
      <c r="W142">
        <f>IF(Source!BI50&lt;=1,H135+H136+H138+H139, 0)</f>
        <v>3844.96</v>
      </c>
      <c r="X142">
        <f>IF(Source!BI50=2,H135+H136+H138+H139, 0)</f>
        <v>0</v>
      </c>
      <c r="Y142">
        <f>IF(Source!BI50=3,H135+H136+H138+H139, 0)</f>
        <v>0</v>
      </c>
      <c r="Z142">
        <f>IF(Source!BI50=4,H135+H136+H138+H139, 0)</f>
        <v>0</v>
      </c>
    </row>
    <row r="143" spans="1:26" ht="28.5" x14ac:dyDescent="0.2">
      <c r="A143" s="52">
        <v>15</v>
      </c>
      <c r="B143" s="52" t="s">
        <v>921</v>
      </c>
      <c r="C143" s="52" t="str">
        <f>Source!G52</f>
        <v>Разборка облицовки стен: из керамических глазурованных плиток</v>
      </c>
      <c r="D143" s="36" t="str">
        <f>Source!H52</f>
        <v>100 м2</v>
      </c>
      <c r="E143" s="10">
        <f>Source!I52</f>
        <v>1.9056</v>
      </c>
      <c r="F143" s="37">
        <f>Source!AL52+Source!AM52+Source!AO52</f>
        <v>680.75</v>
      </c>
      <c r="G143" s="38"/>
      <c r="H143" s="37"/>
      <c r="I143" s="38" t="str">
        <f>Source!BO52</f>
        <v/>
      </c>
      <c r="J143" s="38"/>
      <c r="K143" s="37"/>
      <c r="L143" s="39"/>
      <c r="S143">
        <f>ROUND((Source!FX52/100)*((ROUND(Source!AF52*Source!I52, 2)+ROUND(Source!AE52*Source!I52, 2))), 2)</f>
        <v>1010.96</v>
      </c>
      <c r="T143">
        <f>Source!X52</f>
        <v>32360.98</v>
      </c>
      <c r="U143">
        <f>ROUND((Source!FY52/100)*((ROUND(Source!AF52*Source!I52, 2)+ROUND(Source!AE52*Source!I52, 2))), 2)</f>
        <v>505.48</v>
      </c>
      <c r="V143">
        <f>Source!Y52</f>
        <v>16180.49</v>
      </c>
    </row>
    <row r="144" spans="1:26" ht="14.25" x14ac:dyDescent="0.2">
      <c r="A144" s="52"/>
      <c r="B144" s="52"/>
      <c r="C144" s="52" t="s">
        <v>894</v>
      </c>
      <c r="D144" s="36"/>
      <c r="E144" s="10"/>
      <c r="F144" s="37">
        <f>Source!AO52</f>
        <v>584.74</v>
      </c>
      <c r="G144" s="38" t="str">
        <f>Source!DG52</f>
        <v/>
      </c>
      <c r="H144" s="37">
        <f>ROUND(Source!AF52*Source!I52, 2)</f>
        <v>1114.28</v>
      </c>
      <c r="I144" s="38"/>
      <c r="J144" s="38">
        <f>IF(Source!BA52&lt;&gt; 0, Source!BA52, 1)</f>
        <v>32.01</v>
      </c>
      <c r="K144" s="37">
        <f>Source!S52</f>
        <v>35668.120000000003</v>
      </c>
      <c r="L144" s="39"/>
      <c r="R144">
        <f>H144</f>
        <v>1114.28</v>
      </c>
    </row>
    <row r="145" spans="1:26" ht="14.25" x14ac:dyDescent="0.2">
      <c r="A145" s="52"/>
      <c r="B145" s="52"/>
      <c r="C145" s="52" t="s">
        <v>340</v>
      </c>
      <c r="D145" s="36"/>
      <c r="E145" s="10"/>
      <c r="F145" s="37">
        <f>Source!AM52</f>
        <v>96.01</v>
      </c>
      <c r="G145" s="38" t="str">
        <f>Source!DE52</f>
        <v/>
      </c>
      <c r="H145" s="37">
        <f>ROUND((((Source!ET52)-(Source!EU52))+Source!AE52)*Source!I52, 2)</f>
        <v>182.96</v>
      </c>
      <c r="I145" s="38"/>
      <c r="J145" s="38">
        <f>IF(Source!BB52&lt;&gt; 0, Source!BB52, 1)</f>
        <v>12.44</v>
      </c>
      <c r="K145" s="37">
        <f>Source!Q52</f>
        <v>2275.98</v>
      </c>
      <c r="L145" s="39"/>
    </row>
    <row r="146" spans="1:26" ht="14.25" x14ac:dyDescent="0.2">
      <c r="A146" s="52"/>
      <c r="B146" s="52"/>
      <c r="C146" s="52" t="s">
        <v>895</v>
      </c>
      <c r="D146" s="36"/>
      <c r="E146" s="10"/>
      <c r="F146" s="37">
        <f>Source!AN52</f>
        <v>4.7300000000000004</v>
      </c>
      <c r="G146" s="38" t="str">
        <f>Source!DF52</f>
        <v/>
      </c>
      <c r="H146" s="40">
        <f>ROUND(Source!AE52*Source!I52, 2)</f>
        <v>9.01</v>
      </c>
      <c r="I146" s="38"/>
      <c r="J146" s="38">
        <f>IF(Source!BS52&lt;&gt; 0, Source!BS52, 1)</f>
        <v>32.01</v>
      </c>
      <c r="K146" s="40">
        <f>Source!R52</f>
        <v>288.52</v>
      </c>
      <c r="L146" s="39"/>
      <c r="R146">
        <f>H146</f>
        <v>9.01</v>
      </c>
    </row>
    <row r="147" spans="1:26" ht="14.25" x14ac:dyDescent="0.2">
      <c r="A147" s="52"/>
      <c r="B147" s="52"/>
      <c r="C147" s="52" t="s">
        <v>896</v>
      </c>
      <c r="D147" s="36" t="s">
        <v>897</v>
      </c>
      <c r="E147" s="10">
        <f>Source!BZ52</f>
        <v>90</v>
      </c>
      <c r="F147" s="54"/>
      <c r="G147" s="38"/>
      <c r="H147" s="37">
        <f>SUM(S143:S150)</f>
        <v>1010.96</v>
      </c>
      <c r="I147" s="41"/>
      <c r="J147" s="35">
        <f>Source!AT52</f>
        <v>90</v>
      </c>
      <c r="K147" s="37">
        <f>SUM(T143:T150)</f>
        <v>32360.98</v>
      </c>
      <c r="L147" s="39"/>
    </row>
    <row r="148" spans="1:26" ht="14.25" x14ac:dyDescent="0.2">
      <c r="A148" s="52"/>
      <c r="B148" s="52"/>
      <c r="C148" s="52" t="s">
        <v>898</v>
      </c>
      <c r="D148" s="36" t="s">
        <v>897</v>
      </c>
      <c r="E148" s="10">
        <f>Source!CA52</f>
        <v>45</v>
      </c>
      <c r="F148" s="54"/>
      <c r="G148" s="38"/>
      <c r="H148" s="37">
        <f>SUM(U143:U150)</f>
        <v>505.48</v>
      </c>
      <c r="I148" s="41"/>
      <c r="J148" s="35">
        <f>Source!AU52</f>
        <v>45</v>
      </c>
      <c r="K148" s="37">
        <f>SUM(V143:V150)</f>
        <v>16180.49</v>
      </c>
      <c r="L148" s="39"/>
    </row>
    <row r="149" spans="1:26" ht="14.25" x14ac:dyDescent="0.2">
      <c r="A149" s="52"/>
      <c r="B149" s="52"/>
      <c r="C149" s="52" t="s">
        <v>899</v>
      </c>
      <c r="D149" s="36" t="s">
        <v>900</v>
      </c>
      <c r="E149" s="10">
        <f>Source!AQ52</f>
        <v>74.3</v>
      </c>
      <c r="F149" s="37"/>
      <c r="G149" s="38" t="str">
        <f>Source!DI52</f>
        <v/>
      </c>
      <c r="H149" s="37"/>
      <c r="I149" s="38"/>
      <c r="J149" s="38"/>
      <c r="K149" s="37"/>
      <c r="L149" s="49">
        <f>Source!U52</f>
        <v>141.58607999999998</v>
      </c>
    </row>
    <row r="150" spans="1:26" ht="14.25" x14ac:dyDescent="0.2">
      <c r="A150" s="53">
        <v>15.1</v>
      </c>
      <c r="B150" s="53" t="s">
        <v>47</v>
      </c>
      <c r="C150" s="53" t="str">
        <f>Source!G53</f>
        <v>Строительный мусор</v>
      </c>
      <c r="D150" s="42" t="str">
        <f>Source!H53</f>
        <v>т</v>
      </c>
      <c r="E150" s="43">
        <f>Source!I53</f>
        <v>8.4036960000000001</v>
      </c>
      <c r="F150" s="44">
        <f>Source!AL53+Source!AM53+Source!AO53</f>
        <v>0</v>
      </c>
      <c r="G150" s="50" t="s">
        <v>3</v>
      </c>
      <c r="H150" s="44">
        <f>ROUND(Source!AC53*Source!I53, 2)+ROUND((((Source!ET53)-(Source!EU53))+Source!AE53)*Source!I53, 2)+ROUND(Source!AF53*Source!I53, 2)</f>
        <v>0</v>
      </c>
      <c r="I150" s="45"/>
      <c r="J150" s="45">
        <f>IF(Source!BC53&lt;&gt; 0, Source!BC53, 1)</f>
        <v>8.9</v>
      </c>
      <c r="K150" s="44">
        <f>Source!O53</f>
        <v>0</v>
      </c>
      <c r="L150" s="48"/>
      <c r="S150">
        <f>ROUND((Source!FX53/100)*((ROUND(Source!AF53*Source!I53, 2)+ROUND(Source!AE53*Source!I53, 2))), 2)</f>
        <v>0</v>
      </c>
      <c r="T150">
        <f>Source!X53</f>
        <v>0</v>
      </c>
      <c r="U150">
        <f>ROUND((Source!FY53/100)*((ROUND(Source!AF53*Source!I53, 2)+ROUND(Source!AE53*Source!I53, 2))), 2)</f>
        <v>0</v>
      </c>
      <c r="V150">
        <f>Source!Y53</f>
        <v>0</v>
      </c>
      <c r="W150">
        <f>IF(Source!BI53&lt;=1,H150, 0)</f>
        <v>0</v>
      </c>
      <c r="X150">
        <f>IF(Source!BI53=2,H150, 0)</f>
        <v>0</v>
      </c>
      <c r="Y150">
        <f>IF(Source!BI53=3,H150, 0)</f>
        <v>0</v>
      </c>
      <c r="Z150">
        <f>IF(Source!BI53=4,H150, 0)</f>
        <v>0</v>
      </c>
    </row>
    <row r="151" spans="1:26" ht="15" x14ac:dyDescent="0.25">
      <c r="G151" s="61">
        <f>H144+H145+H147+H148+SUM(H150:H150)</f>
        <v>2813.68</v>
      </c>
      <c r="H151" s="61"/>
      <c r="J151" s="61">
        <f>K144+K145+K147+K148+SUM(K150:K150)</f>
        <v>86485.57</v>
      </c>
      <c r="K151" s="61"/>
      <c r="L151" s="47">
        <f>Source!U52</f>
        <v>141.58607999999998</v>
      </c>
      <c r="O151" s="29">
        <f>G151</f>
        <v>2813.68</v>
      </c>
      <c r="P151" s="29">
        <f>J151</f>
        <v>86485.57</v>
      </c>
      <c r="Q151" s="29">
        <f>L151</f>
        <v>141.58607999999998</v>
      </c>
      <c r="W151">
        <f>IF(Source!BI52&lt;=1,H144+H145+H147+H148, 0)</f>
        <v>2813.68</v>
      </c>
      <c r="X151">
        <f>IF(Source!BI52=2,H144+H145+H147+H148, 0)</f>
        <v>0</v>
      </c>
      <c r="Y151">
        <f>IF(Source!BI52=3,H144+H145+H147+H148, 0)</f>
        <v>0</v>
      </c>
      <c r="Z151">
        <f>IF(Source!BI52=4,H144+H145+H147+H148, 0)</f>
        <v>0</v>
      </c>
    </row>
    <row r="152" spans="1:26" ht="42.75" x14ac:dyDescent="0.2">
      <c r="A152" s="52">
        <v>16</v>
      </c>
      <c r="B152" s="52" t="s">
        <v>922</v>
      </c>
      <c r="C152" s="52" t="str">
        <f>Source!G54</f>
        <v>Нанесение водно-дисперсионной грунтовки на поверхности: пористые (камень, кирпич, бетон и т.д.)</v>
      </c>
      <c r="D152" s="36" t="str">
        <f>Source!H54</f>
        <v>100 м2</v>
      </c>
      <c r="E152" s="10">
        <f>Source!I54</f>
        <v>2.58</v>
      </c>
      <c r="F152" s="37">
        <f>Source!AL54+Source!AM54+Source!AO54</f>
        <v>57.849999999999994</v>
      </c>
      <c r="G152" s="38"/>
      <c r="H152" s="37"/>
      <c r="I152" s="38" t="str">
        <f>Source!BO54</f>
        <v/>
      </c>
      <c r="J152" s="38"/>
      <c r="K152" s="37"/>
      <c r="L152" s="39"/>
      <c r="S152">
        <f>ROUND((Source!FX54/100)*((ROUND(Source!AF54*Source!I54, 2)+ROUND(Source!AE54*Source!I54, 2))), 2)</f>
        <v>102.37</v>
      </c>
      <c r="T152">
        <f>Source!X54</f>
        <v>3277.01</v>
      </c>
      <c r="U152">
        <f>ROUND((Source!FY54/100)*((ROUND(Source!AF54*Source!I54, 2)+ROUND(Source!AE54*Source!I54, 2))), 2)</f>
        <v>42.64</v>
      </c>
      <c r="V152">
        <f>Source!Y54</f>
        <v>1364.87</v>
      </c>
    </row>
    <row r="153" spans="1:26" x14ac:dyDescent="0.2">
      <c r="C153" s="28" t="str">
        <f>"Объем: "&amp;Source!I54&amp;"=258/"&amp;"100"</f>
        <v>Объем: 2,58=258/100</v>
      </c>
    </row>
    <row r="154" spans="1:26" ht="14.25" x14ac:dyDescent="0.2">
      <c r="A154" s="52"/>
      <c r="B154" s="52"/>
      <c r="C154" s="52" t="s">
        <v>894</v>
      </c>
      <c r="D154" s="36"/>
      <c r="E154" s="10"/>
      <c r="F154" s="37">
        <f>Source!AO54</f>
        <v>33.869999999999997</v>
      </c>
      <c r="G154" s="38" t="str">
        <f>Source!DG54</f>
        <v>)*1,15</v>
      </c>
      <c r="H154" s="37">
        <f>ROUND(Source!AF54*Source!I54, 2)</f>
        <v>100.49</v>
      </c>
      <c r="I154" s="38"/>
      <c r="J154" s="38">
        <f>IF(Source!BA54&lt;&gt; 0, Source!BA54, 1)</f>
        <v>32.01</v>
      </c>
      <c r="K154" s="37">
        <f>Source!S54</f>
        <v>3216.72</v>
      </c>
      <c r="L154" s="39"/>
      <c r="R154">
        <f>H154</f>
        <v>100.49</v>
      </c>
    </row>
    <row r="155" spans="1:26" ht="14.25" x14ac:dyDescent="0.2">
      <c r="A155" s="52"/>
      <c r="B155" s="52"/>
      <c r="C155" s="52" t="s">
        <v>340</v>
      </c>
      <c r="D155" s="36"/>
      <c r="E155" s="10"/>
      <c r="F155" s="37">
        <f>Source!AM54</f>
        <v>22.14</v>
      </c>
      <c r="G155" s="38" t="str">
        <f>Source!DE54</f>
        <v>)*1,25</v>
      </c>
      <c r="H155" s="37">
        <f>ROUND(((((Source!ET54*1.25))-((Source!EU54*1.25)))+Source!AE54)*Source!I54, 2)</f>
        <v>71.41</v>
      </c>
      <c r="I155" s="38"/>
      <c r="J155" s="38">
        <f>IF(Source!BB54&lt;&gt; 0, Source!BB54, 1)</f>
        <v>12.44</v>
      </c>
      <c r="K155" s="37">
        <f>Source!Q54</f>
        <v>888.65</v>
      </c>
      <c r="L155" s="39"/>
    </row>
    <row r="156" spans="1:26" ht="14.25" x14ac:dyDescent="0.2">
      <c r="A156" s="52"/>
      <c r="B156" s="52"/>
      <c r="C156" s="52" t="s">
        <v>895</v>
      </c>
      <c r="D156" s="36"/>
      <c r="E156" s="10"/>
      <c r="F156" s="37">
        <f>Source!AN54</f>
        <v>0.57999999999999996</v>
      </c>
      <c r="G156" s="38" t="str">
        <f>Source!DF54</f>
        <v>)*1,25</v>
      </c>
      <c r="H156" s="40">
        <f>ROUND(Source!AE54*Source!I54, 2)</f>
        <v>1.88</v>
      </c>
      <c r="I156" s="38"/>
      <c r="J156" s="38">
        <f>IF(Source!BS54&lt;&gt; 0, Source!BS54, 1)</f>
        <v>32.01</v>
      </c>
      <c r="K156" s="40">
        <f>Source!R54</f>
        <v>60.29</v>
      </c>
      <c r="L156" s="39"/>
      <c r="R156">
        <f>H156</f>
        <v>1.88</v>
      </c>
    </row>
    <row r="157" spans="1:26" ht="14.25" x14ac:dyDescent="0.2">
      <c r="A157" s="52"/>
      <c r="B157" s="52"/>
      <c r="C157" s="52" t="s">
        <v>911</v>
      </c>
      <c r="D157" s="36"/>
      <c r="E157" s="10"/>
      <c r="F157" s="37">
        <f>Source!AL54</f>
        <v>1.84</v>
      </c>
      <c r="G157" s="38" t="str">
        <f>Source!DD54</f>
        <v/>
      </c>
      <c r="H157" s="37">
        <f>ROUND(Source!AC54*Source!I54, 2)</f>
        <v>4.75</v>
      </c>
      <c r="I157" s="38"/>
      <c r="J157" s="38">
        <f>IF(Source!BC54&lt;&gt; 0, Source!BC54, 1)</f>
        <v>8.9</v>
      </c>
      <c r="K157" s="37">
        <f>Source!P54</f>
        <v>42.25</v>
      </c>
      <c r="L157" s="39"/>
    </row>
    <row r="158" spans="1:26" ht="14.25" x14ac:dyDescent="0.2">
      <c r="A158" s="52"/>
      <c r="B158" s="52"/>
      <c r="C158" s="52" t="s">
        <v>896</v>
      </c>
      <c r="D158" s="36" t="s">
        <v>897</v>
      </c>
      <c r="E158" s="10">
        <f>Source!BZ54</f>
        <v>100</v>
      </c>
      <c r="F158" s="54"/>
      <c r="G158" s="38"/>
      <c r="H158" s="37">
        <f>SUM(S152:S160)</f>
        <v>102.37</v>
      </c>
      <c r="I158" s="41"/>
      <c r="J158" s="35">
        <f>Source!AT54</f>
        <v>100</v>
      </c>
      <c r="K158" s="37">
        <f>SUM(T152:T160)</f>
        <v>3277.01</v>
      </c>
      <c r="L158" s="39"/>
    </row>
    <row r="159" spans="1:26" ht="14.25" x14ac:dyDescent="0.2">
      <c r="A159" s="52"/>
      <c r="B159" s="52"/>
      <c r="C159" s="52" t="s">
        <v>898</v>
      </c>
      <c r="D159" s="36" t="s">
        <v>897</v>
      </c>
      <c r="E159" s="10">
        <f>Source!CA54</f>
        <v>49</v>
      </c>
      <c r="F159" s="64" t="str">
        <f>CONCATENATE(" )", Source!DM54, Source!FU54, "=", Source!FY54)</f>
        <v xml:space="preserve"> ))*0,85=41,65</v>
      </c>
      <c r="G159" s="65"/>
      <c r="H159" s="37">
        <f>SUM(U152:U160)</f>
        <v>42.64</v>
      </c>
      <c r="I159" s="41"/>
      <c r="J159" s="35">
        <f>Source!AU54</f>
        <v>41.65</v>
      </c>
      <c r="K159" s="37">
        <f>SUM(V152:V160)</f>
        <v>1364.87</v>
      </c>
      <c r="L159" s="39"/>
    </row>
    <row r="160" spans="1:26" ht="14.25" x14ac:dyDescent="0.2">
      <c r="A160" s="53"/>
      <c r="B160" s="53"/>
      <c r="C160" s="53" t="s">
        <v>899</v>
      </c>
      <c r="D160" s="42" t="s">
        <v>900</v>
      </c>
      <c r="E160" s="43">
        <f>Source!AQ54</f>
        <v>3.69</v>
      </c>
      <c r="F160" s="44"/>
      <c r="G160" s="45" t="str">
        <f>Source!DI54</f>
        <v>)*1,15</v>
      </c>
      <c r="H160" s="44"/>
      <c r="I160" s="45"/>
      <c r="J160" s="45"/>
      <c r="K160" s="44"/>
      <c r="L160" s="46">
        <f>Source!U54</f>
        <v>10.948230000000001</v>
      </c>
    </row>
    <row r="161" spans="1:26" ht="15" x14ac:dyDescent="0.25">
      <c r="G161" s="61">
        <f>H154+H155+H157+H158+H159</f>
        <v>321.65999999999997</v>
      </c>
      <c r="H161" s="61"/>
      <c r="J161" s="61">
        <f>K154+K155+K157+K158+K159</f>
        <v>8789.5</v>
      </c>
      <c r="K161" s="61"/>
      <c r="L161" s="47">
        <f>Source!U54</f>
        <v>10.948230000000001</v>
      </c>
      <c r="O161" s="29">
        <f>G161</f>
        <v>321.65999999999997</v>
      </c>
      <c r="P161" s="29">
        <f>J161</f>
        <v>8789.5</v>
      </c>
      <c r="Q161" s="29">
        <f>L161</f>
        <v>10.948230000000001</v>
      </c>
      <c r="W161">
        <f>IF(Source!BI54&lt;=1,H154+H155+H157+H158+H159, 0)</f>
        <v>321.65999999999997</v>
      </c>
      <c r="X161">
        <f>IF(Source!BI54=2,H154+H155+H157+H158+H159, 0)</f>
        <v>0</v>
      </c>
      <c r="Y161">
        <f>IF(Source!BI54=3,H154+H155+H157+H158+H159, 0)</f>
        <v>0</v>
      </c>
      <c r="Z161">
        <f>IF(Source!BI54=4,H154+H155+H157+H158+H159, 0)</f>
        <v>0</v>
      </c>
    </row>
    <row r="162" spans="1:26" ht="54" x14ac:dyDescent="0.2">
      <c r="A162" s="53">
        <v>17</v>
      </c>
      <c r="B162" s="53" t="s">
        <v>29</v>
      </c>
      <c r="C162" s="53" t="s">
        <v>923</v>
      </c>
      <c r="D162" s="42" t="str">
        <f>Source!H55</f>
        <v>кг</v>
      </c>
      <c r="E162" s="43">
        <f>Source!I55</f>
        <v>35.603999999999999</v>
      </c>
      <c r="F162" s="44">
        <f>Source!AL55</f>
        <v>8.76</v>
      </c>
      <c r="G162" s="45" t="str">
        <f>Source!DD55</f>
        <v/>
      </c>
      <c r="H162" s="44">
        <f>ROUND(Source!AC55*Source!I55, 2)</f>
        <v>311.89</v>
      </c>
      <c r="I162" s="45" t="str">
        <f>Source!BO55</f>
        <v/>
      </c>
      <c r="J162" s="45">
        <f>IF(Source!BC55&lt;&gt; 0, Source!BC55, 1)</f>
        <v>8.9</v>
      </c>
      <c r="K162" s="44">
        <f>Source!P55</f>
        <v>2775.83</v>
      </c>
      <c r="L162" s="48"/>
      <c r="S162">
        <f>ROUND((Source!FX55/100)*((ROUND(Source!AF55*Source!I55, 2)+ROUND(Source!AE55*Source!I55, 2))), 2)</f>
        <v>0</v>
      </c>
      <c r="T162">
        <f>Source!X55</f>
        <v>0</v>
      </c>
      <c r="U162">
        <f>ROUND((Source!FY55/100)*((ROUND(Source!AF55*Source!I55, 2)+ROUND(Source!AE55*Source!I55, 2))), 2)</f>
        <v>0</v>
      </c>
      <c r="V162">
        <f>Source!Y55</f>
        <v>0</v>
      </c>
    </row>
    <row r="163" spans="1:26" ht="15" x14ac:dyDescent="0.25">
      <c r="G163" s="61">
        <f>H162</f>
        <v>311.89</v>
      </c>
      <c r="H163" s="61"/>
      <c r="J163" s="61">
        <f>K162</f>
        <v>2775.83</v>
      </c>
      <c r="K163" s="61"/>
      <c r="L163" s="47">
        <f>Source!U55</f>
        <v>0</v>
      </c>
      <c r="O163" s="29">
        <f>G163</f>
        <v>311.89</v>
      </c>
      <c r="P163" s="29">
        <f>J163</f>
        <v>2775.83</v>
      </c>
      <c r="Q163" s="29">
        <f>L163</f>
        <v>0</v>
      </c>
      <c r="W163">
        <f>IF(Source!BI55&lt;=1,H162, 0)</f>
        <v>311.89</v>
      </c>
      <c r="X163">
        <f>IF(Source!BI55=2,H162, 0)</f>
        <v>0</v>
      </c>
      <c r="Y163">
        <f>IF(Source!BI55=3,H162, 0)</f>
        <v>0</v>
      </c>
      <c r="Z163">
        <f>IF(Source!BI55=4,H162, 0)</f>
        <v>0</v>
      </c>
    </row>
    <row r="164" spans="1:26" ht="71.25" x14ac:dyDescent="0.2">
      <c r="A164" s="52">
        <v>18</v>
      </c>
      <c r="B164" s="52" t="s">
        <v>924</v>
      </c>
      <c r="C164" s="52" t="str">
        <f>Source!G56</f>
        <v>Устройство покрытий на растворе из сухой смеси с приготовлением раствора в построечных условиях из плиток: гладких неглазурованных керамических для полов одноцветных</v>
      </c>
      <c r="D164" s="36" t="str">
        <f>Source!H56</f>
        <v>100 м2</v>
      </c>
      <c r="E164" s="10">
        <f>Source!I56</f>
        <v>2.58</v>
      </c>
      <c r="F164" s="37">
        <f>Source!AL56+Source!AM56+Source!AO56</f>
        <v>9047.81</v>
      </c>
      <c r="G164" s="38"/>
      <c r="H164" s="37"/>
      <c r="I164" s="38" t="str">
        <f>Source!BO56</f>
        <v/>
      </c>
      <c r="J164" s="38"/>
      <c r="K164" s="37"/>
      <c r="L164" s="39"/>
      <c r="S164">
        <f>ROUND((Source!FX56/100)*((ROUND(Source!AF56*Source!I56, 2)+ROUND(Source!AE56*Source!I56, 2))), 2)</f>
        <v>3672.46</v>
      </c>
      <c r="T164">
        <f>Source!X56</f>
        <v>117555.13</v>
      </c>
      <c r="U164">
        <f>ROUND((Source!FY56/100)*((ROUND(Source!AF56*Source!I56, 2)+ROUND(Source!AE56*Source!I56, 2))), 2)</f>
        <v>1811.64</v>
      </c>
      <c r="V164">
        <f>Source!Y56</f>
        <v>57990.37</v>
      </c>
    </row>
    <row r="165" spans="1:26" x14ac:dyDescent="0.2">
      <c r="C165" s="28" t="str">
        <f>"Объем: "&amp;Source!I56&amp;"=258/"&amp;"100"</f>
        <v>Объем: 2,58=258/100</v>
      </c>
    </row>
    <row r="166" spans="1:26" ht="14.25" x14ac:dyDescent="0.2">
      <c r="A166" s="52"/>
      <c r="B166" s="52"/>
      <c r="C166" s="52" t="s">
        <v>894</v>
      </c>
      <c r="D166" s="36"/>
      <c r="E166" s="10"/>
      <c r="F166" s="37">
        <f>Source!AO56</f>
        <v>1046.8800000000001</v>
      </c>
      <c r="G166" s="38" t="str">
        <f>Source!DG56</f>
        <v>)*1,15</v>
      </c>
      <c r="H166" s="37">
        <f>ROUND(Source!AF56*Source!I56, 2)</f>
        <v>3106.09</v>
      </c>
      <c r="I166" s="38"/>
      <c r="J166" s="38">
        <f>IF(Source!BA56&lt;&gt; 0, Source!BA56, 1)</f>
        <v>32.01</v>
      </c>
      <c r="K166" s="37">
        <f>Source!S56</f>
        <v>99425.87</v>
      </c>
      <c r="L166" s="39"/>
      <c r="R166">
        <f>H166</f>
        <v>3106.09</v>
      </c>
    </row>
    <row r="167" spans="1:26" ht="14.25" x14ac:dyDescent="0.2">
      <c r="A167" s="52"/>
      <c r="B167" s="52"/>
      <c r="C167" s="52" t="s">
        <v>340</v>
      </c>
      <c r="D167" s="36"/>
      <c r="E167" s="10"/>
      <c r="F167" s="37">
        <f>Source!AM56</f>
        <v>142.03</v>
      </c>
      <c r="G167" s="38" t="str">
        <f>Source!DE56</f>
        <v>)*1,25</v>
      </c>
      <c r="H167" s="37">
        <f>ROUND(((((Source!ET56*1.25))-((Source!EU56*1.25)))+Source!AE56)*Source!I56, 2)</f>
        <v>458.04</v>
      </c>
      <c r="I167" s="38"/>
      <c r="J167" s="38">
        <f>IF(Source!BB56&lt;&gt; 0, Source!BB56, 1)</f>
        <v>12.44</v>
      </c>
      <c r="K167" s="37">
        <f>Source!Q56</f>
        <v>5697.9</v>
      </c>
      <c r="L167" s="39"/>
    </row>
    <row r="168" spans="1:26" ht="14.25" x14ac:dyDescent="0.2">
      <c r="A168" s="52"/>
      <c r="B168" s="52"/>
      <c r="C168" s="52" t="s">
        <v>895</v>
      </c>
      <c r="D168" s="36"/>
      <c r="E168" s="10"/>
      <c r="F168" s="37">
        <f>Source!AN56</f>
        <v>53.61</v>
      </c>
      <c r="G168" s="38" t="str">
        <f>Source!DF56</f>
        <v>)*1,25</v>
      </c>
      <c r="H168" s="40">
        <f>ROUND(Source!AE56*Source!I56, 2)</f>
        <v>172.89</v>
      </c>
      <c r="I168" s="38"/>
      <c r="J168" s="38">
        <f>IF(Source!BS56&lt;&gt; 0, Source!BS56, 1)</f>
        <v>32.01</v>
      </c>
      <c r="K168" s="40">
        <f>Source!R56</f>
        <v>5534.07</v>
      </c>
      <c r="L168" s="39"/>
      <c r="R168">
        <f>H168</f>
        <v>172.89</v>
      </c>
    </row>
    <row r="169" spans="1:26" ht="14.25" x14ac:dyDescent="0.2">
      <c r="A169" s="52"/>
      <c r="B169" s="52"/>
      <c r="C169" s="52" t="s">
        <v>911</v>
      </c>
      <c r="D169" s="36"/>
      <c r="E169" s="10"/>
      <c r="F169" s="37">
        <f>Source!AL56</f>
        <v>7858.9</v>
      </c>
      <c r="G169" s="38" t="str">
        <f>Source!DD56</f>
        <v/>
      </c>
      <c r="H169" s="37">
        <f>ROUND(Source!AC56*Source!I56, 2)</f>
        <v>20275.96</v>
      </c>
      <c r="I169" s="38"/>
      <c r="J169" s="38">
        <f>IF(Source!BC56&lt;&gt; 0, Source!BC56, 1)</f>
        <v>8.9</v>
      </c>
      <c r="K169" s="37">
        <f>Source!P56</f>
        <v>180456.06</v>
      </c>
      <c r="L169" s="39"/>
    </row>
    <row r="170" spans="1:26" ht="14.25" x14ac:dyDescent="0.2">
      <c r="A170" s="52"/>
      <c r="B170" s="52"/>
      <c r="C170" s="52" t="s">
        <v>896</v>
      </c>
      <c r="D170" s="36" t="s">
        <v>897</v>
      </c>
      <c r="E170" s="10">
        <f>Source!BZ56</f>
        <v>112</v>
      </c>
      <c r="F170" s="54"/>
      <c r="G170" s="38"/>
      <c r="H170" s="37">
        <f>SUM(S164:S175)</f>
        <v>3672.46</v>
      </c>
      <c r="I170" s="41"/>
      <c r="J170" s="35">
        <f>Source!AT56</f>
        <v>112</v>
      </c>
      <c r="K170" s="37">
        <f>SUM(T164:T175)</f>
        <v>117555.13</v>
      </c>
      <c r="L170" s="39"/>
    </row>
    <row r="171" spans="1:26" ht="14.25" x14ac:dyDescent="0.2">
      <c r="A171" s="52"/>
      <c r="B171" s="52"/>
      <c r="C171" s="52" t="s">
        <v>898</v>
      </c>
      <c r="D171" s="36" t="s">
        <v>897</v>
      </c>
      <c r="E171" s="10">
        <f>Source!CA56</f>
        <v>65</v>
      </c>
      <c r="F171" s="64" t="str">
        <f>CONCATENATE(" )", Source!DM56, Source!FU56, "=", Source!FY56)</f>
        <v xml:space="preserve"> ))*0,85=55,25</v>
      </c>
      <c r="G171" s="65"/>
      <c r="H171" s="37">
        <f>SUM(U164:U175)</f>
        <v>1811.64</v>
      </c>
      <c r="I171" s="41"/>
      <c r="J171" s="35">
        <f>Source!AU56</f>
        <v>55.25</v>
      </c>
      <c r="K171" s="37">
        <f>SUM(V164:V175)</f>
        <v>57990.37</v>
      </c>
      <c r="L171" s="39"/>
    </row>
    <row r="172" spans="1:26" ht="14.25" x14ac:dyDescent="0.2">
      <c r="A172" s="52"/>
      <c r="B172" s="52"/>
      <c r="C172" s="52" t="s">
        <v>899</v>
      </c>
      <c r="D172" s="36" t="s">
        <v>900</v>
      </c>
      <c r="E172" s="10">
        <f>Source!AQ56</f>
        <v>119.78</v>
      </c>
      <c r="F172" s="37"/>
      <c r="G172" s="38" t="str">
        <f>Source!DI56</f>
        <v>)*1,15</v>
      </c>
      <c r="H172" s="37"/>
      <c r="I172" s="38"/>
      <c r="J172" s="38"/>
      <c r="K172" s="37"/>
      <c r="L172" s="49">
        <f>Source!U56</f>
        <v>355.38725999999997</v>
      </c>
    </row>
    <row r="173" spans="1:26" ht="71.25" x14ac:dyDescent="0.2">
      <c r="A173" s="52">
        <v>18.100000000000001</v>
      </c>
      <c r="B173" s="52" t="s">
        <v>925</v>
      </c>
      <c r="C173" s="52" t="s">
        <v>926</v>
      </c>
      <c r="D173" s="36" t="str">
        <f>Source!H57</f>
        <v>м2</v>
      </c>
      <c r="E173" s="10">
        <f>Source!I57</f>
        <v>-263.16000000000003</v>
      </c>
      <c r="F173" s="37">
        <f>Source!AL57+Source!AM57+Source!AO57</f>
        <v>67.8</v>
      </c>
      <c r="G173" s="51" t="s">
        <v>3</v>
      </c>
      <c r="H173" s="37">
        <f>ROUND(Source!AC57*Source!I57, 2)+ROUND((((Source!ET57)-(Source!EU57))+Source!AE57)*Source!I57, 2)+ROUND(Source!AF57*Source!I57, 2)</f>
        <v>-17842.25</v>
      </c>
      <c r="I173" s="38"/>
      <c r="J173" s="38">
        <f>IF(Source!BC57&lt;&gt; 0, Source!BC57, 1)</f>
        <v>8.9</v>
      </c>
      <c r="K173" s="37">
        <f>Source!O57</f>
        <v>-158796.01</v>
      </c>
      <c r="L173" s="39"/>
      <c r="S173">
        <f>ROUND((Source!FX57/100)*((ROUND(Source!AF57*Source!I57, 2)+ROUND(Source!AE57*Source!I57, 2))), 2)</f>
        <v>0</v>
      </c>
      <c r="T173">
        <f>Source!X57</f>
        <v>0</v>
      </c>
      <c r="U173">
        <f>ROUND((Source!FY57/100)*((ROUND(Source!AF57*Source!I57, 2)+ROUND(Source!AE57*Source!I57, 2))), 2)</f>
        <v>0</v>
      </c>
      <c r="V173">
        <f>Source!Y57</f>
        <v>0</v>
      </c>
      <c r="W173">
        <f>IF(Source!BI57&lt;=1,H173, 0)</f>
        <v>-17842.25</v>
      </c>
      <c r="X173">
        <f>IF(Source!BI57=2,H173, 0)</f>
        <v>0</v>
      </c>
      <c r="Y173">
        <f>IF(Source!BI57=3,H173, 0)</f>
        <v>0</v>
      </c>
      <c r="Z173">
        <f>IF(Source!BI57=4,H173, 0)</f>
        <v>0</v>
      </c>
    </row>
    <row r="174" spans="1:26" ht="57" x14ac:dyDescent="0.2">
      <c r="A174" s="52">
        <v>18.2</v>
      </c>
      <c r="B174" s="52" t="s">
        <v>927</v>
      </c>
      <c r="C174" s="52" t="s">
        <v>928</v>
      </c>
      <c r="D174" s="36" t="str">
        <f>Source!H58</f>
        <v>т</v>
      </c>
      <c r="E174" s="10">
        <f>Source!I58</f>
        <v>-0.129</v>
      </c>
      <c r="F174" s="37">
        <f>Source!AL58+Source!AM58+Source!AO58</f>
        <v>6513</v>
      </c>
      <c r="G174" s="51" t="s">
        <v>3</v>
      </c>
      <c r="H174" s="37">
        <f>ROUND(Source!AC58*Source!I58, 2)+ROUND((((Source!ET58)-(Source!EU58))+Source!AE58)*Source!I58, 2)+ROUND(Source!AF58*Source!I58, 2)</f>
        <v>-840.18</v>
      </c>
      <c r="I174" s="38"/>
      <c r="J174" s="38">
        <f>IF(Source!BC58&lt;&gt; 0, Source!BC58, 1)</f>
        <v>8.9</v>
      </c>
      <c r="K174" s="37">
        <f>Source!O58</f>
        <v>-7477.58</v>
      </c>
      <c r="L174" s="39"/>
      <c r="S174">
        <f>ROUND((Source!FX58/100)*((ROUND(Source!AF58*Source!I58, 2)+ROUND(Source!AE58*Source!I58, 2))), 2)</f>
        <v>0</v>
      </c>
      <c r="T174">
        <f>Source!X58</f>
        <v>0</v>
      </c>
      <c r="U174">
        <f>ROUND((Source!FY58/100)*((ROUND(Source!AF58*Source!I58, 2)+ROUND(Source!AE58*Source!I58, 2))), 2)</f>
        <v>0</v>
      </c>
      <c r="V174">
        <f>Source!Y58</f>
        <v>0</v>
      </c>
      <c r="W174">
        <f>IF(Source!BI58&lt;=1,H174, 0)</f>
        <v>-840.18</v>
      </c>
      <c r="X174">
        <f>IF(Source!BI58=2,H174, 0)</f>
        <v>0</v>
      </c>
      <c r="Y174">
        <f>IF(Source!BI58=3,H174, 0)</f>
        <v>0</v>
      </c>
      <c r="Z174">
        <f>IF(Source!BI58=4,H174, 0)</f>
        <v>0</v>
      </c>
    </row>
    <row r="175" spans="1:26" ht="42.75" x14ac:dyDescent="0.2">
      <c r="A175" s="53">
        <v>18.3</v>
      </c>
      <c r="B175" s="53" t="s">
        <v>929</v>
      </c>
      <c r="C175" s="53" t="s">
        <v>930</v>
      </c>
      <c r="D175" s="42" t="str">
        <f>Source!H59</f>
        <v>кг</v>
      </c>
      <c r="E175" s="43">
        <f>Source!I59</f>
        <v>-1161</v>
      </c>
      <c r="F175" s="44">
        <f>Source!AL59+Source!AM59+Source!AO59</f>
        <v>1.37</v>
      </c>
      <c r="G175" s="50" t="s">
        <v>3</v>
      </c>
      <c r="H175" s="44">
        <f>ROUND(Source!AC59*Source!I59, 2)+ROUND((((Source!ET59)-(Source!EU59))+Source!AE59)*Source!I59, 2)+ROUND(Source!AF59*Source!I59, 2)</f>
        <v>-1590.57</v>
      </c>
      <c r="I175" s="45"/>
      <c r="J175" s="45">
        <f>IF(Source!BC59&lt;&gt; 0, Source!BC59, 1)</f>
        <v>8.9</v>
      </c>
      <c r="K175" s="44">
        <f>Source!O59</f>
        <v>-14156.07</v>
      </c>
      <c r="L175" s="48"/>
      <c r="S175">
        <f>ROUND((Source!FX59/100)*((ROUND(Source!AF59*Source!I59, 2)+ROUND(Source!AE59*Source!I59, 2))), 2)</f>
        <v>0</v>
      </c>
      <c r="T175">
        <f>Source!X59</f>
        <v>0</v>
      </c>
      <c r="U175">
        <f>ROUND((Source!FY59/100)*((ROUND(Source!AF59*Source!I59, 2)+ROUND(Source!AE59*Source!I59, 2))), 2)</f>
        <v>0</v>
      </c>
      <c r="V175">
        <f>Source!Y59</f>
        <v>0</v>
      </c>
      <c r="W175">
        <f>IF(Source!BI59&lt;=1,H175, 0)</f>
        <v>-1590.57</v>
      </c>
      <c r="X175">
        <f>IF(Source!BI59=2,H175, 0)</f>
        <v>0</v>
      </c>
      <c r="Y175">
        <f>IF(Source!BI59=3,H175, 0)</f>
        <v>0</v>
      </c>
      <c r="Z175">
        <f>IF(Source!BI59=4,H175, 0)</f>
        <v>0</v>
      </c>
    </row>
    <row r="176" spans="1:26" ht="15" x14ac:dyDescent="0.25">
      <c r="G176" s="61">
        <f>H166+H167+H169+H170+H171+SUM(H173:H175)</f>
        <v>9051.1899999999987</v>
      </c>
      <c r="H176" s="61"/>
      <c r="J176" s="61">
        <f>K166+K167+K169+K170+K171+SUM(K173:K175)</f>
        <v>280695.66999999993</v>
      </c>
      <c r="K176" s="61"/>
      <c r="L176" s="47">
        <f>Source!U56</f>
        <v>355.38725999999997</v>
      </c>
      <c r="O176" s="29">
        <f>G176</f>
        <v>9051.1899999999987</v>
      </c>
      <c r="P176" s="29">
        <f>J176</f>
        <v>280695.66999999993</v>
      </c>
      <c r="Q176" s="29">
        <f>L176</f>
        <v>355.38725999999997</v>
      </c>
      <c r="W176">
        <f>IF(Source!BI56&lt;=1,H166+H167+H169+H170+H171, 0)</f>
        <v>29324.19</v>
      </c>
      <c r="X176">
        <f>IF(Source!BI56=2,H166+H167+H169+H170+H171, 0)</f>
        <v>0</v>
      </c>
      <c r="Y176">
        <f>IF(Source!BI56=3,H166+H167+H169+H170+H171, 0)</f>
        <v>0</v>
      </c>
      <c r="Z176">
        <f>IF(Source!BI56=4,H166+H167+H169+H170+H171, 0)</f>
        <v>0</v>
      </c>
    </row>
    <row r="177" spans="1:26" ht="68.25" x14ac:dyDescent="0.2">
      <c r="A177" s="52">
        <v>19</v>
      </c>
      <c r="B177" s="52" t="s">
        <v>29</v>
      </c>
      <c r="C177" s="52" t="s">
        <v>931</v>
      </c>
      <c r="D177" s="36" t="str">
        <f>Source!H60</f>
        <v>м2</v>
      </c>
      <c r="E177" s="10">
        <f>Source!I60</f>
        <v>263.16000000000003</v>
      </c>
      <c r="F177" s="37">
        <f>Source!AL60</f>
        <v>63.87</v>
      </c>
      <c r="G177" s="38" t="str">
        <f>Source!DD60</f>
        <v/>
      </c>
      <c r="H177" s="37">
        <f>ROUND(Source!AC60*Source!I60, 2)</f>
        <v>16808.03</v>
      </c>
      <c r="I177" s="38" t="str">
        <f>Source!BO60</f>
        <v/>
      </c>
      <c r="J177" s="38">
        <f>IF(Source!BC60&lt;&gt; 0, Source!BC60, 1)</f>
        <v>8.9</v>
      </c>
      <c r="K177" s="37">
        <f>Source!P60</f>
        <v>149591.46</v>
      </c>
      <c r="L177" s="39"/>
      <c r="S177">
        <f>ROUND((Source!FX60/100)*((ROUND(Source!AF60*Source!I60, 2)+ROUND(Source!AE60*Source!I60, 2))), 2)</f>
        <v>0</v>
      </c>
      <c r="T177">
        <f>Source!X60</f>
        <v>0</v>
      </c>
      <c r="U177">
        <f>ROUND((Source!FY60/100)*((ROUND(Source!AF60*Source!I60, 2)+ROUND(Source!AE60*Source!I60, 2))), 2)</f>
        <v>0</v>
      </c>
      <c r="V177">
        <f>Source!Y60</f>
        <v>0</v>
      </c>
    </row>
    <row r="178" spans="1:26" x14ac:dyDescent="0.2">
      <c r="A178" s="31"/>
      <c r="B178" s="31"/>
      <c r="C178" s="32" t="str">
        <f>"Объем: "&amp;Source!I60&amp;"="&amp;Source!I56&amp;"*"&amp;"102"</f>
        <v>Объем: 263,16=2,58*102</v>
      </c>
      <c r="D178" s="31"/>
      <c r="E178" s="31"/>
      <c r="F178" s="31"/>
      <c r="G178" s="31"/>
      <c r="H178" s="31"/>
      <c r="I178" s="31"/>
      <c r="J178" s="31"/>
      <c r="K178" s="31"/>
      <c r="L178" s="31"/>
    </row>
    <row r="179" spans="1:26" ht="15" x14ac:dyDescent="0.25">
      <c r="G179" s="61">
        <f>H177</f>
        <v>16808.03</v>
      </c>
      <c r="H179" s="61"/>
      <c r="J179" s="61">
        <f>K177</f>
        <v>149591.46</v>
      </c>
      <c r="K179" s="61"/>
      <c r="L179" s="47">
        <f>Source!U60</f>
        <v>0</v>
      </c>
      <c r="O179" s="29">
        <f>G179</f>
        <v>16808.03</v>
      </c>
      <c r="P179" s="29">
        <f>J179</f>
        <v>149591.46</v>
      </c>
      <c r="Q179" s="29">
        <f>L179</f>
        <v>0</v>
      </c>
      <c r="W179">
        <f>IF(Source!BI60&lt;=1,H177, 0)</f>
        <v>16808.03</v>
      </c>
      <c r="X179">
        <f>IF(Source!BI60=2,H177, 0)</f>
        <v>0</v>
      </c>
      <c r="Y179">
        <f>IF(Source!BI60=3,H177, 0)</f>
        <v>0</v>
      </c>
      <c r="Z179">
        <f>IF(Source!BI60=4,H177, 0)</f>
        <v>0</v>
      </c>
    </row>
    <row r="180" spans="1:26" ht="42.75" x14ac:dyDescent="0.2">
      <c r="A180" s="53">
        <v>20</v>
      </c>
      <c r="B180" s="53" t="s">
        <v>29</v>
      </c>
      <c r="C180" s="53" t="s">
        <v>932</v>
      </c>
      <c r="D180" s="42" t="str">
        <f>Source!H61</f>
        <v>кг</v>
      </c>
      <c r="E180" s="43">
        <f>Source!I61</f>
        <v>1161</v>
      </c>
      <c r="F180" s="44">
        <f>Source!AL61</f>
        <v>2.17</v>
      </c>
      <c r="G180" s="45" t="str">
        <f>Source!DD61</f>
        <v/>
      </c>
      <c r="H180" s="44">
        <f>ROUND(Source!AC61*Source!I61, 2)</f>
        <v>2519.37</v>
      </c>
      <c r="I180" s="45" t="str">
        <f>Source!BO61</f>
        <v/>
      </c>
      <c r="J180" s="45">
        <f>IF(Source!BC61&lt;&gt; 0, Source!BC61, 1)</f>
        <v>8.9</v>
      </c>
      <c r="K180" s="44">
        <f>Source!P61</f>
        <v>22422.39</v>
      </c>
      <c r="L180" s="48"/>
      <c r="S180">
        <f>ROUND((Source!FX61/100)*((ROUND(Source!AF61*Source!I61, 2)+ROUND(Source!AE61*Source!I61, 2))), 2)</f>
        <v>0</v>
      </c>
      <c r="T180">
        <f>Source!X61</f>
        <v>0</v>
      </c>
      <c r="U180">
        <f>ROUND((Source!FY61/100)*((ROUND(Source!AF61*Source!I61, 2)+ROUND(Source!AE61*Source!I61, 2))), 2)</f>
        <v>0</v>
      </c>
      <c r="V180">
        <f>Source!Y61</f>
        <v>0</v>
      </c>
    </row>
    <row r="181" spans="1:26" ht="15" x14ac:dyDescent="0.25">
      <c r="G181" s="61">
        <f>H180</f>
        <v>2519.37</v>
      </c>
      <c r="H181" s="61"/>
      <c r="J181" s="61">
        <f>K180</f>
        <v>22422.39</v>
      </c>
      <c r="K181" s="61"/>
      <c r="L181" s="47">
        <f>Source!U61</f>
        <v>0</v>
      </c>
      <c r="O181" s="29">
        <f>G181</f>
        <v>2519.37</v>
      </c>
      <c r="P181" s="29">
        <f>J181</f>
        <v>22422.39</v>
      </c>
      <c r="Q181" s="29">
        <f>L181</f>
        <v>0</v>
      </c>
      <c r="W181">
        <f>IF(Source!BI61&lt;=1,H180, 0)</f>
        <v>2519.37</v>
      </c>
      <c r="X181">
        <f>IF(Source!BI61=2,H180, 0)</f>
        <v>0</v>
      </c>
      <c r="Y181">
        <f>IF(Source!BI61=3,H180, 0)</f>
        <v>0</v>
      </c>
      <c r="Z181">
        <f>IF(Source!BI61=4,H180, 0)</f>
        <v>0</v>
      </c>
    </row>
    <row r="182" spans="1:26" ht="54" x14ac:dyDescent="0.2">
      <c r="A182" s="53">
        <v>21</v>
      </c>
      <c r="B182" s="53" t="s">
        <v>29</v>
      </c>
      <c r="C182" s="53" t="s">
        <v>933</v>
      </c>
      <c r="D182" s="42" t="str">
        <f>Source!H62</f>
        <v>кг</v>
      </c>
      <c r="E182" s="43">
        <f>Source!I62</f>
        <v>129</v>
      </c>
      <c r="F182" s="44">
        <f>Source!AL62</f>
        <v>13.540000000000001</v>
      </c>
      <c r="G182" s="45" t="str">
        <f>Source!DD62</f>
        <v/>
      </c>
      <c r="H182" s="44">
        <f>ROUND(Source!AC62*Source!I62, 2)</f>
        <v>1746.66</v>
      </c>
      <c r="I182" s="45" t="str">
        <f>Source!BO62</f>
        <v/>
      </c>
      <c r="J182" s="45">
        <f>IF(Source!BC62&lt;&gt; 0, Source!BC62, 1)</f>
        <v>8.9</v>
      </c>
      <c r="K182" s="44">
        <f>Source!P62</f>
        <v>15545.27</v>
      </c>
      <c r="L182" s="48"/>
      <c r="S182">
        <f>ROUND((Source!FX62/100)*((ROUND(Source!AF62*Source!I62, 2)+ROUND(Source!AE62*Source!I62, 2))), 2)</f>
        <v>0</v>
      </c>
      <c r="T182">
        <f>Source!X62</f>
        <v>0</v>
      </c>
      <c r="U182">
        <f>ROUND((Source!FY62/100)*((ROUND(Source!AF62*Source!I62, 2)+ROUND(Source!AE62*Source!I62, 2))), 2)</f>
        <v>0</v>
      </c>
      <c r="V182">
        <f>Source!Y62</f>
        <v>0</v>
      </c>
    </row>
    <row r="183" spans="1:26" ht="15" x14ac:dyDescent="0.25">
      <c r="G183" s="61">
        <f>H182</f>
        <v>1746.66</v>
      </c>
      <c r="H183" s="61"/>
      <c r="J183" s="61">
        <f>K182</f>
        <v>15545.27</v>
      </c>
      <c r="K183" s="61"/>
      <c r="L183" s="47">
        <f>Source!U62</f>
        <v>0</v>
      </c>
      <c r="O183" s="29">
        <f>G183</f>
        <v>1746.66</v>
      </c>
      <c r="P183" s="29">
        <f>J183</f>
        <v>15545.27</v>
      </c>
      <c r="Q183" s="29">
        <f>L183</f>
        <v>0</v>
      </c>
      <c r="W183">
        <f>IF(Source!BI62&lt;=1,H182, 0)</f>
        <v>1746.66</v>
      </c>
      <c r="X183">
        <f>IF(Source!BI62=2,H182, 0)</f>
        <v>0</v>
      </c>
      <c r="Y183">
        <f>IF(Source!BI62=3,H182, 0)</f>
        <v>0</v>
      </c>
      <c r="Z183">
        <f>IF(Source!BI62=4,H182, 0)</f>
        <v>0</v>
      </c>
    </row>
    <row r="184" spans="1:26" ht="42.75" x14ac:dyDescent="0.2">
      <c r="A184" s="52">
        <v>22</v>
      </c>
      <c r="B184" s="52" t="s">
        <v>908</v>
      </c>
      <c r="C184" s="52" t="str">
        <f>Source!G63</f>
        <v>Облицовка стен глухих (без проемов) по металлическому одинарному каркасу гипсокартонными листами</v>
      </c>
      <c r="D184" s="36" t="str">
        <f>Source!H63</f>
        <v>100 м2</v>
      </c>
      <c r="E184" s="10">
        <f>Source!I63</f>
        <v>1.7922</v>
      </c>
      <c r="F184" s="37">
        <f>Source!AL63+Source!AM63+Source!AO63</f>
        <v>2525.4499999999998</v>
      </c>
      <c r="G184" s="38"/>
      <c r="H184" s="37"/>
      <c r="I184" s="38" t="str">
        <f>Source!BO63</f>
        <v/>
      </c>
      <c r="J184" s="38"/>
      <c r="K184" s="37"/>
      <c r="L184" s="39"/>
      <c r="S184">
        <f>ROUND((Source!FX63/100)*((ROUND(Source!AF63*Source!I63, 2)+ROUND(Source!AE63*Source!I63, 2))), 2)</f>
        <v>1616.1</v>
      </c>
      <c r="T184">
        <f>Source!X63</f>
        <v>51731.65</v>
      </c>
      <c r="U184">
        <f>ROUND((Source!FY63/100)*((ROUND(Source!AF63*Source!I63, 2)+ROUND(Source!AE63*Source!I63, 2))), 2)</f>
        <v>699.56</v>
      </c>
      <c r="V184">
        <f>Source!Y63</f>
        <v>22393.1</v>
      </c>
    </row>
    <row r="185" spans="1:26" ht="14.25" x14ac:dyDescent="0.2">
      <c r="A185" s="52"/>
      <c r="B185" s="52"/>
      <c r="C185" s="52" t="s">
        <v>894</v>
      </c>
      <c r="D185" s="36"/>
      <c r="E185" s="10"/>
      <c r="F185" s="37">
        <f>Source!AO63</f>
        <v>724.51</v>
      </c>
      <c r="G185" s="38" t="str">
        <f>Source!DG63</f>
        <v>)*1,15</v>
      </c>
      <c r="H185" s="37">
        <f>ROUND(Source!AF63*Source!I63, 2)</f>
        <v>1493.24</v>
      </c>
      <c r="I185" s="38"/>
      <c r="J185" s="38">
        <f>IF(Source!BA63&lt;&gt; 0, Source!BA63, 1)</f>
        <v>32.01</v>
      </c>
      <c r="K185" s="37">
        <f>Source!S63</f>
        <v>47798.71</v>
      </c>
      <c r="L185" s="39"/>
      <c r="R185">
        <f>H185</f>
        <v>1493.24</v>
      </c>
    </row>
    <row r="186" spans="1:26" ht="14.25" x14ac:dyDescent="0.2">
      <c r="A186" s="52"/>
      <c r="B186" s="52"/>
      <c r="C186" s="52" t="s">
        <v>340</v>
      </c>
      <c r="D186" s="36"/>
      <c r="E186" s="10"/>
      <c r="F186" s="37">
        <f>Source!AM63</f>
        <v>3.41</v>
      </c>
      <c r="G186" s="38" t="str">
        <f>Source!DE63</f>
        <v>)*1,25</v>
      </c>
      <c r="H186" s="37">
        <f>ROUND(((((Source!ET63*1.25))-((Source!EU63*1.25)))+Source!AE63)*Source!I63, 2)</f>
        <v>7.63</v>
      </c>
      <c r="I186" s="38"/>
      <c r="J186" s="38">
        <f>IF(Source!BB63&lt;&gt; 0, Source!BB63, 1)</f>
        <v>12.44</v>
      </c>
      <c r="K186" s="37">
        <f>Source!Q63</f>
        <v>94.89</v>
      </c>
      <c r="L186" s="39"/>
    </row>
    <row r="187" spans="1:26" ht="14.25" x14ac:dyDescent="0.2">
      <c r="A187" s="52"/>
      <c r="B187" s="52"/>
      <c r="C187" s="52" t="s">
        <v>895</v>
      </c>
      <c r="D187" s="36"/>
      <c r="E187" s="10"/>
      <c r="F187" s="37">
        <f>Source!AN63</f>
        <v>1.41</v>
      </c>
      <c r="G187" s="38" t="str">
        <f>Source!DF63</f>
        <v>)*1,25</v>
      </c>
      <c r="H187" s="40">
        <f>ROUND(Source!AE63*Source!I63, 2)</f>
        <v>3.15</v>
      </c>
      <c r="I187" s="38"/>
      <c r="J187" s="38">
        <f>IF(Source!BS63&lt;&gt; 0, Source!BS63, 1)</f>
        <v>32.01</v>
      </c>
      <c r="K187" s="40">
        <f>Source!R63</f>
        <v>100.97</v>
      </c>
      <c r="L187" s="39"/>
      <c r="R187">
        <f>H187</f>
        <v>3.15</v>
      </c>
    </row>
    <row r="188" spans="1:26" ht="14.25" x14ac:dyDescent="0.2">
      <c r="A188" s="52"/>
      <c r="B188" s="52"/>
      <c r="C188" s="52" t="s">
        <v>911</v>
      </c>
      <c r="D188" s="36"/>
      <c r="E188" s="10"/>
      <c r="F188" s="37">
        <f>Source!AL63</f>
        <v>1797.53</v>
      </c>
      <c r="G188" s="38" t="str">
        <f>Source!DD63</f>
        <v/>
      </c>
      <c r="H188" s="37">
        <f>ROUND(Source!AC63*Source!I63, 2)</f>
        <v>3221.53</v>
      </c>
      <c r="I188" s="38"/>
      <c r="J188" s="38">
        <f>IF(Source!BC63&lt;&gt; 0, Source!BC63, 1)</f>
        <v>8.9</v>
      </c>
      <c r="K188" s="37">
        <f>Source!P63</f>
        <v>28671.65</v>
      </c>
      <c r="L188" s="39"/>
    </row>
    <row r="189" spans="1:26" ht="14.25" x14ac:dyDescent="0.2">
      <c r="A189" s="52"/>
      <c r="B189" s="52"/>
      <c r="C189" s="52" t="s">
        <v>896</v>
      </c>
      <c r="D189" s="36" t="s">
        <v>897</v>
      </c>
      <c r="E189" s="10">
        <f>Source!BZ63</f>
        <v>108</v>
      </c>
      <c r="F189" s="54"/>
      <c r="G189" s="38"/>
      <c r="H189" s="37">
        <f>SUM(S184:S195)</f>
        <v>1616.1</v>
      </c>
      <c r="I189" s="41"/>
      <c r="J189" s="35">
        <f>Source!AT63</f>
        <v>108</v>
      </c>
      <c r="K189" s="37">
        <f>SUM(T184:T195)</f>
        <v>51731.65</v>
      </c>
      <c r="L189" s="39"/>
    </row>
    <row r="190" spans="1:26" ht="14.25" x14ac:dyDescent="0.2">
      <c r="A190" s="52"/>
      <c r="B190" s="52"/>
      <c r="C190" s="52" t="s">
        <v>898</v>
      </c>
      <c r="D190" s="36" t="s">
        <v>897</v>
      </c>
      <c r="E190" s="10">
        <f>Source!CA63</f>
        <v>55</v>
      </c>
      <c r="F190" s="64" t="str">
        <f>CONCATENATE(" )", Source!DM63, Source!FU63, "=", Source!FY63)</f>
        <v xml:space="preserve"> ))*0,85=46,75</v>
      </c>
      <c r="G190" s="65"/>
      <c r="H190" s="37">
        <f>SUM(U184:U195)</f>
        <v>699.56</v>
      </c>
      <c r="I190" s="41"/>
      <c r="J190" s="35">
        <f>Source!AU63</f>
        <v>46.75</v>
      </c>
      <c r="K190" s="37">
        <f>SUM(V184:V195)</f>
        <v>22393.1</v>
      </c>
      <c r="L190" s="39"/>
    </row>
    <row r="191" spans="1:26" ht="14.25" x14ac:dyDescent="0.2">
      <c r="A191" s="52"/>
      <c r="B191" s="52"/>
      <c r="C191" s="52" t="s">
        <v>899</v>
      </c>
      <c r="D191" s="36" t="s">
        <v>900</v>
      </c>
      <c r="E191" s="10">
        <f>Source!AQ63</f>
        <v>80.77</v>
      </c>
      <c r="F191" s="37"/>
      <c r="G191" s="38" t="str">
        <f>Source!DI63</f>
        <v>)*1,15</v>
      </c>
      <c r="H191" s="37"/>
      <c r="I191" s="38"/>
      <c r="J191" s="38"/>
      <c r="K191" s="37"/>
      <c r="L191" s="49">
        <f>Source!U63</f>
        <v>166.46939309999999</v>
      </c>
    </row>
    <row r="192" spans="1:26" ht="71.25" x14ac:dyDescent="0.2">
      <c r="A192" s="52">
        <v>22.1</v>
      </c>
      <c r="B192" s="52" t="s">
        <v>934</v>
      </c>
      <c r="C192" s="52" t="s">
        <v>935</v>
      </c>
      <c r="D192" s="36" t="str">
        <f>Source!H64</f>
        <v>м</v>
      </c>
      <c r="E192" s="10">
        <f>Source!I64</f>
        <v>-145.07858999999999</v>
      </c>
      <c r="F192" s="37">
        <f>Source!AL64+Source!AM64+Source!AO64</f>
        <v>4</v>
      </c>
      <c r="G192" s="51" t="s">
        <v>3</v>
      </c>
      <c r="H192" s="37">
        <f>ROUND(Source!AC64*Source!I64, 2)+ROUND((((Source!ET64)-(Source!EU64))+Source!AE64)*Source!I64, 2)+ROUND(Source!AF64*Source!I64, 2)</f>
        <v>-580.30999999999995</v>
      </c>
      <c r="I192" s="38"/>
      <c r="J192" s="38">
        <f>IF(Source!BC64&lt;&gt; 0, Source!BC64, 1)</f>
        <v>8.9</v>
      </c>
      <c r="K192" s="37">
        <f>Source!O64</f>
        <v>-5164.8</v>
      </c>
      <c r="L192" s="39"/>
      <c r="S192">
        <f>ROUND((Source!FX64/100)*((ROUND(Source!AF64*Source!I64, 2)+ROUND(Source!AE64*Source!I64, 2))), 2)</f>
        <v>0</v>
      </c>
      <c r="T192">
        <f>Source!X64</f>
        <v>0</v>
      </c>
      <c r="U192">
        <f>ROUND((Source!FY64/100)*((ROUND(Source!AF64*Source!I64, 2)+ROUND(Source!AE64*Source!I64, 2))), 2)</f>
        <v>0</v>
      </c>
      <c r="V192">
        <f>Source!Y64</f>
        <v>0</v>
      </c>
      <c r="W192">
        <f>IF(Source!BI64&lt;=1,H192, 0)</f>
        <v>-580.30999999999995</v>
      </c>
      <c r="X192">
        <f>IF(Source!BI64=2,H192, 0)</f>
        <v>0</v>
      </c>
      <c r="Y192">
        <f>IF(Source!BI64=3,H192, 0)</f>
        <v>0</v>
      </c>
      <c r="Z192">
        <f>IF(Source!BI64=4,H192, 0)</f>
        <v>0</v>
      </c>
    </row>
    <row r="193" spans="1:26" ht="71.25" x14ac:dyDescent="0.2">
      <c r="A193" s="52">
        <v>22.2</v>
      </c>
      <c r="B193" s="52" t="s">
        <v>936</v>
      </c>
      <c r="C193" s="52" t="s">
        <v>937</v>
      </c>
      <c r="D193" s="36" t="str">
        <f>Source!H65</f>
        <v>м</v>
      </c>
      <c r="E193" s="10">
        <f>Source!I65</f>
        <v>-307.95372600000002</v>
      </c>
      <c r="F193" s="37">
        <f>Source!AL65+Source!AM65+Source!AO65</f>
        <v>5.5</v>
      </c>
      <c r="G193" s="51" t="s">
        <v>3</v>
      </c>
      <c r="H193" s="37">
        <f>ROUND(Source!AC65*Source!I65, 2)+ROUND((((Source!ET65)-(Source!EU65))+Source!AE65)*Source!I65, 2)+ROUND(Source!AF65*Source!I65, 2)</f>
        <v>-1693.75</v>
      </c>
      <c r="I193" s="38"/>
      <c r="J193" s="38">
        <f>IF(Source!BC65&lt;&gt; 0, Source!BC65, 1)</f>
        <v>8.9</v>
      </c>
      <c r="K193" s="37">
        <f>Source!O65</f>
        <v>-15074.33</v>
      </c>
      <c r="L193" s="39"/>
      <c r="S193">
        <f>ROUND((Source!FX65/100)*((ROUND(Source!AF65*Source!I65, 2)+ROUND(Source!AE65*Source!I65, 2))), 2)</f>
        <v>0</v>
      </c>
      <c r="T193">
        <f>Source!X65</f>
        <v>0</v>
      </c>
      <c r="U193">
        <f>ROUND((Source!FY65/100)*((ROUND(Source!AF65*Source!I65, 2)+ROUND(Source!AE65*Source!I65, 2))), 2)</f>
        <v>0</v>
      </c>
      <c r="V193">
        <f>Source!Y65</f>
        <v>0</v>
      </c>
      <c r="W193">
        <f>IF(Source!BI65&lt;=1,H193, 0)</f>
        <v>-1693.75</v>
      </c>
      <c r="X193">
        <f>IF(Source!BI65=2,H193, 0)</f>
        <v>0</v>
      </c>
      <c r="Y193">
        <f>IF(Source!BI65=3,H193, 0)</f>
        <v>0</v>
      </c>
      <c r="Z193">
        <f>IF(Source!BI65=4,H193, 0)</f>
        <v>0</v>
      </c>
    </row>
    <row r="194" spans="1:26" ht="71.25" x14ac:dyDescent="0.2">
      <c r="A194" s="52">
        <v>22.3</v>
      </c>
      <c r="B194" s="52" t="s">
        <v>938</v>
      </c>
      <c r="C194" s="52" t="s">
        <v>939</v>
      </c>
      <c r="D194" s="36" t="str">
        <f>Source!H66</f>
        <v>100 ШТ</v>
      </c>
      <c r="E194" s="10">
        <f>Source!I66</f>
        <v>-3.8353080000000004</v>
      </c>
      <c r="F194" s="37">
        <f>Source!AL66+Source!AM66+Source!AO66</f>
        <v>68</v>
      </c>
      <c r="G194" s="51" t="s">
        <v>3</v>
      </c>
      <c r="H194" s="37">
        <f>ROUND(Source!AC66*Source!I66, 2)+ROUND((((Source!ET66)-(Source!EU66))+Source!AE66)*Source!I66, 2)+ROUND(Source!AF66*Source!I66, 2)</f>
        <v>-260.8</v>
      </c>
      <c r="I194" s="38"/>
      <c r="J194" s="38">
        <f>IF(Source!BC66&lt;&gt; 0, Source!BC66, 1)</f>
        <v>8.9</v>
      </c>
      <c r="K194" s="37">
        <f>Source!O66</f>
        <v>-2321.13</v>
      </c>
      <c r="L194" s="39"/>
      <c r="S194">
        <f>ROUND((Source!FX66/100)*((ROUND(Source!AF66*Source!I66, 2)+ROUND(Source!AE66*Source!I66, 2))), 2)</f>
        <v>0</v>
      </c>
      <c r="T194">
        <f>Source!X66</f>
        <v>0</v>
      </c>
      <c r="U194">
        <f>ROUND((Source!FY66/100)*((ROUND(Source!AF66*Source!I66, 2)+ROUND(Source!AE66*Source!I66, 2))), 2)</f>
        <v>0</v>
      </c>
      <c r="V194">
        <f>Source!Y66</f>
        <v>0</v>
      </c>
      <c r="W194">
        <f>IF(Source!BI66&lt;=1,H194, 0)</f>
        <v>-260.8</v>
      </c>
      <c r="X194">
        <f>IF(Source!BI66=2,H194, 0)</f>
        <v>0</v>
      </c>
      <c r="Y194">
        <f>IF(Source!BI66=3,H194, 0)</f>
        <v>0</v>
      </c>
      <c r="Z194">
        <f>IF(Source!BI66=4,H194, 0)</f>
        <v>0</v>
      </c>
    </row>
    <row r="195" spans="1:26" ht="42.75" x14ac:dyDescent="0.2">
      <c r="A195" s="53">
        <v>22.4</v>
      </c>
      <c r="B195" s="53" t="s">
        <v>940</v>
      </c>
      <c r="C195" s="53" t="s">
        <v>941</v>
      </c>
      <c r="D195" s="42" t="str">
        <f>Source!H67</f>
        <v>100 ШТ</v>
      </c>
      <c r="E195" s="43">
        <f>Source!I67</f>
        <v>-0.64519199999999999</v>
      </c>
      <c r="F195" s="44">
        <f>Source!AL67+Source!AM67+Source!AO67</f>
        <v>160</v>
      </c>
      <c r="G195" s="50" t="s">
        <v>3</v>
      </c>
      <c r="H195" s="44">
        <f>ROUND(Source!AC67*Source!I67, 2)+ROUND((((Source!ET67)-(Source!EU67))+Source!AE67)*Source!I67, 2)+ROUND(Source!AF67*Source!I67, 2)</f>
        <v>-103.23</v>
      </c>
      <c r="I195" s="45"/>
      <c r="J195" s="45">
        <f>IF(Source!BC67&lt;&gt; 0, Source!BC67, 1)</f>
        <v>8.9</v>
      </c>
      <c r="K195" s="44">
        <f>Source!O67</f>
        <v>-918.75</v>
      </c>
      <c r="L195" s="48"/>
      <c r="S195">
        <f>ROUND((Source!FX67/100)*((ROUND(Source!AF67*Source!I67, 2)+ROUND(Source!AE67*Source!I67, 2))), 2)</f>
        <v>0</v>
      </c>
      <c r="T195">
        <f>Source!X67</f>
        <v>0</v>
      </c>
      <c r="U195">
        <f>ROUND((Source!FY67/100)*((ROUND(Source!AF67*Source!I67, 2)+ROUND(Source!AE67*Source!I67, 2))), 2)</f>
        <v>0</v>
      </c>
      <c r="V195">
        <f>Source!Y67</f>
        <v>0</v>
      </c>
      <c r="W195">
        <f>IF(Source!BI67&lt;=1,H195, 0)</f>
        <v>-103.23</v>
      </c>
      <c r="X195">
        <f>IF(Source!BI67=2,H195, 0)</f>
        <v>0</v>
      </c>
      <c r="Y195">
        <f>IF(Source!BI67=3,H195, 0)</f>
        <v>0</v>
      </c>
      <c r="Z195">
        <f>IF(Source!BI67=4,H195, 0)</f>
        <v>0</v>
      </c>
    </row>
    <row r="196" spans="1:26" ht="15" x14ac:dyDescent="0.25">
      <c r="G196" s="61">
        <f>H185+H186+H188+H189+H190+SUM(H192:H195)</f>
        <v>4399.9699999999993</v>
      </c>
      <c r="H196" s="61"/>
      <c r="J196" s="61">
        <f>K185+K186+K188+K189+K190+SUM(K192:K195)</f>
        <v>127210.98999999999</v>
      </c>
      <c r="K196" s="61"/>
      <c r="L196" s="47">
        <f>Source!U63</f>
        <v>166.46939309999999</v>
      </c>
      <c r="O196" s="29">
        <f>G196</f>
        <v>4399.9699999999993</v>
      </c>
      <c r="P196" s="29">
        <f>J196</f>
        <v>127210.98999999999</v>
      </c>
      <c r="Q196" s="29">
        <f>L196</f>
        <v>166.46939309999999</v>
      </c>
      <c r="W196">
        <f>IF(Source!BI63&lt;=1,H185+H186+H188+H189+H190, 0)</f>
        <v>7038.0599999999995</v>
      </c>
      <c r="X196">
        <f>IF(Source!BI63=2,H185+H186+H188+H189+H190, 0)</f>
        <v>0</v>
      </c>
      <c r="Y196">
        <f>IF(Source!BI63=3,H185+H186+H188+H189+H190, 0)</f>
        <v>0</v>
      </c>
      <c r="Z196">
        <f>IF(Source!BI63=4,H185+H186+H188+H189+H190, 0)</f>
        <v>0</v>
      </c>
    </row>
    <row r="197" spans="1:26" ht="42.75" x14ac:dyDescent="0.2">
      <c r="A197" s="53">
        <v>23</v>
      </c>
      <c r="B197" s="53" t="s">
        <v>29</v>
      </c>
      <c r="C197" s="53" t="s">
        <v>942</v>
      </c>
      <c r="D197" s="42" t="str">
        <f>Source!H68</f>
        <v>м2</v>
      </c>
      <c r="E197" s="43">
        <f>Source!I68</f>
        <v>189</v>
      </c>
      <c r="F197" s="44">
        <f>Source!AL68</f>
        <v>20.389999999999997</v>
      </c>
      <c r="G197" s="45" t="str">
        <f>Source!DD68</f>
        <v/>
      </c>
      <c r="H197" s="44">
        <f>ROUND(Source!AC68*Source!I68, 2)</f>
        <v>3853.71</v>
      </c>
      <c r="I197" s="45" t="str">
        <f>Source!BO68</f>
        <v/>
      </c>
      <c r="J197" s="45">
        <f>IF(Source!BC68&lt;&gt; 0, Source!BC68, 1)</f>
        <v>8.9</v>
      </c>
      <c r="K197" s="44">
        <f>Source!P68</f>
        <v>34298.019999999997</v>
      </c>
      <c r="L197" s="48"/>
      <c r="S197">
        <f>ROUND((Source!FX68/100)*((ROUND(Source!AF68*Source!I68, 2)+ROUND(Source!AE68*Source!I68, 2))), 2)</f>
        <v>0</v>
      </c>
      <c r="T197">
        <f>Source!X68</f>
        <v>0</v>
      </c>
      <c r="U197">
        <f>ROUND((Source!FY68/100)*((ROUND(Source!AF68*Source!I68, 2)+ROUND(Source!AE68*Source!I68, 2))), 2)</f>
        <v>0</v>
      </c>
      <c r="V197">
        <f>Source!Y68</f>
        <v>0</v>
      </c>
    </row>
    <row r="198" spans="1:26" ht="15" x14ac:dyDescent="0.25">
      <c r="G198" s="61">
        <f>H197</f>
        <v>3853.71</v>
      </c>
      <c r="H198" s="61"/>
      <c r="J198" s="61">
        <f>K197</f>
        <v>34298.019999999997</v>
      </c>
      <c r="K198" s="61"/>
      <c r="L198" s="47">
        <f>Source!U68</f>
        <v>0</v>
      </c>
      <c r="O198" s="29">
        <f>G198</f>
        <v>3853.71</v>
      </c>
      <c r="P198" s="29">
        <f>J198</f>
        <v>34298.019999999997</v>
      </c>
      <c r="Q198" s="29">
        <f>L198</f>
        <v>0</v>
      </c>
      <c r="W198">
        <f>IF(Source!BI68&lt;=1,H197, 0)</f>
        <v>3853.71</v>
      </c>
      <c r="X198">
        <f>IF(Source!BI68=2,H197, 0)</f>
        <v>0</v>
      </c>
      <c r="Y198">
        <f>IF(Source!BI68=3,H197, 0)</f>
        <v>0</v>
      </c>
      <c r="Z198">
        <f>IF(Source!BI68=4,H197, 0)</f>
        <v>0</v>
      </c>
    </row>
    <row r="199" spans="1:26" ht="82.5" x14ac:dyDescent="0.2">
      <c r="A199" s="53">
        <v>24</v>
      </c>
      <c r="B199" s="53" t="s">
        <v>29</v>
      </c>
      <c r="C199" s="53" t="s">
        <v>943</v>
      </c>
      <c r="D199" s="42" t="str">
        <f>Source!H69</f>
        <v>м</v>
      </c>
      <c r="E199" s="43">
        <f>Source!I69</f>
        <v>145</v>
      </c>
      <c r="F199" s="44">
        <f>Source!AL69</f>
        <v>8.5299999999999994</v>
      </c>
      <c r="G199" s="45" t="str">
        <f>Source!DD69</f>
        <v/>
      </c>
      <c r="H199" s="44">
        <f>ROUND(Source!AC69*Source!I69, 2)</f>
        <v>1236.8499999999999</v>
      </c>
      <c r="I199" s="45" t="str">
        <f>Source!BO69</f>
        <v/>
      </c>
      <c r="J199" s="45">
        <f>IF(Source!BC69&lt;&gt; 0, Source!BC69, 1)</f>
        <v>8.9</v>
      </c>
      <c r="K199" s="44">
        <f>Source!P69</f>
        <v>11007.97</v>
      </c>
      <c r="L199" s="48"/>
      <c r="S199">
        <f>ROUND((Source!FX69/100)*((ROUND(Source!AF69*Source!I69, 2)+ROUND(Source!AE69*Source!I69, 2))), 2)</f>
        <v>0</v>
      </c>
      <c r="T199">
        <f>Source!X69</f>
        <v>0</v>
      </c>
      <c r="U199">
        <f>ROUND((Source!FY69/100)*((ROUND(Source!AF69*Source!I69, 2)+ROUND(Source!AE69*Source!I69, 2))), 2)</f>
        <v>0</v>
      </c>
      <c r="V199">
        <f>Source!Y69</f>
        <v>0</v>
      </c>
    </row>
    <row r="200" spans="1:26" ht="15" x14ac:dyDescent="0.25">
      <c r="G200" s="61">
        <f>H199</f>
        <v>1236.8499999999999</v>
      </c>
      <c r="H200" s="61"/>
      <c r="J200" s="61">
        <f>K199</f>
        <v>11007.97</v>
      </c>
      <c r="K200" s="61"/>
      <c r="L200" s="47">
        <f>Source!U69</f>
        <v>0</v>
      </c>
      <c r="O200" s="29">
        <f>G200</f>
        <v>1236.8499999999999</v>
      </c>
      <c r="P200" s="29">
        <f>J200</f>
        <v>11007.97</v>
      </c>
      <c r="Q200" s="29">
        <f>L200</f>
        <v>0</v>
      </c>
      <c r="W200">
        <f>IF(Source!BI69&lt;=1,H199, 0)</f>
        <v>1236.8499999999999</v>
      </c>
      <c r="X200">
        <f>IF(Source!BI69=2,H199, 0)</f>
        <v>0</v>
      </c>
      <c r="Y200">
        <f>IF(Source!BI69=3,H199, 0)</f>
        <v>0</v>
      </c>
      <c r="Z200">
        <f>IF(Source!BI69=4,H199, 0)</f>
        <v>0</v>
      </c>
    </row>
    <row r="201" spans="1:26" ht="82.5" x14ac:dyDescent="0.2">
      <c r="A201" s="53">
        <v>25</v>
      </c>
      <c r="B201" s="53" t="s">
        <v>29</v>
      </c>
      <c r="C201" s="53" t="s">
        <v>944</v>
      </c>
      <c r="D201" s="42" t="str">
        <f>Source!H70</f>
        <v>м</v>
      </c>
      <c r="E201" s="43">
        <f>Source!I70</f>
        <v>308</v>
      </c>
      <c r="F201" s="44">
        <f>Source!AL70</f>
        <v>7.34</v>
      </c>
      <c r="G201" s="45" t="str">
        <f>Source!DD70</f>
        <v/>
      </c>
      <c r="H201" s="44">
        <f>ROUND(Source!AC70*Source!I70, 2)</f>
        <v>2260.7199999999998</v>
      </c>
      <c r="I201" s="45" t="str">
        <f>Source!BO70</f>
        <v/>
      </c>
      <c r="J201" s="45">
        <f>IF(Source!BC70&lt;&gt; 0, Source!BC70, 1)</f>
        <v>8.9</v>
      </c>
      <c r="K201" s="44">
        <f>Source!P70</f>
        <v>20120.41</v>
      </c>
      <c r="L201" s="48"/>
      <c r="S201">
        <f>ROUND((Source!FX70/100)*((ROUND(Source!AF70*Source!I70, 2)+ROUND(Source!AE70*Source!I70, 2))), 2)</f>
        <v>0</v>
      </c>
      <c r="T201">
        <f>Source!X70</f>
        <v>0</v>
      </c>
      <c r="U201">
        <f>ROUND((Source!FY70/100)*((ROUND(Source!AF70*Source!I70, 2)+ROUND(Source!AE70*Source!I70, 2))), 2)</f>
        <v>0</v>
      </c>
      <c r="V201">
        <f>Source!Y70</f>
        <v>0</v>
      </c>
    </row>
    <row r="202" spans="1:26" ht="15" x14ac:dyDescent="0.25">
      <c r="G202" s="61">
        <f>H201</f>
        <v>2260.7199999999998</v>
      </c>
      <c r="H202" s="61"/>
      <c r="J202" s="61">
        <f>K201</f>
        <v>20120.41</v>
      </c>
      <c r="K202" s="61"/>
      <c r="L202" s="47">
        <f>Source!U70</f>
        <v>0</v>
      </c>
      <c r="O202" s="29">
        <f>G202</f>
        <v>2260.7199999999998</v>
      </c>
      <c r="P202" s="29">
        <f>J202</f>
        <v>20120.41</v>
      </c>
      <c r="Q202" s="29">
        <f>L202</f>
        <v>0</v>
      </c>
      <c r="W202">
        <f>IF(Source!BI70&lt;=1,H201, 0)</f>
        <v>2260.7199999999998</v>
      </c>
      <c r="X202">
        <f>IF(Source!BI70=2,H201, 0)</f>
        <v>0</v>
      </c>
      <c r="Y202">
        <f>IF(Source!BI70=3,H201, 0)</f>
        <v>0</v>
      </c>
      <c r="Z202">
        <f>IF(Source!BI70=4,H201, 0)</f>
        <v>0</v>
      </c>
    </row>
    <row r="203" spans="1:26" ht="82.5" x14ac:dyDescent="0.2">
      <c r="A203" s="53">
        <v>26</v>
      </c>
      <c r="B203" s="53" t="s">
        <v>29</v>
      </c>
      <c r="C203" s="53" t="s">
        <v>945</v>
      </c>
      <c r="D203" s="42" t="str">
        <f>Source!H71</f>
        <v>ШТ</v>
      </c>
      <c r="E203" s="43">
        <f>Source!I71</f>
        <v>384</v>
      </c>
      <c r="F203" s="44">
        <f>Source!AL71</f>
        <v>2.7099999999999995</v>
      </c>
      <c r="G203" s="45" t="str">
        <f>Source!DD71</f>
        <v/>
      </c>
      <c r="H203" s="44">
        <f>ROUND(Source!AC71*Source!I71, 2)</f>
        <v>1040.6400000000001</v>
      </c>
      <c r="I203" s="45" t="str">
        <f>Source!BO71</f>
        <v/>
      </c>
      <c r="J203" s="45">
        <f>IF(Source!BC71&lt;&gt; 0, Source!BC71, 1)</f>
        <v>8.9</v>
      </c>
      <c r="K203" s="44">
        <f>Source!P71</f>
        <v>9261.7000000000007</v>
      </c>
      <c r="L203" s="48"/>
      <c r="S203">
        <f>ROUND((Source!FX71/100)*((ROUND(Source!AF71*Source!I71, 2)+ROUND(Source!AE71*Source!I71, 2))), 2)</f>
        <v>0</v>
      </c>
      <c r="T203">
        <f>Source!X71</f>
        <v>0</v>
      </c>
      <c r="U203">
        <f>ROUND((Source!FY71/100)*((ROUND(Source!AF71*Source!I71, 2)+ROUND(Source!AE71*Source!I71, 2))), 2)</f>
        <v>0</v>
      </c>
      <c r="V203">
        <f>Source!Y71</f>
        <v>0</v>
      </c>
    </row>
    <row r="204" spans="1:26" ht="15" x14ac:dyDescent="0.25">
      <c r="G204" s="61">
        <f>H203</f>
        <v>1040.6400000000001</v>
      </c>
      <c r="H204" s="61"/>
      <c r="J204" s="61">
        <f>K203</f>
        <v>9261.7000000000007</v>
      </c>
      <c r="K204" s="61"/>
      <c r="L204" s="47">
        <f>Source!U71</f>
        <v>0</v>
      </c>
      <c r="O204" s="29">
        <f>G204</f>
        <v>1040.6400000000001</v>
      </c>
      <c r="P204" s="29">
        <f>J204</f>
        <v>9261.7000000000007</v>
      </c>
      <c r="Q204" s="29">
        <f>L204</f>
        <v>0</v>
      </c>
      <c r="W204">
        <f>IF(Source!BI71&lt;=1,H203, 0)</f>
        <v>1040.6400000000001</v>
      </c>
      <c r="X204">
        <f>IF(Source!BI71=2,H203, 0)</f>
        <v>0</v>
      </c>
      <c r="Y204">
        <f>IF(Source!BI71=3,H203, 0)</f>
        <v>0</v>
      </c>
      <c r="Z204">
        <f>IF(Source!BI71=4,H203, 0)</f>
        <v>0</v>
      </c>
    </row>
    <row r="205" spans="1:26" ht="54" x14ac:dyDescent="0.2">
      <c r="A205" s="53">
        <v>27</v>
      </c>
      <c r="B205" s="53" t="s">
        <v>29</v>
      </c>
      <c r="C205" s="53" t="s">
        <v>946</v>
      </c>
      <c r="D205" s="42" t="str">
        <f>Source!H72</f>
        <v>ШТ</v>
      </c>
      <c r="E205" s="43">
        <f>Source!I72</f>
        <v>65</v>
      </c>
      <c r="F205" s="44">
        <f>Source!AL72</f>
        <v>13.71</v>
      </c>
      <c r="G205" s="45" t="str">
        <f>Source!DD72</f>
        <v/>
      </c>
      <c r="H205" s="44">
        <f>ROUND(Source!AC72*Source!I72, 2)</f>
        <v>891.15</v>
      </c>
      <c r="I205" s="45" t="str">
        <f>Source!BO72</f>
        <v/>
      </c>
      <c r="J205" s="45">
        <f>IF(Source!BC72&lt;&gt; 0, Source!BC72, 1)</f>
        <v>8.9</v>
      </c>
      <c r="K205" s="44">
        <f>Source!P72</f>
        <v>7931.24</v>
      </c>
      <c r="L205" s="48"/>
      <c r="S205">
        <f>ROUND((Source!FX72/100)*((ROUND(Source!AF72*Source!I72, 2)+ROUND(Source!AE72*Source!I72, 2))), 2)</f>
        <v>0</v>
      </c>
      <c r="T205">
        <f>Source!X72</f>
        <v>0</v>
      </c>
      <c r="U205">
        <f>ROUND((Source!FY72/100)*((ROUND(Source!AF72*Source!I72, 2)+ROUND(Source!AE72*Source!I72, 2))), 2)</f>
        <v>0</v>
      </c>
      <c r="V205">
        <f>Source!Y72</f>
        <v>0</v>
      </c>
    </row>
    <row r="206" spans="1:26" ht="15" x14ac:dyDescent="0.25">
      <c r="G206" s="61">
        <f>H205</f>
        <v>891.15</v>
      </c>
      <c r="H206" s="61"/>
      <c r="J206" s="61">
        <f>K205</f>
        <v>7931.24</v>
      </c>
      <c r="K206" s="61"/>
      <c r="L206" s="47">
        <f>Source!U72</f>
        <v>0</v>
      </c>
      <c r="O206" s="29">
        <f>G206</f>
        <v>891.15</v>
      </c>
      <c r="P206" s="29">
        <f>J206</f>
        <v>7931.24</v>
      </c>
      <c r="Q206" s="29">
        <f>L206</f>
        <v>0</v>
      </c>
      <c r="W206">
        <f>IF(Source!BI72&lt;=1,H205, 0)</f>
        <v>891.15</v>
      </c>
      <c r="X206">
        <f>IF(Source!BI72=2,H205, 0)</f>
        <v>0</v>
      </c>
      <c r="Y206">
        <f>IF(Source!BI72=3,H205, 0)</f>
        <v>0</v>
      </c>
      <c r="Z206">
        <f>IF(Source!BI72=4,H205, 0)</f>
        <v>0</v>
      </c>
    </row>
    <row r="207" spans="1:26" ht="42.75" x14ac:dyDescent="0.2">
      <c r="A207" s="52">
        <v>28</v>
      </c>
      <c r="B207" s="52" t="s">
        <v>922</v>
      </c>
      <c r="C207" s="52" t="str">
        <f>Source!G73</f>
        <v>Нанесение водно-дисперсионной грунтовки на поверхности: пористые (камень, кирпич, бетон и т.д.)</v>
      </c>
      <c r="D207" s="36" t="str">
        <f>Source!H73</f>
        <v>100 м2</v>
      </c>
      <c r="E207" s="10">
        <f>Source!I73</f>
        <v>1.9056</v>
      </c>
      <c r="F207" s="37">
        <f>Source!AL73+Source!AM73+Source!AO73</f>
        <v>57.849999999999994</v>
      </c>
      <c r="G207" s="38"/>
      <c r="H207" s="37"/>
      <c r="I207" s="38" t="str">
        <f>Source!BO73</f>
        <v/>
      </c>
      <c r="J207" s="38"/>
      <c r="K207" s="37"/>
      <c r="L207" s="39"/>
      <c r="S207">
        <f>ROUND((Source!FX73/100)*((ROUND(Source!AF73*Source!I73, 2)+ROUND(Source!AE73*Source!I73, 2))), 2)</f>
        <v>75.61</v>
      </c>
      <c r="T207">
        <f>Source!X73</f>
        <v>2420.41</v>
      </c>
      <c r="U207">
        <f>ROUND((Source!FY73/100)*((ROUND(Source!AF73*Source!I73, 2)+ROUND(Source!AE73*Source!I73, 2))), 2)</f>
        <v>31.49</v>
      </c>
      <c r="V207">
        <f>Source!Y73</f>
        <v>1008.1</v>
      </c>
    </row>
    <row r="208" spans="1:26" ht="14.25" x14ac:dyDescent="0.2">
      <c r="A208" s="52"/>
      <c r="B208" s="52"/>
      <c r="C208" s="52" t="s">
        <v>894</v>
      </c>
      <c r="D208" s="36"/>
      <c r="E208" s="10"/>
      <c r="F208" s="37">
        <f>Source!AO73</f>
        <v>33.869999999999997</v>
      </c>
      <c r="G208" s="38" t="str">
        <f>Source!DG73</f>
        <v>)*1,15</v>
      </c>
      <c r="H208" s="37">
        <f>ROUND(Source!AF73*Source!I73, 2)</f>
        <v>74.22</v>
      </c>
      <c r="I208" s="38"/>
      <c r="J208" s="38">
        <f>IF(Source!BA73&lt;&gt; 0, Source!BA73, 1)</f>
        <v>32.01</v>
      </c>
      <c r="K208" s="37">
        <f>Source!S73</f>
        <v>2375.88</v>
      </c>
      <c r="L208" s="39"/>
      <c r="R208">
        <f>H208</f>
        <v>74.22</v>
      </c>
    </row>
    <row r="209" spans="1:26" ht="14.25" x14ac:dyDescent="0.2">
      <c r="A209" s="52"/>
      <c r="B209" s="52"/>
      <c r="C209" s="52" t="s">
        <v>340</v>
      </c>
      <c r="D209" s="36"/>
      <c r="E209" s="10"/>
      <c r="F209" s="37">
        <f>Source!AM73</f>
        <v>22.14</v>
      </c>
      <c r="G209" s="38" t="str">
        <f>Source!DE73</f>
        <v>)*1,25</v>
      </c>
      <c r="H209" s="37">
        <f>ROUND(((((Source!ET73*1.25))-((Source!EU73*1.25)))+Source!AE73)*Source!I73, 2)</f>
        <v>52.75</v>
      </c>
      <c r="I209" s="38"/>
      <c r="J209" s="38">
        <f>IF(Source!BB73&lt;&gt; 0, Source!BB73, 1)</f>
        <v>12.44</v>
      </c>
      <c r="K209" s="37">
        <f>Source!Q73</f>
        <v>656.36</v>
      </c>
      <c r="L209" s="39"/>
    </row>
    <row r="210" spans="1:26" ht="14.25" x14ac:dyDescent="0.2">
      <c r="A210" s="52"/>
      <c r="B210" s="52"/>
      <c r="C210" s="52" t="s">
        <v>895</v>
      </c>
      <c r="D210" s="36"/>
      <c r="E210" s="10"/>
      <c r="F210" s="37">
        <f>Source!AN73</f>
        <v>0.57999999999999996</v>
      </c>
      <c r="G210" s="38" t="str">
        <f>Source!DF73</f>
        <v>)*1,25</v>
      </c>
      <c r="H210" s="40">
        <f>ROUND(Source!AE73*Source!I73, 2)</f>
        <v>1.39</v>
      </c>
      <c r="I210" s="38"/>
      <c r="J210" s="38">
        <f>IF(Source!BS73&lt;&gt; 0, Source!BS73, 1)</f>
        <v>32.01</v>
      </c>
      <c r="K210" s="40">
        <f>Source!R73</f>
        <v>44.53</v>
      </c>
      <c r="L210" s="39"/>
      <c r="R210">
        <f>H210</f>
        <v>1.39</v>
      </c>
    </row>
    <row r="211" spans="1:26" ht="14.25" x14ac:dyDescent="0.2">
      <c r="A211" s="52"/>
      <c r="B211" s="52"/>
      <c r="C211" s="52" t="s">
        <v>911</v>
      </c>
      <c r="D211" s="36"/>
      <c r="E211" s="10"/>
      <c r="F211" s="37">
        <f>Source!AL73</f>
        <v>1.84</v>
      </c>
      <c r="G211" s="38" t="str">
        <f>Source!DD73</f>
        <v/>
      </c>
      <c r="H211" s="37">
        <f>ROUND(Source!AC73*Source!I73, 2)</f>
        <v>3.51</v>
      </c>
      <c r="I211" s="38"/>
      <c r="J211" s="38">
        <f>IF(Source!BC73&lt;&gt; 0, Source!BC73, 1)</f>
        <v>8.9</v>
      </c>
      <c r="K211" s="37">
        <f>Source!P73</f>
        <v>31.21</v>
      </c>
      <c r="L211" s="39"/>
    </row>
    <row r="212" spans="1:26" ht="14.25" x14ac:dyDescent="0.2">
      <c r="A212" s="52"/>
      <c r="B212" s="52"/>
      <c r="C212" s="52" t="s">
        <v>896</v>
      </c>
      <c r="D212" s="36" t="s">
        <v>897</v>
      </c>
      <c r="E212" s="10">
        <f>Source!BZ73</f>
        <v>100</v>
      </c>
      <c r="F212" s="54"/>
      <c r="G212" s="38"/>
      <c r="H212" s="37">
        <f>SUM(S207:S214)</f>
        <v>75.61</v>
      </c>
      <c r="I212" s="41"/>
      <c r="J212" s="35">
        <f>Source!AT73</f>
        <v>100</v>
      </c>
      <c r="K212" s="37">
        <f>SUM(T207:T214)</f>
        <v>2420.41</v>
      </c>
      <c r="L212" s="39"/>
    </row>
    <row r="213" spans="1:26" ht="14.25" x14ac:dyDescent="0.2">
      <c r="A213" s="52"/>
      <c r="B213" s="52"/>
      <c r="C213" s="52" t="s">
        <v>898</v>
      </c>
      <c r="D213" s="36" t="s">
        <v>897</v>
      </c>
      <c r="E213" s="10">
        <f>Source!CA73</f>
        <v>49</v>
      </c>
      <c r="F213" s="64" t="str">
        <f>CONCATENATE(" )", Source!DM73, Source!FU73, "=", Source!FY73)</f>
        <v xml:space="preserve"> ))*0,85=41,65</v>
      </c>
      <c r="G213" s="65"/>
      <c r="H213" s="37">
        <f>SUM(U207:U214)</f>
        <v>31.49</v>
      </c>
      <c r="I213" s="41"/>
      <c r="J213" s="35">
        <f>Source!AU73</f>
        <v>41.65</v>
      </c>
      <c r="K213" s="37">
        <f>SUM(V207:V214)</f>
        <v>1008.1</v>
      </c>
      <c r="L213" s="39"/>
    </row>
    <row r="214" spans="1:26" ht="14.25" x14ac:dyDescent="0.2">
      <c r="A214" s="53"/>
      <c r="B214" s="53"/>
      <c r="C214" s="53" t="s">
        <v>899</v>
      </c>
      <c r="D214" s="42" t="s">
        <v>900</v>
      </c>
      <c r="E214" s="43">
        <f>Source!AQ73</f>
        <v>3.69</v>
      </c>
      <c r="F214" s="44"/>
      <c r="G214" s="45" t="str">
        <f>Source!DI73</f>
        <v>)*1,15</v>
      </c>
      <c r="H214" s="44"/>
      <c r="I214" s="45"/>
      <c r="J214" s="45"/>
      <c r="K214" s="44"/>
      <c r="L214" s="46">
        <f>Source!U73</f>
        <v>8.0864136000000002</v>
      </c>
    </row>
    <row r="215" spans="1:26" ht="15" x14ac:dyDescent="0.25">
      <c r="G215" s="61">
        <f>H208+H209+H211+H212+H213</f>
        <v>237.57999999999998</v>
      </c>
      <c r="H215" s="61"/>
      <c r="J215" s="61">
        <f>K208+K209+K211+K212+K213</f>
        <v>6491.9600000000009</v>
      </c>
      <c r="K215" s="61"/>
      <c r="L215" s="47">
        <f>Source!U73</f>
        <v>8.0864136000000002</v>
      </c>
      <c r="O215" s="29">
        <f>G215</f>
        <v>237.57999999999998</v>
      </c>
      <c r="P215" s="29">
        <f>J215</f>
        <v>6491.9600000000009</v>
      </c>
      <c r="Q215" s="29">
        <f>L215</f>
        <v>8.0864136000000002</v>
      </c>
      <c r="W215">
        <f>IF(Source!BI73&lt;=1,H208+H209+H211+H212+H213, 0)</f>
        <v>237.57999999999998</v>
      </c>
      <c r="X215">
        <f>IF(Source!BI73=2,H208+H209+H211+H212+H213, 0)</f>
        <v>0</v>
      </c>
      <c r="Y215">
        <f>IF(Source!BI73=3,H208+H209+H211+H212+H213, 0)</f>
        <v>0</v>
      </c>
      <c r="Z215">
        <f>IF(Source!BI73=4,H208+H209+H211+H212+H213, 0)</f>
        <v>0</v>
      </c>
    </row>
    <row r="216" spans="1:26" ht="54" x14ac:dyDescent="0.2">
      <c r="A216" s="53">
        <v>29</v>
      </c>
      <c r="B216" s="53" t="s">
        <v>29</v>
      </c>
      <c r="C216" s="53" t="s">
        <v>947</v>
      </c>
      <c r="D216" s="42" t="str">
        <f>Source!H74</f>
        <v>кг</v>
      </c>
      <c r="E216" s="43">
        <f>Source!I74</f>
        <v>26.297280000000001</v>
      </c>
      <c r="F216" s="44">
        <f>Source!AL74</f>
        <v>9.0399999999999991</v>
      </c>
      <c r="G216" s="45" t="str">
        <f>Source!DD74</f>
        <v/>
      </c>
      <c r="H216" s="44">
        <f>ROUND(Source!AC74*Source!I74, 2)</f>
        <v>237.73</v>
      </c>
      <c r="I216" s="45" t="str">
        <f>Source!BO74</f>
        <v/>
      </c>
      <c r="J216" s="45">
        <f>IF(Source!BC74&lt;&gt; 0, Source!BC74, 1)</f>
        <v>8.9</v>
      </c>
      <c r="K216" s="44">
        <f>Source!P74</f>
        <v>2115.77</v>
      </c>
      <c r="L216" s="48"/>
      <c r="S216">
        <f>ROUND((Source!FX74/100)*((ROUND(Source!AF74*Source!I74, 2)+ROUND(Source!AE74*Source!I74, 2))), 2)</f>
        <v>0</v>
      </c>
      <c r="T216">
        <f>Source!X74</f>
        <v>0</v>
      </c>
      <c r="U216">
        <f>ROUND((Source!FY74/100)*((ROUND(Source!AF74*Source!I74, 2)+ROUND(Source!AE74*Source!I74, 2))), 2)</f>
        <v>0</v>
      </c>
      <c r="V216">
        <f>Source!Y74</f>
        <v>0</v>
      </c>
    </row>
    <row r="217" spans="1:26" ht="15" x14ac:dyDescent="0.25">
      <c r="G217" s="61">
        <f>H216</f>
        <v>237.73</v>
      </c>
      <c r="H217" s="61"/>
      <c r="J217" s="61">
        <f>K216</f>
        <v>2115.77</v>
      </c>
      <c r="K217" s="61"/>
      <c r="L217" s="47">
        <f>Source!U74</f>
        <v>0</v>
      </c>
      <c r="O217" s="29">
        <f>G217</f>
        <v>237.73</v>
      </c>
      <c r="P217" s="29">
        <f>J217</f>
        <v>2115.77</v>
      </c>
      <c r="Q217" s="29">
        <f>L217</f>
        <v>0</v>
      </c>
      <c r="W217">
        <f>IF(Source!BI74&lt;=1,H216, 0)</f>
        <v>237.73</v>
      </c>
      <c r="X217">
        <f>IF(Source!BI74=2,H216, 0)</f>
        <v>0</v>
      </c>
      <c r="Y217">
        <f>IF(Source!BI74=3,H216, 0)</f>
        <v>0</v>
      </c>
      <c r="Z217">
        <f>IF(Source!BI74=4,H216, 0)</f>
        <v>0</v>
      </c>
    </row>
    <row r="218" spans="1:26" ht="85.5" x14ac:dyDescent="0.2">
      <c r="A218" s="52">
        <v>30</v>
      </c>
      <c r="B218" s="52" t="s">
        <v>948</v>
      </c>
      <c r="C218" s="52" t="str">
        <f>Source!G75</f>
        <v>Гладкая облицовка стен, столбов, пилястр и откосов (без карнизных, плинтусных и угловых плиток) без установки плиток туалетного гарнитура на клее из сухих смесей: по кирпичу и бетону</v>
      </c>
      <c r="D218" s="36" t="str">
        <f>Source!H75</f>
        <v>100 м2</v>
      </c>
      <c r="E218" s="10">
        <f>Source!I75</f>
        <v>1.9056</v>
      </c>
      <c r="F218" s="37">
        <f>Source!AL75+Source!AM75+Source!AO75</f>
        <v>1090.9599999999998</v>
      </c>
      <c r="G218" s="38"/>
      <c r="H218" s="37"/>
      <c r="I218" s="38" t="str">
        <f>Source!BO75</f>
        <v/>
      </c>
      <c r="J218" s="38"/>
      <c r="K218" s="37"/>
      <c r="L218" s="39"/>
      <c r="S218">
        <f>ROUND((Source!FX75/100)*((ROUND(Source!AF75*Source!I75, 2)+ROUND(Source!AE75*Source!I75, 2))), 2)</f>
        <v>2360.48</v>
      </c>
      <c r="T218">
        <f>Source!X75</f>
        <v>75559.149999999994</v>
      </c>
      <c r="U218">
        <f>ROUND((Source!FY75/100)*((ROUND(Source!AF75*Source!I75, 2)+ROUND(Source!AE75*Source!I75, 2))), 2)</f>
        <v>983.14</v>
      </c>
      <c r="V218">
        <f>Source!Y75</f>
        <v>31470.39</v>
      </c>
    </row>
    <row r="219" spans="1:26" ht="14.25" x14ac:dyDescent="0.2">
      <c r="A219" s="52"/>
      <c r="B219" s="52"/>
      <c r="C219" s="52" t="s">
        <v>894</v>
      </c>
      <c r="D219" s="36"/>
      <c r="E219" s="10"/>
      <c r="F219" s="37">
        <f>Source!AO75</f>
        <v>1058.0899999999999</v>
      </c>
      <c r="G219" s="38" t="str">
        <f>Source!DG75</f>
        <v>)*1,15</v>
      </c>
      <c r="H219" s="37">
        <f>ROUND(Source!AF75*Source!I75, 2)</f>
        <v>2318.73</v>
      </c>
      <c r="I219" s="38"/>
      <c r="J219" s="38">
        <f>IF(Source!BA75&lt;&gt; 0, Source!BA75, 1)</f>
        <v>32.01</v>
      </c>
      <c r="K219" s="37">
        <f>Source!S75</f>
        <v>74222.679999999993</v>
      </c>
      <c r="L219" s="39"/>
      <c r="R219">
        <f>H219</f>
        <v>2318.73</v>
      </c>
    </row>
    <row r="220" spans="1:26" ht="14.25" x14ac:dyDescent="0.2">
      <c r="A220" s="52"/>
      <c r="B220" s="52"/>
      <c r="C220" s="52" t="s">
        <v>340</v>
      </c>
      <c r="D220" s="36"/>
      <c r="E220" s="10"/>
      <c r="F220" s="37">
        <f>Source!AM75</f>
        <v>31.75</v>
      </c>
      <c r="G220" s="38" t="str">
        <f>Source!DE75</f>
        <v>)*1,25</v>
      </c>
      <c r="H220" s="37">
        <f>ROUND(((((Source!ET75*1.25))-((Source!EU75*1.25)))+Source!AE75)*Source!I75, 2)</f>
        <v>75.62</v>
      </c>
      <c r="I220" s="38"/>
      <c r="J220" s="38">
        <f>IF(Source!BB75&lt;&gt; 0, Source!BB75, 1)</f>
        <v>12.44</v>
      </c>
      <c r="K220" s="37">
        <f>Source!Q75</f>
        <v>940.67</v>
      </c>
      <c r="L220" s="39"/>
    </row>
    <row r="221" spans="1:26" ht="14.25" x14ac:dyDescent="0.2">
      <c r="A221" s="52"/>
      <c r="B221" s="52"/>
      <c r="C221" s="52" t="s">
        <v>895</v>
      </c>
      <c r="D221" s="36"/>
      <c r="E221" s="10"/>
      <c r="F221" s="37">
        <f>Source!AN75</f>
        <v>17.53</v>
      </c>
      <c r="G221" s="38" t="str">
        <f>Source!DF75</f>
        <v>)*1,25</v>
      </c>
      <c r="H221" s="40">
        <f>ROUND(Source!AE75*Source!I75, 2)</f>
        <v>41.75</v>
      </c>
      <c r="I221" s="38"/>
      <c r="J221" s="38">
        <f>IF(Source!BS75&lt;&gt; 0, Source!BS75, 1)</f>
        <v>32.01</v>
      </c>
      <c r="K221" s="40">
        <f>Source!R75</f>
        <v>1336.47</v>
      </c>
      <c r="L221" s="39"/>
      <c r="R221">
        <f>H221</f>
        <v>41.75</v>
      </c>
    </row>
    <row r="222" spans="1:26" ht="14.25" x14ac:dyDescent="0.2">
      <c r="A222" s="52"/>
      <c r="B222" s="52"/>
      <c r="C222" s="52" t="s">
        <v>911</v>
      </c>
      <c r="D222" s="36"/>
      <c r="E222" s="10"/>
      <c r="F222" s="37">
        <f>Source!AL75</f>
        <v>1.1200000000000001</v>
      </c>
      <c r="G222" s="38" t="str">
        <f>Source!DD75</f>
        <v/>
      </c>
      <c r="H222" s="37">
        <f>ROUND(Source!AC75*Source!I75, 2)</f>
        <v>2.13</v>
      </c>
      <c r="I222" s="38"/>
      <c r="J222" s="38">
        <f>IF(Source!BC75&lt;&gt; 0, Source!BC75, 1)</f>
        <v>8.9</v>
      </c>
      <c r="K222" s="37">
        <f>Source!P75</f>
        <v>19</v>
      </c>
      <c r="L222" s="39"/>
    </row>
    <row r="223" spans="1:26" ht="14.25" x14ac:dyDescent="0.2">
      <c r="A223" s="52"/>
      <c r="B223" s="52"/>
      <c r="C223" s="52" t="s">
        <v>896</v>
      </c>
      <c r="D223" s="36" t="s">
        <v>897</v>
      </c>
      <c r="E223" s="10">
        <f>Source!BZ75</f>
        <v>100</v>
      </c>
      <c r="F223" s="54"/>
      <c r="G223" s="38"/>
      <c r="H223" s="37">
        <f>SUM(S218:S225)</f>
        <v>2360.48</v>
      </c>
      <c r="I223" s="41"/>
      <c r="J223" s="35">
        <f>Source!AT75</f>
        <v>100</v>
      </c>
      <c r="K223" s="37">
        <f>SUM(T218:T225)</f>
        <v>75559.149999999994</v>
      </c>
      <c r="L223" s="39"/>
    </row>
    <row r="224" spans="1:26" ht="14.25" x14ac:dyDescent="0.2">
      <c r="A224" s="52"/>
      <c r="B224" s="52"/>
      <c r="C224" s="52" t="s">
        <v>898</v>
      </c>
      <c r="D224" s="36" t="s">
        <v>897</v>
      </c>
      <c r="E224" s="10">
        <f>Source!CA75</f>
        <v>49</v>
      </c>
      <c r="F224" s="64" t="str">
        <f>CONCATENATE(" )", Source!DM75, Source!FU75, "=", Source!FY75)</f>
        <v xml:space="preserve"> ))*0,85=41,65</v>
      </c>
      <c r="G224" s="65"/>
      <c r="H224" s="37">
        <f>SUM(U218:U225)</f>
        <v>983.14</v>
      </c>
      <c r="I224" s="41"/>
      <c r="J224" s="35">
        <f>Source!AU75</f>
        <v>41.65</v>
      </c>
      <c r="K224" s="37">
        <f>SUM(V218:V225)</f>
        <v>31470.39</v>
      </c>
      <c r="L224" s="39"/>
    </row>
    <row r="225" spans="1:26" ht="14.25" x14ac:dyDescent="0.2">
      <c r="A225" s="53"/>
      <c r="B225" s="53"/>
      <c r="C225" s="53" t="s">
        <v>899</v>
      </c>
      <c r="D225" s="42" t="s">
        <v>900</v>
      </c>
      <c r="E225" s="43">
        <f>Source!AQ75</f>
        <v>115.26</v>
      </c>
      <c r="F225" s="44"/>
      <c r="G225" s="45" t="str">
        <f>Source!DI75</f>
        <v>)*1,15</v>
      </c>
      <c r="H225" s="44"/>
      <c r="I225" s="45"/>
      <c r="J225" s="45"/>
      <c r="K225" s="44"/>
      <c r="L225" s="46">
        <f>Source!U75</f>
        <v>252.58537440000001</v>
      </c>
    </row>
    <row r="226" spans="1:26" ht="15" x14ac:dyDescent="0.25">
      <c r="G226" s="61">
        <f>H219+H220+H222+H223+H224</f>
        <v>5740.1</v>
      </c>
      <c r="H226" s="61"/>
      <c r="J226" s="61">
        <f>K219+K220+K222+K223+K224</f>
        <v>182211.89</v>
      </c>
      <c r="K226" s="61"/>
      <c r="L226" s="47">
        <f>Source!U75</f>
        <v>252.58537440000001</v>
      </c>
      <c r="O226" s="29">
        <f>G226</f>
        <v>5740.1</v>
      </c>
      <c r="P226" s="29">
        <f>J226</f>
        <v>182211.89</v>
      </c>
      <c r="Q226" s="29">
        <f>L226</f>
        <v>252.58537440000001</v>
      </c>
      <c r="W226">
        <f>IF(Source!BI75&lt;=1,H219+H220+H222+H223+H224, 0)</f>
        <v>5740.1</v>
      </c>
      <c r="X226">
        <f>IF(Source!BI75=2,H219+H220+H222+H223+H224, 0)</f>
        <v>0</v>
      </c>
      <c r="Y226">
        <f>IF(Source!BI75=3,H219+H220+H222+H223+H224, 0)</f>
        <v>0</v>
      </c>
      <c r="Z226">
        <f>IF(Source!BI75=4,H219+H220+H222+H223+H224, 0)</f>
        <v>0</v>
      </c>
    </row>
    <row r="227" spans="1:26" ht="54" x14ac:dyDescent="0.2">
      <c r="A227" s="52">
        <v>31</v>
      </c>
      <c r="B227" s="52" t="s">
        <v>29</v>
      </c>
      <c r="C227" s="52" t="s">
        <v>949</v>
      </c>
      <c r="D227" s="36" t="str">
        <f>Source!H76</f>
        <v>м2</v>
      </c>
      <c r="E227" s="10">
        <f>Source!I76</f>
        <v>190.56</v>
      </c>
      <c r="F227" s="37">
        <f>Source!AL76</f>
        <v>37.71</v>
      </c>
      <c r="G227" s="38" t="str">
        <f>Source!DD76</f>
        <v/>
      </c>
      <c r="H227" s="37">
        <f>ROUND(Source!AC76*Source!I76, 2)</f>
        <v>7186.02</v>
      </c>
      <c r="I227" s="38" t="str">
        <f>Source!BO76</f>
        <v/>
      </c>
      <c r="J227" s="38">
        <f>IF(Source!BC76&lt;&gt; 0, Source!BC76, 1)</f>
        <v>8.9</v>
      </c>
      <c r="K227" s="37">
        <f>Source!P76</f>
        <v>63955.56</v>
      </c>
      <c r="L227" s="39"/>
      <c r="S227">
        <f>ROUND((Source!FX76/100)*((ROUND(Source!AF76*Source!I76, 2)+ROUND(Source!AE76*Source!I76, 2))), 2)</f>
        <v>0</v>
      </c>
      <c r="T227">
        <f>Source!X76</f>
        <v>0</v>
      </c>
      <c r="U227">
        <f>ROUND((Source!FY76/100)*((ROUND(Source!AF76*Source!I76, 2)+ROUND(Source!AE76*Source!I76, 2))), 2)</f>
        <v>0</v>
      </c>
      <c r="V227">
        <f>Source!Y76</f>
        <v>0</v>
      </c>
    </row>
    <row r="228" spans="1:26" x14ac:dyDescent="0.2">
      <c r="A228" s="31"/>
      <c r="B228" s="31"/>
      <c r="C228" s="32" t="str">
        <f>"Объем: "&amp;Source!I76&amp;"="&amp;Source!I75&amp;"*"&amp;"100"</f>
        <v>Объем: 190,56=1,9056*100</v>
      </c>
      <c r="D228" s="31"/>
      <c r="E228" s="31"/>
      <c r="F228" s="31"/>
      <c r="G228" s="31"/>
      <c r="H228" s="31"/>
      <c r="I228" s="31"/>
      <c r="J228" s="31"/>
      <c r="K228" s="31"/>
      <c r="L228" s="31"/>
    </row>
    <row r="229" spans="1:26" ht="15" x14ac:dyDescent="0.25">
      <c r="G229" s="61">
        <f>H227</f>
        <v>7186.02</v>
      </c>
      <c r="H229" s="61"/>
      <c r="J229" s="61">
        <f>K227</f>
        <v>63955.56</v>
      </c>
      <c r="K229" s="61"/>
      <c r="L229" s="47">
        <f>Source!U76</f>
        <v>0</v>
      </c>
      <c r="O229" s="29">
        <f>G229</f>
        <v>7186.02</v>
      </c>
      <c r="P229" s="29">
        <f>J229</f>
        <v>63955.56</v>
      </c>
      <c r="Q229" s="29">
        <f>L229</f>
        <v>0</v>
      </c>
      <c r="W229">
        <f>IF(Source!BI76&lt;=1,H227, 0)</f>
        <v>7186.02</v>
      </c>
      <c r="X229">
        <f>IF(Source!BI76=2,H227, 0)</f>
        <v>0</v>
      </c>
      <c r="Y229">
        <f>IF(Source!BI76=3,H227, 0)</f>
        <v>0</v>
      </c>
      <c r="Z229">
        <f>IF(Source!BI76=4,H227, 0)</f>
        <v>0</v>
      </c>
    </row>
    <row r="230" spans="1:26" ht="42.75" x14ac:dyDescent="0.2">
      <c r="A230" s="52">
        <v>32</v>
      </c>
      <c r="B230" s="52" t="s">
        <v>29</v>
      </c>
      <c r="C230" s="52" t="s">
        <v>932</v>
      </c>
      <c r="D230" s="36" t="str">
        <f>Source!H77</f>
        <v>кг</v>
      </c>
      <c r="E230" s="10">
        <f>Source!I77</f>
        <v>714.6</v>
      </c>
      <c r="F230" s="37">
        <f>Source!AL77</f>
        <v>2.17</v>
      </c>
      <c r="G230" s="38" t="str">
        <f>Source!DD77</f>
        <v/>
      </c>
      <c r="H230" s="37">
        <f>ROUND(Source!AC77*Source!I77, 2)</f>
        <v>1550.68</v>
      </c>
      <c r="I230" s="38" t="str">
        <f>Source!BO77</f>
        <v/>
      </c>
      <c r="J230" s="38">
        <f>IF(Source!BC77&lt;&gt; 0, Source!BC77, 1)</f>
        <v>8.9</v>
      </c>
      <c r="K230" s="37">
        <f>Source!P77</f>
        <v>13801.07</v>
      </c>
      <c r="L230" s="39"/>
      <c r="S230">
        <f>ROUND((Source!FX77/100)*((ROUND(Source!AF77*Source!I77, 2)+ROUND(Source!AE77*Source!I77, 2))), 2)</f>
        <v>0</v>
      </c>
      <c r="T230">
        <f>Source!X77</f>
        <v>0</v>
      </c>
      <c r="U230">
        <f>ROUND((Source!FY77/100)*((ROUND(Source!AF77*Source!I77, 2)+ROUND(Source!AE77*Source!I77, 2))), 2)</f>
        <v>0</v>
      </c>
      <c r="V230">
        <f>Source!Y77</f>
        <v>0</v>
      </c>
    </row>
    <row r="231" spans="1:26" x14ac:dyDescent="0.2">
      <c r="A231" s="31"/>
      <c r="B231" s="31"/>
      <c r="C231" s="32" t="str">
        <f>"Объем: "&amp;Source!I77&amp;"="&amp;Source!I75&amp;"*"&amp;"375"</f>
        <v>Объем: 714,6=1,9056*375</v>
      </c>
      <c r="D231" s="31"/>
      <c r="E231" s="31"/>
      <c r="F231" s="31"/>
      <c r="G231" s="31"/>
      <c r="H231" s="31"/>
      <c r="I231" s="31"/>
      <c r="J231" s="31"/>
      <c r="K231" s="31"/>
      <c r="L231" s="31"/>
    </row>
    <row r="232" spans="1:26" ht="15" x14ac:dyDescent="0.25">
      <c r="G232" s="61">
        <f>H230</f>
        <v>1550.68</v>
      </c>
      <c r="H232" s="61"/>
      <c r="J232" s="61">
        <f>K230</f>
        <v>13801.07</v>
      </c>
      <c r="K232" s="61"/>
      <c r="L232" s="47">
        <f>Source!U77</f>
        <v>0</v>
      </c>
      <c r="O232" s="29">
        <f>G232</f>
        <v>1550.68</v>
      </c>
      <c r="P232" s="29">
        <f>J232</f>
        <v>13801.07</v>
      </c>
      <c r="Q232" s="29">
        <f>L232</f>
        <v>0</v>
      </c>
      <c r="W232">
        <f>IF(Source!BI77&lt;=1,H230, 0)</f>
        <v>1550.68</v>
      </c>
      <c r="X232">
        <f>IF(Source!BI77=2,H230, 0)</f>
        <v>0</v>
      </c>
      <c r="Y232">
        <f>IF(Source!BI77=3,H230, 0)</f>
        <v>0</v>
      </c>
      <c r="Z232">
        <f>IF(Source!BI77=4,H230, 0)</f>
        <v>0</v>
      </c>
    </row>
    <row r="233" spans="1:26" ht="54" x14ac:dyDescent="0.2">
      <c r="A233" s="52">
        <v>33</v>
      </c>
      <c r="B233" s="52" t="s">
        <v>29</v>
      </c>
      <c r="C233" s="52" t="s">
        <v>933</v>
      </c>
      <c r="D233" s="36" t="str">
        <f>Source!H78</f>
        <v>кг</v>
      </c>
      <c r="E233" s="10">
        <f>Source!I78</f>
        <v>95.28</v>
      </c>
      <c r="F233" s="37">
        <f>Source!AL78</f>
        <v>13.540000000000001</v>
      </c>
      <c r="G233" s="38" t="str">
        <f>Source!DD78</f>
        <v/>
      </c>
      <c r="H233" s="37">
        <f>ROUND(Source!AC78*Source!I78, 2)</f>
        <v>1290.0899999999999</v>
      </c>
      <c r="I233" s="38" t="str">
        <f>Source!BO78</f>
        <v/>
      </c>
      <c r="J233" s="38">
        <f>IF(Source!BC78&lt;&gt; 0, Source!BC78, 1)</f>
        <v>8.9</v>
      </c>
      <c r="K233" s="37">
        <f>Source!P78</f>
        <v>11481.81</v>
      </c>
      <c r="L233" s="39"/>
      <c r="S233">
        <f>ROUND((Source!FX78/100)*((ROUND(Source!AF78*Source!I78, 2)+ROUND(Source!AE78*Source!I78, 2))), 2)</f>
        <v>0</v>
      </c>
      <c r="T233">
        <f>Source!X78</f>
        <v>0</v>
      </c>
      <c r="U233">
        <f>ROUND((Source!FY78/100)*((ROUND(Source!AF78*Source!I78, 2)+ROUND(Source!AE78*Source!I78, 2))), 2)</f>
        <v>0</v>
      </c>
      <c r="V233">
        <f>Source!Y78</f>
        <v>0</v>
      </c>
    </row>
    <row r="234" spans="1:26" x14ac:dyDescent="0.2">
      <c r="A234" s="31"/>
      <c r="B234" s="31"/>
      <c r="C234" s="32" t="str">
        <f>"Объем: "&amp;Source!I78&amp;"="&amp;Source!I75&amp;"*"&amp;"50"</f>
        <v>Объем: 95,28=1,9056*50</v>
      </c>
      <c r="D234" s="31"/>
      <c r="E234" s="31"/>
      <c r="F234" s="31"/>
      <c r="G234" s="31"/>
      <c r="H234" s="31"/>
      <c r="I234" s="31"/>
      <c r="J234" s="31"/>
      <c r="K234" s="31"/>
      <c r="L234" s="31"/>
    </row>
    <row r="235" spans="1:26" ht="15" x14ac:dyDescent="0.25">
      <c r="G235" s="61">
        <f>H233</f>
        <v>1290.0899999999999</v>
      </c>
      <c r="H235" s="61"/>
      <c r="J235" s="61">
        <f>K233</f>
        <v>11481.81</v>
      </c>
      <c r="K235" s="61"/>
      <c r="L235" s="47">
        <f>Source!U78</f>
        <v>0</v>
      </c>
      <c r="O235" s="29">
        <f>G235</f>
        <v>1290.0899999999999</v>
      </c>
      <c r="P235" s="29">
        <f>J235</f>
        <v>11481.81</v>
      </c>
      <c r="Q235" s="29">
        <f>L235</f>
        <v>0</v>
      </c>
      <c r="W235">
        <f>IF(Source!BI78&lt;=1,H233, 0)</f>
        <v>1290.0899999999999</v>
      </c>
      <c r="X235">
        <f>IF(Source!BI78=2,H233, 0)</f>
        <v>0</v>
      </c>
      <c r="Y235">
        <f>IF(Source!BI78=3,H233, 0)</f>
        <v>0</v>
      </c>
      <c r="Z235">
        <f>IF(Source!BI78=4,H233, 0)</f>
        <v>0</v>
      </c>
    </row>
    <row r="236" spans="1:26" ht="42.75" x14ac:dyDescent="0.2">
      <c r="A236" s="52">
        <v>34</v>
      </c>
      <c r="B236" s="52" t="s">
        <v>950</v>
      </c>
      <c r="C236" s="52" t="str">
        <f>Source!G79</f>
        <v>Устройство покрытий: из линолеума насухо со свариванием полотнищ в стыках</v>
      </c>
      <c r="D236" s="36" t="str">
        <f>Source!H79</f>
        <v>100 м2</v>
      </c>
      <c r="E236" s="10">
        <f>Source!I79</f>
        <v>0.16</v>
      </c>
      <c r="F236" s="37">
        <f>Source!AL79+Source!AM79+Source!AO79</f>
        <v>371.84</v>
      </c>
      <c r="G236" s="38"/>
      <c r="H236" s="37"/>
      <c r="I236" s="38" t="str">
        <f>Source!BO79</f>
        <v/>
      </c>
      <c r="J236" s="38"/>
      <c r="K236" s="37"/>
      <c r="L236" s="39"/>
      <c r="S236">
        <f>ROUND((Source!FX79/100)*((ROUND(Source!AF79*Source!I79, 2)+ROUND(Source!AE79*Source!I79, 2))), 2)</f>
        <v>56.07</v>
      </c>
      <c r="T236">
        <f>Source!X79</f>
        <v>1794.68</v>
      </c>
      <c r="U236">
        <f>ROUND((Source!FY79/100)*((ROUND(Source!AF79*Source!I79, 2)+ROUND(Source!AE79*Source!I79, 2))), 2)</f>
        <v>27.66</v>
      </c>
      <c r="V236">
        <f>Source!Y79</f>
        <v>885.32</v>
      </c>
    </row>
    <row r="237" spans="1:26" x14ac:dyDescent="0.2">
      <c r="C237" s="28" t="str">
        <f>"Объем: "&amp;Source!I79&amp;"=16/"&amp;"100"</f>
        <v>Объем: 0,16=16/100</v>
      </c>
    </row>
    <row r="238" spans="1:26" ht="14.25" x14ac:dyDescent="0.2">
      <c r="A238" s="52"/>
      <c r="B238" s="52"/>
      <c r="C238" s="52" t="s">
        <v>894</v>
      </c>
      <c r="D238" s="36"/>
      <c r="E238" s="10"/>
      <c r="F238" s="37">
        <f>Source!AO79</f>
        <v>261.02</v>
      </c>
      <c r="G238" s="38" t="str">
        <f>Source!DG79</f>
        <v>)*1,15</v>
      </c>
      <c r="H238" s="37">
        <f>ROUND(Source!AF79*Source!I79, 2)</f>
        <v>48.03</v>
      </c>
      <c r="I238" s="38"/>
      <c r="J238" s="38">
        <f>IF(Source!BA79&lt;&gt; 0, Source!BA79, 1)</f>
        <v>32.01</v>
      </c>
      <c r="K238" s="37">
        <f>Source!S79</f>
        <v>1537.35</v>
      </c>
      <c r="L238" s="39"/>
      <c r="R238">
        <f>H238</f>
        <v>48.03</v>
      </c>
    </row>
    <row r="239" spans="1:26" ht="14.25" x14ac:dyDescent="0.2">
      <c r="A239" s="52"/>
      <c r="B239" s="52"/>
      <c r="C239" s="52" t="s">
        <v>340</v>
      </c>
      <c r="D239" s="36"/>
      <c r="E239" s="10"/>
      <c r="F239" s="37">
        <f>Source!AM79</f>
        <v>42.17</v>
      </c>
      <c r="G239" s="38" t="str">
        <f>Source!DE79</f>
        <v>)*1,25</v>
      </c>
      <c r="H239" s="37">
        <f>ROUND(((((Source!ET79*1.25))-((Source!EU79*1.25)))+Source!AE79)*Source!I79, 2)</f>
        <v>8.43</v>
      </c>
      <c r="I239" s="38"/>
      <c r="J239" s="38">
        <f>IF(Source!BB79&lt;&gt; 0, Source!BB79, 1)</f>
        <v>12.44</v>
      </c>
      <c r="K239" s="37">
        <f>Source!Q79</f>
        <v>104.92</v>
      </c>
      <c r="L239" s="39"/>
    </row>
    <row r="240" spans="1:26" ht="14.25" x14ac:dyDescent="0.2">
      <c r="A240" s="52"/>
      <c r="B240" s="52"/>
      <c r="C240" s="52" t="s">
        <v>895</v>
      </c>
      <c r="D240" s="36"/>
      <c r="E240" s="10"/>
      <c r="F240" s="37">
        <f>Source!AN79</f>
        <v>10.16</v>
      </c>
      <c r="G240" s="38" t="str">
        <f>Source!DF79</f>
        <v>)*1,25</v>
      </c>
      <c r="H240" s="40">
        <f>ROUND(Source!AE79*Source!I79, 2)</f>
        <v>2.0299999999999998</v>
      </c>
      <c r="I240" s="38"/>
      <c r="J240" s="38">
        <f>IF(Source!BS79&lt;&gt; 0, Source!BS79, 1)</f>
        <v>32.01</v>
      </c>
      <c r="K240" s="40">
        <f>Source!R79</f>
        <v>65.040000000000006</v>
      </c>
      <c r="L240" s="39"/>
      <c r="R240">
        <f>H240</f>
        <v>2.0299999999999998</v>
      </c>
    </row>
    <row r="241" spans="1:26" ht="14.25" x14ac:dyDescent="0.2">
      <c r="A241" s="52"/>
      <c r="B241" s="52"/>
      <c r="C241" s="52" t="s">
        <v>911</v>
      </c>
      <c r="D241" s="36"/>
      <c r="E241" s="10"/>
      <c r="F241" s="37">
        <f>Source!AL79</f>
        <v>68.650000000000006</v>
      </c>
      <c r="G241" s="38" t="str">
        <f>Source!DD79</f>
        <v/>
      </c>
      <c r="H241" s="37">
        <f>ROUND(Source!AC79*Source!I79, 2)</f>
        <v>10.98</v>
      </c>
      <c r="I241" s="38"/>
      <c r="J241" s="38">
        <f>IF(Source!BC79&lt;&gt; 0, Source!BC79, 1)</f>
        <v>8.9</v>
      </c>
      <c r="K241" s="37">
        <f>Source!P79</f>
        <v>97.76</v>
      </c>
      <c r="L241" s="39"/>
    </row>
    <row r="242" spans="1:26" ht="14.25" x14ac:dyDescent="0.2">
      <c r="A242" s="52"/>
      <c r="B242" s="52"/>
      <c r="C242" s="52" t="s">
        <v>896</v>
      </c>
      <c r="D242" s="36" t="s">
        <v>897</v>
      </c>
      <c r="E242" s="10">
        <f>Source!BZ79</f>
        <v>112</v>
      </c>
      <c r="F242" s="54"/>
      <c r="G242" s="38"/>
      <c r="H242" s="37">
        <f>SUM(S236:S244)</f>
        <v>56.07</v>
      </c>
      <c r="I242" s="41"/>
      <c r="J242" s="35">
        <f>Source!AT79</f>
        <v>112</v>
      </c>
      <c r="K242" s="37">
        <f>SUM(T236:T244)</f>
        <v>1794.68</v>
      </c>
      <c r="L242" s="39"/>
    </row>
    <row r="243" spans="1:26" ht="14.25" x14ac:dyDescent="0.2">
      <c r="A243" s="52"/>
      <c r="B243" s="52"/>
      <c r="C243" s="52" t="s">
        <v>898</v>
      </c>
      <c r="D243" s="36" t="s">
        <v>897</v>
      </c>
      <c r="E243" s="10">
        <f>Source!CA79</f>
        <v>65</v>
      </c>
      <c r="F243" s="64" t="str">
        <f>CONCATENATE(" )", Source!DM79, Source!FU79, "=", Source!FY79)</f>
        <v xml:space="preserve"> ))*0,85=55,25</v>
      </c>
      <c r="G243" s="65"/>
      <c r="H243" s="37">
        <f>SUM(U236:U244)</f>
        <v>27.66</v>
      </c>
      <c r="I243" s="41"/>
      <c r="J243" s="35">
        <f>Source!AU79</f>
        <v>55.25</v>
      </c>
      <c r="K243" s="37">
        <f>SUM(V236:V244)</f>
        <v>885.32</v>
      </c>
      <c r="L243" s="39"/>
    </row>
    <row r="244" spans="1:26" ht="14.25" x14ac:dyDescent="0.2">
      <c r="A244" s="53"/>
      <c r="B244" s="53"/>
      <c r="C244" s="53" t="s">
        <v>899</v>
      </c>
      <c r="D244" s="42" t="s">
        <v>900</v>
      </c>
      <c r="E244" s="43">
        <f>Source!AQ79</f>
        <v>31.41</v>
      </c>
      <c r="F244" s="44"/>
      <c r="G244" s="45" t="str">
        <f>Source!DI79</f>
        <v>)*1,15</v>
      </c>
      <c r="H244" s="44"/>
      <c r="I244" s="45"/>
      <c r="J244" s="45"/>
      <c r="K244" s="44"/>
      <c r="L244" s="46">
        <f>Source!U79</f>
        <v>5.7794400000000001</v>
      </c>
    </row>
    <row r="245" spans="1:26" ht="15" x14ac:dyDescent="0.25">
      <c r="G245" s="61">
        <f>H238+H239+H241+H242+H243</f>
        <v>151.16999999999999</v>
      </c>
      <c r="H245" s="61"/>
      <c r="J245" s="61">
        <f>K238+K239+K241+K242+K243</f>
        <v>4420.03</v>
      </c>
      <c r="K245" s="61"/>
      <c r="L245" s="47">
        <f>Source!U79</f>
        <v>5.7794400000000001</v>
      </c>
      <c r="O245" s="29">
        <f>G245</f>
        <v>151.16999999999999</v>
      </c>
      <c r="P245" s="29">
        <f>J245</f>
        <v>4420.03</v>
      </c>
      <c r="Q245" s="29">
        <f>L245</f>
        <v>5.7794400000000001</v>
      </c>
      <c r="W245">
        <f>IF(Source!BI79&lt;=1,H238+H239+H241+H242+H243, 0)</f>
        <v>151.16999999999999</v>
      </c>
      <c r="X245">
        <f>IF(Source!BI79=2,H238+H239+H241+H242+H243, 0)</f>
        <v>0</v>
      </c>
      <c r="Y245">
        <f>IF(Source!BI79=3,H238+H239+H241+H242+H243, 0)</f>
        <v>0</v>
      </c>
      <c r="Z245">
        <f>IF(Source!BI79=4,H238+H239+H241+H242+H243, 0)</f>
        <v>0</v>
      </c>
    </row>
    <row r="246" spans="1:26" ht="54" x14ac:dyDescent="0.2">
      <c r="A246" s="52">
        <v>35</v>
      </c>
      <c r="B246" s="52" t="s">
        <v>29</v>
      </c>
      <c r="C246" s="52" t="s">
        <v>951</v>
      </c>
      <c r="D246" s="36" t="str">
        <f>Source!H80</f>
        <v>м2</v>
      </c>
      <c r="E246" s="10">
        <f>Source!I80</f>
        <v>16.32</v>
      </c>
      <c r="F246" s="37">
        <f>Source!AL80</f>
        <v>52.85</v>
      </c>
      <c r="G246" s="38" t="str">
        <f>Source!DD80</f>
        <v/>
      </c>
      <c r="H246" s="37">
        <f>ROUND(Source!AC80*Source!I80, 2)</f>
        <v>862.51</v>
      </c>
      <c r="I246" s="38" t="str">
        <f>Source!BO80</f>
        <v/>
      </c>
      <c r="J246" s="38">
        <f>IF(Source!BC80&lt;&gt; 0, Source!BC80, 1)</f>
        <v>8.9</v>
      </c>
      <c r="K246" s="37">
        <f>Source!P80</f>
        <v>7676.36</v>
      </c>
      <c r="L246" s="39"/>
      <c r="S246">
        <f>ROUND((Source!FX80/100)*((ROUND(Source!AF80*Source!I80, 2)+ROUND(Source!AE80*Source!I80, 2))), 2)</f>
        <v>0</v>
      </c>
      <c r="T246">
        <f>Source!X80</f>
        <v>0</v>
      </c>
      <c r="U246">
        <f>ROUND((Source!FY80/100)*((ROUND(Source!AF80*Source!I80, 2)+ROUND(Source!AE80*Source!I80, 2))), 2)</f>
        <v>0</v>
      </c>
      <c r="V246">
        <f>Source!Y80</f>
        <v>0</v>
      </c>
    </row>
    <row r="247" spans="1:26" x14ac:dyDescent="0.2">
      <c r="A247" s="31"/>
      <c r="B247" s="31"/>
      <c r="C247" s="32" t="str">
        <f>"Объем: "&amp;Source!I80&amp;"=102*"&amp;""&amp;Source!I79&amp;""</f>
        <v>Объем: 16,32=102*0,16</v>
      </c>
      <c r="D247" s="31"/>
      <c r="E247" s="31"/>
      <c r="F247" s="31"/>
      <c r="G247" s="31"/>
      <c r="H247" s="31"/>
      <c r="I247" s="31"/>
      <c r="J247" s="31"/>
      <c r="K247" s="31"/>
      <c r="L247" s="31"/>
    </row>
    <row r="248" spans="1:26" ht="15" x14ac:dyDescent="0.25">
      <c r="G248" s="61">
        <f>H246</f>
        <v>862.51</v>
      </c>
      <c r="H248" s="61"/>
      <c r="J248" s="61">
        <f>K246</f>
        <v>7676.36</v>
      </c>
      <c r="K248" s="61"/>
      <c r="L248" s="47">
        <f>Source!U80</f>
        <v>0</v>
      </c>
      <c r="O248" s="29">
        <f>G248</f>
        <v>862.51</v>
      </c>
      <c r="P248" s="29">
        <f>J248</f>
        <v>7676.36</v>
      </c>
      <c r="Q248" s="29">
        <f>L248</f>
        <v>0</v>
      </c>
      <c r="W248">
        <f>IF(Source!BI80&lt;=1,H246, 0)</f>
        <v>862.51</v>
      </c>
      <c r="X248">
        <f>IF(Source!BI80=2,H246, 0)</f>
        <v>0</v>
      </c>
      <c r="Y248">
        <f>IF(Source!BI80=3,H246, 0)</f>
        <v>0</v>
      </c>
      <c r="Z248">
        <f>IF(Source!BI80=4,H246, 0)</f>
        <v>0</v>
      </c>
    </row>
    <row r="249" spans="1:26" ht="42.75" x14ac:dyDescent="0.2">
      <c r="A249" s="52">
        <v>36</v>
      </c>
      <c r="B249" s="52" t="s">
        <v>952</v>
      </c>
      <c r="C249" s="52" t="str">
        <f>Source!G81</f>
        <v>Устройство плинтусов поливинилхлоридных: на винтах самонарезающих</v>
      </c>
      <c r="D249" s="36" t="str">
        <f>Source!H81</f>
        <v>100 м</v>
      </c>
      <c r="E249" s="10">
        <f>Source!I81</f>
        <v>1.4319999999999999</v>
      </c>
      <c r="F249" s="37">
        <f>Source!AL81+Source!AM81+Source!AO81</f>
        <v>216.29</v>
      </c>
      <c r="G249" s="38"/>
      <c r="H249" s="37"/>
      <c r="I249" s="38" t="str">
        <f>Source!BO81</f>
        <v/>
      </c>
      <c r="J249" s="38"/>
      <c r="K249" s="37"/>
      <c r="L249" s="39"/>
      <c r="S249">
        <f>ROUND((Source!FX81/100)*((ROUND(Source!AF81*Source!I81, 2)+ROUND(Source!AE81*Source!I81, 2))), 2)</f>
        <v>113.95</v>
      </c>
      <c r="T249">
        <f>Source!X81</f>
        <v>3647.63</v>
      </c>
      <c r="U249">
        <f>ROUND((Source!FY81/100)*((ROUND(Source!AF81*Source!I81, 2)+ROUND(Source!AE81*Source!I81, 2))), 2)</f>
        <v>56.21</v>
      </c>
      <c r="V249">
        <f>Source!Y81</f>
        <v>1799.39</v>
      </c>
    </row>
    <row r="250" spans="1:26" ht="14.25" x14ac:dyDescent="0.2">
      <c r="A250" s="52"/>
      <c r="B250" s="52"/>
      <c r="C250" s="52" t="s">
        <v>894</v>
      </c>
      <c r="D250" s="36"/>
      <c r="E250" s="10"/>
      <c r="F250" s="37">
        <f>Source!AO81</f>
        <v>61.32</v>
      </c>
      <c r="G250" s="38" t="str">
        <f>Source!DG81</f>
        <v>)*1,15</v>
      </c>
      <c r="H250" s="37">
        <f>ROUND(Source!AF81*Source!I81, 2)</f>
        <v>100.98</v>
      </c>
      <c r="I250" s="38"/>
      <c r="J250" s="38">
        <f>IF(Source!BA81&lt;&gt; 0, Source!BA81, 1)</f>
        <v>32.01</v>
      </c>
      <c r="K250" s="37">
        <f>Source!S81</f>
        <v>3232.52</v>
      </c>
      <c r="L250" s="39"/>
      <c r="R250">
        <f>H250</f>
        <v>100.98</v>
      </c>
    </row>
    <row r="251" spans="1:26" ht="14.25" x14ac:dyDescent="0.2">
      <c r="A251" s="52"/>
      <c r="B251" s="52"/>
      <c r="C251" s="52" t="s">
        <v>340</v>
      </c>
      <c r="D251" s="36"/>
      <c r="E251" s="10"/>
      <c r="F251" s="37">
        <f>Source!AM81</f>
        <v>2.13</v>
      </c>
      <c r="G251" s="38" t="str">
        <f>Source!DE81</f>
        <v>)*1,25</v>
      </c>
      <c r="H251" s="37">
        <f>ROUND(((((Source!ET81*1.25))-((Source!EU81*1.25)))+Source!AE81)*Source!I81, 2)</f>
        <v>3.82</v>
      </c>
      <c r="I251" s="38"/>
      <c r="J251" s="38">
        <f>IF(Source!BB81&lt;&gt; 0, Source!BB81, 1)</f>
        <v>12.44</v>
      </c>
      <c r="K251" s="37">
        <f>Source!Q81</f>
        <v>47.66</v>
      </c>
      <c r="L251" s="39"/>
    </row>
    <row r="252" spans="1:26" ht="14.25" x14ac:dyDescent="0.2">
      <c r="A252" s="52"/>
      <c r="B252" s="52"/>
      <c r="C252" s="52" t="s">
        <v>895</v>
      </c>
      <c r="D252" s="36"/>
      <c r="E252" s="10"/>
      <c r="F252" s="37">
        <f>Source!AN81</f>
        <v>0.42</v>
      </c>
      <c r="G252" s="38" t="str">
        <f>Source!DF81</f>
        <v>)*1,25</v>
      </c>
      <c r="H252" s="40">
        <f>ROUND(Source!AE81*Source!I81, 2)</f>
        <v>0.76</v>
      </c>
      <c r="I252" s="38"/>
      <c r="J252" s="38">
        <f>IF(Source!BS81&lt;&gt; 0, Source!BS81, 1)</f>
        <v>32.01</v>
      </c>
      <c r="K252" s="40">
        <f>Source!R81</f>
        <v>24.29</v>
      </c>
      <c r="L252" s="39"/>
      <c r="R252">
        <f>H252</f>
        <v>0.76</v>
      </c>
    </row>
    <row r="253" spans="1:26" ht="14.25" x14ac:dyDescent="0.2">
      <c r="A253" s="52"/>
      <c r="B253" s="52"/>
      <c r="C253" s="52" t="s">
        <v>911</v>
      </c>
      <c r="D253" s="36"/>
      <c r="E253" s="10"/>
      <c r="F253" s="37">
        <f>Source!AL81</f>
        <v>152.84</v>
      </c>
      <c r="G253" s="38" t="str">
        <f>Source!DD81</f>
        <v/>
      </c>
      <c r="H253" s="37">
        <f>ROUND(Source!AC81*Source!I81, 2)</f>
        <v>218.87</v>
      </c>
      <c r="I253" s="38"/>
      <c r="J253" s="38">
        <f>IF(Source!BC81&lt;&gt; 0, Source!BC81, 1)</f>
        <v>8.9</v>
      </c>
      <c r="K253" s="37">
        <f>Source!P81</f>
        <v>1947.92</v>
      </c>
      <c r="L253" s="39"/>
    </row>
    <row r="254" spans="1:26" ht="14.25" x14ac:dyDescent="0.2">
      <c r="A254" s="52"/>
      <c r="B254" s="52"/>
      <c r="C254" s="52" t="s">
        <v>896</v>
      </c>
      <c r="D254" s="36" t="s">
        <v>897</v>
      </c>
      <c r="E254" s="10">
        <f>Source!BZ81</f>
        <v>112</v>
      </c>
      <c r="F254" s="54"/>
      <c r="G254" s="38"/>
      <c r="H254" s="37">
        <f>SUM(S249:S261)</f>
        <v>113.95</v>
      </c>
      <c r="I254" s="41"/>
      <c r="J254" s="35">
        <f>Source!AT81</f>
        <v>112</v>
      </c>
      <c r="K254" s="37">
        <f>SUM(T249:T261)</f>
        <v>3647.63</v>
      </c>
      <c r="L254" s="39"/>
    </row>
    <row r="255" spans="1:26" ht="14.25" x14ac:dyDescent="0.2">
      <c r="A255" s="52"/>
      <c r="B255" s="52"/>
      <c r="C255" s="52" t="s">
        <v>898</v>
      </c>
      <c r="D255" s="36" t="s">
        <v>897</v>
      </c>
      <c r="E255" s="10">
        <f>Source!CA81</f>
        <v>65</v>
      </c>
      <c r="F255" s="64" t="str">
        <f>CONCATENATE(" )", Source!DM81, Source!FU81, "=", Source!FY81)</f>
        <v xml:space="preserve"> ))*0,85=55,25</v>
      </c>
      <c r="G255" s="65"/>
      <c r="H255" s="37">
        <f>SUM(U249:U261)</f>
        <v>56.21</v>
      </c>
      <c r="I255" s="41"/>
      <c r="J255" s="35">
        <f>Source!AU81</f>
        <v>55.25</v>
      </c>
      <c r="K255" s="37">
        <f>SUM(V249:V261)</f>
        <v>1799.39</v>
      </c>
      <c r="L255" s="39"/>
    </row>
    <row r="256" spans="1:26" ht="14.25" x14ac:dyDescent="0.2">
      <c r="A256" s="52"/>
      <c r="B256" s="52"/>
      <c r="C256" s="52" t="s">
        <v>899</v>
      </c>
      <c r="D256" s="36" t="s">
        <v>900</v>
      </c>
      <c r="E256" s="10">
        <f>Source!AQ81</f>
        <v>6.68</v>
      </c>
      <c r="F256" s="37"/>
      <c r="G256" s="38" t="str">
        <f>Source!DI81</f>
        <v>)*1,15</v>
      </c>
      <c r="H256" s="37"/>
      <c r="I256" s="38"/>
      <c r="J256" s="38"/>
      <c r="K256" s="37"/>
      <c r="L256" s="49">
        <f>Source!U81</f>
        <v>11.000623999999998</v>
      </c>
    </row>
    <row r="257" spans="1:26" ht="42.75" x14ac:dyDescent="0.2">
      <c r="A257" s="52">
        <v>36.1</v>
      </c>
      <c r="B257" s="52" t="s">
        <v>953</v>
      </c>
      <c r="C257" s="52" t="s">
        <v>954</v>
      </c>
      <c r="D257" s="36" t="str">
        <f>Source!H82</f>
        <v>100 ШТ</v>
      </c>
      <c r="E257" s="10">
        <f>Source!I82</f>
        <v>-0.11456</v>
      </c>
      <c r="F257" s="37">
        <f>Source!AL82+Source!AM82+Source!AO82</f>
        <v>63</v>
      </c>
      <c r="G257" s="51" t="s">
        <v>3</v>
      </c>
      <c r="H257" s="37">
        <f>ROUND(Source!AC82*Source!I82, 2)+ROUND((((Source!ET82)-(Source!EU82))+Source!AE82)*Source!I82, 2)+ROUND(Source!AF82*Source!I82, 2)</f>
        <v>-7.22</v>
      </c>
      <c r="I257" s="38"/>
      <c r="J257" s="38">
        <f>IF(Source!BC82&lt;&gt; 0, Source!BC82, 1)</f>
        <v>8.9</v>
      </c>
      <c r="K257" s="37">
        <f>Source!O82</f>
        <v>-64.23</v>
      </c>
      <c r="L257" s="39"/>
      <c r="S257">
        <f>ROUND((Source!FX82/100)*((ROUND(Source!AF82*Source!I82, 2)+ROUND(Source!AE82*Source!I82, 2))), 2)</f>
        <v>0</v>
      </c>
      <c r="T257">
        <f>Source!X82</f>
        <v>0</v>
      </c>
      <c r="U257">
        <f>ROUND((Source!FY82/100)*((ROUND(Source!AF82*Source!I82, 2)+ROUND(Source!AE82*Source!I82, 2))), 2)</f>
        <v>0</v>
      </c>
      <c r="V257">
        <f>Source!Y82</f>
        <v>0</v>
      </c>
      <c r="W257">
        <f>IF(Source!BI82&lt;=1,H257, 0)</f>
        <v>-7.22</v>
      </c>
      <c r="X257">
        <f>IF(Source!BI82=2,H257, 0)</f>
        <v>0</v>
      </c>
      <c r="Y257">
        <f>IF(Source!BI82=3,H257, 0)</f>
        <v>0</v>
      </c>
      <c r="Z257">
        <f>IF(Source!BI82=4,H257, 0)</f>
        <v>0</v>
      </c>
    </row>
    <row r="258" spans="1:26" ht="42.75" x14ac:dyDescent="0.2">
      <c r="A258" s="52">
        <v>36.200000000000003</v>
      </c>
      <c r="B258" s="52" t="s">
        <v>955</v>
      </c>
      <c r="C258" s="52" t="s">
        <v>956</v>
      </c>
      <c r="D258" s="36" t="str">
        <f>Source!H83</f>
        <v>100 ШТ</v>
      </c>
      <c r="E258" s="10">
        <f>Source!I83</f>
        <v>-0.11456</v>
      </c>
      <c r="F258" s="37">
        <f>Source!AL83+Source!AM83+Source!AO83</f>
        <v>63</v>
      </c>
      <c r="G258" s="51" t="s">
        <v>3</v>
      </c>
      <c r="H258" s="37">
        <f>ROUND(Source!AC83*Source!I83, 2)+ROUND((((Source!ET83)-(Source!EU83))+Source!AE83)*Source!I83, 2)+ROUND(Source!AF83*Source!I83, 2)</f>
        <v>-7.22</v>
      </c>
      <c r="I258" s="38"/>
      <c r="J258" s="38">
        <f>IF(Source!BC83&lt;&gt; 0, Source!BC83, 1)</f>
        <v>8.9</v>
      </c>
      <c r="K258" s="37">
        <f>Source!O83</f>
        <v>-64.23</v>
      </c>
      <c r="L258" s="39"/>
      <c r="S258">
        <f>ROUND((Source!FX83/100)*((ROUND(Source!AF83*Source!I83, 2)+ROUND(Source!AE83*Source!I83, 2))), 2)</f>
        <v>0</v>
      </c>
      <c r="T258">
        <f>Source!X83</f>
        <v>0</v>
      </c>
      <c r="U258">
        <f>ROUND((Source!FY83/100)*((ROUND(Source!AF83*Source!I83, 2)+ROUND(Source!AE83*Source!I83, 2))), 2)</f>
        <v>0</v>
      </c>
      <c r="V258">
        <f>Source!Y83</f>
        <v>0</v>
      </c>
      <c r="W258">
        <f>IF(Source!BI83&lt;=1,H258, 0)</f>
        <v>-7.22</v>
      </c>
      <c r="X258">
        <f>IF(Source!BI83=2,H258, 0)</f>
        <v>0</v>
      </c>
      <c r="Y258">
        <f>IF(Source!BI83=3,H258, 0)</f>
        <v>0</v>
      </c>
      <c r="Z258">
        <f>IF(Source!BI83=4,H258, 0)</f>
        <v>0</v>
      </c>
    </row>
    <row r="259" spans="1:26" ht="42.75" x14ac:dyDescent="0.2">
      <c r="A259" s="52">
        <v>36.299999999999997</v>
      </c>
      <c r="B259" s="52" t="s">
        <v>957</v>
      </c>
      <c r="C259" s="52" t="s">
        <v>958</v>
      </c>
      <c r="D259" s="36" t="str">
        <f>Source!H84</f>
        <v>100 ШТ</v>
      </c>
      <c r="E259" s="10">
        <f>Source!I84</f>
        <v>-0.57279999999999998</v>
      </c>
      <c r="F259" s="37">
        <f>Source!AL84+Source!AM84+Source!AO84</f>
        <v>128</v>
      </c>
      <c r="G259" s="51" t="s">
        <v>3</v>
      </c>
      <c r="H259" s="37">
        <f>ROUND(Source!AC84*Source!I84, 2)+ROUND((((Source!ET84)-(Source!EU84))+Source!AE84)*Source!I84, 2)+ROUND(Source!AF84*Source!I84, 2)</f>
        <v>-73.319999999999993</v>
      </c>
      <c r="I259" s="38"/>
      <c r="J259" s="38">
        <f>IF(Source!BC84&lt;&gt; 0, Source!BC84, 1)</f>
        <v>8.9</v>
      </c>
      <c r="K259" s="37">
        <f>Source!O84</f>
        <v>-652.53</v>
      </c>
      <c r="L259" s="39"/>
      <c r="S259">
        <f>ROUND((Source!FX84/100)*((ROUND(Source!AF84*Source!I84, 2)+ROUND(Source!AE84*Source!I84, 2))), 2)</f>
        <v>0</v>
      </c>
      <c r="T259">
        <f>Source!X84</f>
        <v>0</v>
      </c>
      <c r="U259">
        <f>ROUND((Source!FY84/100)*((ROUND(Source!AF84*Source!I84, 2)+ROUND(Source!AE84*Source!I84, 2))), 2)</f>
        <v>0</v>
      </c>
      <c r="V259">
        <f>Source!Y84</f>
        <v>0</v>
      </c>
      <c r="W259">
        <f>IF(Source!BI84&lt;=1,H259, 0)</f>
        <v>-73.319999999999993</v>
      </c>
      <c r="X259">
        <f>IF(Source!BI84=2,H259, 0)</f>
        <v>0</v>
      </c>
      <c r="Y259">
        <f>IF(Source!BI84=3,H259, 0)</f>
        <v>0</v>
      </c>
      <c r="Z259">
        <f>IF(Source!BI84=4,H259, 0)</f>
        <v>0</v>
      </c>
    </row>
    <row r="260" spans="1:26" ht="42.75" x14ac:dyDescent="0.2">
      <c r="A260" s="52">
        <v>36.4</v>
      </c>
      <c r="B260" s="52" t="s">
        <v>959</v>
      </c>
      <c r="C260" s="52" t="s">
        <v>960</v>
      </c>
      <c r="D260" s="36" t="str">
        <f>Source!H85</f>
        <v>100 ШТ</v>
      </c>
      <c r="E260" s="10">
        <f>Source!I85</f>
        <v>-0.10024000000000001</v>
      </c>
      <c r="F260" s="37">
        <f>Source!AL85+Source!AM85+Source!AO85</f>
        <v>128</v>
      </c>
      <c r="G260" s="51" t="s">
        <v>3</v>
      </c>
      <c r="H260" s="37">
        <f>ROUND(Source!AC85*Source!I85, 2)+ROUND((((Source!ET85)-(Source!EU85))+Source!AE85)*Source!I85, 2)+ROUND(Source!AF85*Source!I85, 2)</f>
        <v>-12.83</v>
      </c>
      <c r="I260" s="38"/>
      <c r="J260" s="38">
        <f>IF(Source!BC85&lt;&gt; 0, Source!BC85, 1)</f>
        <v>8.9</v>
      </c>
      <c r="K260" s="37">
        <f>Source!O85</f>
        <v>-114.19</v>
      </c>
      <c r="L260" s="39"/>
      <c r="S260">
        <f>ROUND((Source!FX85/100)*((ROUND(Source!AF85*Source!I85, 2)+ROUND(Source!AE85*Source!I85, 2))), 2)</f>
        <v>0</v>
      </c>
      <c r="T260">
        <f>Source!X85</f>
        <v>0</v>
      </c>
      <c r="U260">
        <f>ROUND((Source!FY85/100)*((ROUND(Source!AF85*Source!I85, 2)+ROUND(Source!AE85*Source!I85, 2))), 2)</f>
        <v>0</v>
      </c>
      <c r="V260">
        <f>Source!Y85</f>
        <v>0</v>
      </c>
      <c r="W260">
        <f>IF(Source!BI85&lt;=1,H260, 0)</f>
        <v>-12.83</v>
      </c>
      <c r="X260">
        <f>IF(Source!BI85=2,H260, 0)</f>
        <v>0</v>
      </c>
      <c r="Y260">
        <f>IF(Source!BI85=3,H260, 0)</f>
        <v>0</v>
      </c>
      <c r="Z260">
        <f>IF(Source!BI85=4,H260, 0)</f>
        <v>0</v>
      </c>
    </row>
    <row r="261" spans="1:26" ht="42.75" x14ac:dyDescent="0.2">
      <c r="A261" s="53">
        <v>36.5</v>
      </c>
      <c r="B261" s="53" t="s">
        <v>961</v>
      </c>
      <c r="C261" s="53" t="s">
        <v>962</v>
      </c>
      <c r="D261" s="42" t="str">
        <f>Source!H86</f>
        <v>100 ШТ</v>
      </c>
      <c r="E261" s="43">
        <f>Source!I86</f>
        <v>-0.10024000000000001</v>
      </c>
      <c r="F261" s="44">
        <f>Source!AL86+Source!AM86+Source!AO86</f>
        <v>128</v>
      </c>
      <c r="G261" s="50" t="s">
        <v>3</v>
      </c>
      <c r="H261" s="44">
        <f>ROUND(Source!AC86*Source!I86, 2)+ROUND((((Source!ET86)-(Source!EU86))+Source!AE86)*Source!I86, 2)+ROUND(Source!AF86*Source!I86, 2)</f>
        <v>-12.83</v>
      </c>
      <c r="I261" s="45"/>
      <c r="J261" s="45">
        <f>IF(Source!BC86&lt;&gt; 0, Source!BC86, 1)</f>
        <v>8.9</v>
      </c>
      <c r="K261" s="44">
        <f>Source!O86</f>
        <v>-114.19</v>
      </c>
      <c r="L261" s="48"/>
      <c r="S261">
        <f>ROUND((Source!FX86/100)*((ROUND(Source!AF86*Source!I86, 2)+ROUND(Source!AE86*Source!I86, 2))), 2)</f>
        <v>0</v>
      </c>
      <c r="T261">
        <f>Source!X86</f>
        <v>0</v>
      </c>
      <c r="U261">
        <f>ROUND((Source!FY86/100)*((ROUND(Source!AF86*Source!I86, 2)+ROUND(Source!AE86*Source!I86, 2))), 2)</f>
        <v>0</v>
      </c>
      <c r="V261">
        <f>Source!Y86</f>
        <v>0</v>
      </c>
      <c r="W261">
        <f>IF(Source!BI86&lt;=1,H261, 0)</f>
        <v>-12.83</v>
      </c>
      <c r="X261">
        <f>IF(Source!BI86=2,H261, 0)</f>
        <v>0</v>
      </c>
      <c r="Y261">
        <f>IF(Source!BI86=3,H261, 0)</f>
        <v>0</v>
      </c>
      <c r="Z261">
        <f>IF(Source!BI86=4,H261, 0)</f>
        <v>0</v>
      </c>
    </row>
    <row r="262" spans="1:26" ht="15" x14ac:dyDescent="0.25">
      <c r="G262" s="61">
        <f>H250+H251+H253+H254+H255+SUM(H257:H261)</f>
        <v>380.40999999999997</v>
      </c>
      <c r="H262" s="61"/>
      <c r="J262" s="61">
        <f>K250+K251+K253+K254+K255+SUM(K257:K261)</f>
        <v>9665.7499999999982</v>
      </c>
      <c r="K262" s="61"/>
      <c r="L262" s="47">
        <f>Source!U81</f>
        <v>11.000623999999998</v>
      </c>
      <c r="O262" s="29">
        <f>G262</f>
        <v>380.40999999999997</v>
      </c>
      <c r="P262" s="29">
        <f>J262</f>
        <v>9665.7499999999982</v>
      </c>
      <c r="Q262" s="29">
        <f>L262</f>
        <v>11.000623999999998</v>
      </c>
      <c r="W262">
        <f>IF(Source!BI81&lt;=1,H250+H251+H253+H254+H255, 0)</f>
        <v>493.83</v>
      </c>
      <c r="X262">
        <f>IF(Source!BI81=2,H250+H251+H253+H254+H255, 0)</f>
        <v>0</v>
      </c>
      <c r="Y262">
        <f>IF(Source!BI81=3,H250+H251+H253+H254+H255, 0)</f>
        <v>0</v>
      </c>
      <c r="Z262">
        <f>IF(Source!BI81=4,H250+H251+H253+H254+H255, 0)</f>
        <v>0</v>
      </c>
    </row>
    <row r="263" spans="1:26" ht="54" x14ac:dyDescent="0.2">
      <c r="A263" s="53">
        <v>37</v>
      </c>
      <c r="B263" s="53" t="s">
        <v>29</v>
      </c>
      <c r="C263" s="53" t="s">
        <v>963</v>
      </c>
      <c r="D263" s="42" t="str">
        <f>Source!H87</f>
        <v>шт.</v>
      </c>
      <c r="E263" s="43">
        <f>Source!I87</f>
        <v>58</v>
      </c>
      <c r="F263" s="44">
        <f>Source!AL87</f>
        <v>14.139999999999999</v>
      </c>
      <c r="G263" s="45" t="str">
        <f>Source!DD87</f>
        <v/>
      </c>
      <c r="H263" s="44">
        <f>ROUND(Source!AC87*Source!I87, 2)</f>
        <v>820.12</v>
      </c>
      <c r="I263" s="45" t="str">
        <f>Source!BO87</f>
        <v/>
      </c>
      <c r="J263" s="45">
        <f>IF(Source!BC87&lt;&gt; 0, Source!BC87, 1)</f>
        <v>8.9</v>
      </c>
      <c r="K263" s="44">
        <f>Source!P87</f>
        <v>7299.07</v>
      </c>
      <c r="L263" s="48"/>
      <c r="S263">
        <f>ROUND((Source!FX87/100)*((ROUND(Source!AF87*Source!I87, 2)+ROUND(Source!AE87*Source!I87, 2))), 2)</f>
        <v>0</v>
      </c>
      <c r="T263">
        <f>Source!X87</f>
        <v>0</v>
      </c>
      <c r="U263">
        <f>ROUND((Source!FY87/100)*((ROUND(Source!AF87*Source!I87, 2)+ROUND(Source!AE87*Source!I87, 2))), 2)</f>
        <v>0</v>
      </c>
      <c r="V263">
        <f>Source!Y87</f>
        <v>0</v>
      </c>
    </row>
    <row r="264" spans="1:26" ht="15" x14ac:dyDescent="0.25">
      <c r="G264" s="61">
        <f>H263</f>
        <v>820.12</v>
      </c>
      <c r="H264" s="61"/>
      <c r="J264" s="61">
        <f>K263</f>
        <v>7299.07</v>
      </c>
      <c r="K264" s="61"/>
      <c r="L264" s="47">
        <f>Source!U87</f>
        <v>0</v>
      </c>
      <c r="O264" s="29">
        <f>G264</f>
        <v>820.12</v>
      </c>
      <c r="P264" s="29">
        <f>J264</f>
        <v>7299.07</v>
      </c>
      <c r="Q264" s="29">
        <f>L264</f>
        <v>0</v>
      </c>
      <c r="W264">
        <f>IF(Source!BI87&lt;=1,H263, 0)</f>
        <v>820.12</v>
      </c>
      <c r="X264">
        <f>IF(Source!BI87=2,H263, 0)</f>
        <v>0</v>
      </c>
      <c r="Y264">
        <f>IF(Source!BI87=3,H263, 0)</f>
        <v>0</v>
      </c>
      <c r="Z264">
        <f>IF(Source!BI87=4,H263, 0)</f>
        <v>0</v>
      </c>
    </row>
    <row r="265" spans="1:26" ht="54" x14ac:dyDescent="0.2">
      <c r="A265" s="53">
        <v>38</v>
      </c>
      <c r="B265" s="53" t="s">
        <v>29</v>
      </c>
      <c r="C265" s="53" t="s">
        <v>964</v>
      </c>
      <c r="D265" s="42" t="str">
        <f>Source!H88</f>
        <v>шт.</v>
      </c>
      <c r="E265" s="43">
        <f>Source!I88</f>
        <v>145</v>
      </c>
      <c r="F265" s="44">
        <f>Source!AL88</f>
        <v>3.0100000000000002</v>
      </c>
      <c r="G265" s="45" t="str">
        <f>Source!DD88</f>
        <v/>
      </c>
      <c r="H265" s="44">
        <f>ROUND(Source!AC88*Source!I88, 2)</f>
        <v>436.45</v>
      </c>
      <c r="I265" s="45" t="str">
        <f>Source!BO88</f>
        <v/>
      </c>
      <c r="J265" s="45">
        <f>IF(Source!BC88&lt;&gt; 0, Source!BC88, 1)</f>
        <v>8.9</v>
      </c>
      <c r="K265" s="44">
        <f>Source!P88</f>
        <v>3884.41</v>
      </c>
      <c r="L265" s="48"/>
      <c r="S265">
        <f>ROUND((Source!FX88/100)*((ROUND(Source!AF88*Source!I88, 2)+ROUND(Source!AE88*Source!I88, 2))), 2)</f>
        <v>0</v>
      </c>
      <c r="T265">
        <f>Source!X88</f>
        <v>0</v>
      </c>
      <c r="U265">
        <f>ROUND((Source!FY88/100)*((ROUND(Source!AF88*Source!I88, 2)+ROUND(Source!AE88*Source!I88, 2))), 2)</f>
        <v>0</v>
      </c>
      <c r="V265">
        <f>Source!Y88</f>
        <v>0</v>
      </c>
    </row>
    <row r="266" spans="1:26" ht="15" x14ac:dyDescent="0.25">
      <c r="G266" s="61">
        <f>H265</f>
        <v>436.45</v>
      </c>
      <c r="H266" s="61"/>
      <c r="J266" s="61">
        <f>K265</f>
        <v>3884.41</v>
      </c>
      <c r="K266" s="61"/>
      <c r="L266" s="47">
        <f>Source!U88</f>
        <v>0</v>
      </c>
      <c r="O266" s="29">
        <f>G266</f>
        <v>436.45</v>
      </c>
      <c r="P266" s="29">
        <f>J266</f>
        <v>3884.41</v>
      </c>
      <c r="Q266" s="29">
        <f>L266</f>
        <v>0</v>
      </c>
      <c r="W266">
        <f>IF(Source!BI88&lt;=1,H265, 0)</f>
        <v>436.45</v>
      </c>
      <c r="X266">
        <f>IF(Source!BI88=2,H265, 0)</f>
        <v>0</v>
      </c>
      <c r="Y266">
        <f>IF(Source!BI88=3,H265, 0)</f>
        <v>0</v>
      </c>
      <c r="Z266">
        <f>IF(Source!BI88=4,H265, 0)</f>
        <v>0</v>
      </c>
    </row>
    <row r="267" spans="1:26" ht="28.5" x14ac:dyDescent="0.2">
      <c r="A267" s="52">
        <v>39</v>
      </c>
      <c r="B267" s="52" t="s">
        <v>965</v>
      </c>
      <c r="C267" s="52" t="str">
        <f>Source!G89</f>
        <v>Установка: деревянных дверных блоков</v>
      </c>
      <c r="D267" s="36" t="str">
        <f>Source!H89</f>
        <v>100 м2</v>
      </c>
      <c r="E267" s="10">
        <f>Source!I89</f>
        <v>2.9399999999999999E-2</v>
      </c>
      <c r="F267" s="37">
        <f>Source!AL89+Source!AM89+Source!AO89</f>
        <v>907.94</v>
      </c>
      <c r="G267" s="38"/>
      <c r="H267" s="37"/>
      <c r="I267" s="38" t="str">
        <f>Source!BO89</f>
        <v/>
      </c>
      <c r="J267" s="38"/>
      <c r="K267" s="37"/>
      <c r="L267" s="39"/>
      <c r="S267">
        <f>ROUND((Source!FX89/100)*((ROUND(Source!AF89*Source!I89, 2)+ROUND(Source!AE89*Source!I89, 2))), 2)</f>
        <v>23.04</v>
      </c>
      <c r="T267">
        <f>Source!X89</f>
        <v>737.45</v>
      </c>
      <c r="U267">
        <f>ROUND((Source!FY89/100)*((ROUND(Source!AF89*Source!I89, 2)+ROUND(Source!AE89*Source!I89, 2))), 2)</f>
        <v>9.9700000000000006</v>
      </c>
      <c r="V267">
        <f>Source!Y89</f>
        <v>319.22000000000003</v>
      </c>
    </row>
    <row r="268" spans="1:26" ht="14.25" x14ac:dyDescent="0.2">
      <c r="A268" s="52"/>
      <c r="B268" s="52"/>
      <c r="C268" s="52" t="s">
        <v>894</v>
      </c>
      <c r="D268" s="36"/>
      <c r="E268" s="10"/>
      <c r="F268" s="37">
        <f>Source!AO89</f>
        <v>586.45000000000005</v>
      </c>
      <c r="G268" s="38" t="str">
        <f>Source!DG89</f>
        <v>)*1,15</v>
      </c>
      <c r="H268" s="37">
        <f>ROUND(Source!AF89*Source!I89, 2)</f>
        <v>19.829999999999998</v>
      </c>
      <c r="I268" s="38"/>
      <c r="J268" s="38">
        <f>IF(Source!BA89&lt;&gt; 0, Source!BA89, 1)</f>
        <v>32.01</v>
      </c>
      <c r="K268" s="37">
        <f>Source!S89</f>
        <v>634.69000000000005</v>
      </c>
      <c r="L268" s="39"/>
      <c r="R268">
        <f>H268</f>
        <v>19.829999999999998</v>
      </c>
    </row>
    <row r="269" spans="1:26" ht="14.25" x14ac:dyDescent="0.2">
      <c r="A269" s="52"/>
      <c r="B269" s="52"/>
      <c r="C269" s="52" t="s">
        <v>340</v>
      </c>
      <c r="D269" s="36"/>
      <c r="E269" s="10"/>
      <c r="F269" s="37">
        <f>Source!AM89</f>
        <v>280.76</v>
      </c>
      <c r="G269" s="38" t="str">
        <f>Source!DE89</f>
        <v>)*1,25</v>
      </c>
      <c r="H269" s="37">
        <f>ROUND(((((Source!ET89*1.25))-((Source!EU89*1.25)))+Source!AE89)*Source!I89, 2)</f>
        <v>10.32</v>
      </c>
      <c r="I269" s="38"/>
      <c r="J269" s="38">
        <f>IF(Source!BB89&lt;&gt; 0, Source!BB89, 1)</f>
        <v>12.44</v>
      </c>
      <c r="K269" s="37">
        <f>Source!Q89</f>
        <v>128.36000000000001</v>
      </c>
      <c r="L269" s="39"/>
    </row>
    <row r="270" spans="1:26" ht="14.25" x14ac:dyDescent="0.2">
      <c r="A270" s="52"/>
      <c r="B270" s="52"/>
      <c r="C270" s="52" t="s">
        <v>895</v>
      </c>
      <c r="D270" s="36"/>
      <c r="E270" s="10"/>
      <c r="F270" s="37">
        <f>Source!AN89</f>
        <v>40.909999999999997</v>
      </c>
      <c r="G270" s="38" t="str">
        <f>Source!DF89</f>
        <v>)*1,25</v>
      </c>
      <c r="H270" s="40">
        <f>ROUND(Source!AE89*Source!I89, 2)</f>
        <v>1.5</v>
      </c>
      <c r="I270" s="38"/>
      <c r="J270" s="38">
        <f>IF(Source!BS89&lt;&gt; 0, Source!BS89, 1)</f>
        <v>32.01</v>
      </c>
      <c r="K270" s="40">
        <f>Source!R89</f>
        <v>48.13</v>
      </c>
      <c r="L270" s="39"/>
      <c r="R270">
        <f>H270</f>
        <v>1.5</v>
      </c>
    </row>
    <row r="271" spans="1:26" ht="14.25" x14ac:dyDescent="0.2">
      <c r="A271" s="52"/>
      <c r="B271" s="52"/>
      <c r="C271" s="52" t="s">
        <v>911</v>
      </c>
      <c r="D271" s="36"/>
      <c r="E271" s="10"/>
      <c r="F271" s="37">
        <f>Source!AL89</f>
        <v>40.729999999999997</v>
      </c>
      <c r="G271" s="38" t="str">
        <f>Source!DD89</f>
        <v/>
      </c>
      <c r="H271" s="37">
        <f>ROUND(Source!AC89*Source!I89, 2)</f>
        <v>1.2</v>
      </c>
      <c r="I271" s="38"/>
      <c r="J271" s="38">
        <f>IF(Source!BC89&lt;&gt; 0, Source!BC89, 1)</f>
        <v>8.9</v>
      </c>
      <c r="K271" s="37">
        <f>Source!P89</f>
        <v>10.66</v>
      </c>
      <c r="L271" s="39"/>
    </row>
    <row r="272" spans="1:26" ht="14.25" x14ac:dyDescent="0.2">
      <c r="A272" s="52"/>
      <c r="B272" s="52"/>
      <c r="C272" s="52" t="s">
        <v>896</v>
      </c>
      <c r="D272" s="36" t="s">
        <v>897</v>
      </c>
      <c r="E272" s="10">
        <f>Source!BZ89</f>
        <v>108</v>
      </c>
      <c r="F272" s="54"/>
      <c r="G272" s="38"/>
      <c r="H272" s="37">
        <f>SUM(S267:S274)</f>
        <v>23.04</v>
      </c>
      <c r="I272" s="41"/>
      <c r="J272" s="35">
        <f>Source!AT89</f>
        <v>108</v>
      </c>
      <c r="K272" s="37">
        <f>SUM(T267:T274)</f>
        <v>737.45</v>
      </c>
      <c r="L272" s="39"/>
    </row>
    <row r="273" spans="1:26" ht="14.25" x14ac:dyDescent="0.2">
      <c r="A273" s="52"/>
      <c r="B273" s="52"/>
      <c r="C273" s="52" t="s">
        <v>898</v>
      </c>
      <c r="D273" s="36" t="s">
        <v>897</v>
      </c>
      <c r="E273" s="10">
        <f>Source!CA89</f>
        <v>55</v>
      </c>
      <c r="F273" s="64" t="str">
        <f>CONCATENATE(" )", Source!DM89, Source!FU89, "=", Source!FY89)</f>
        <v xml:space="preserve"> ))*0,85=46,75</v>
      </c>
      <c r="G273" s="65"/>
      <c r="H273" s="37">
        <f>SUM(U267:U274)</f>
        <v>9.9700000000000006</v>
      </c>
      <c r="I273" s="41"/>
      <c r="J273" s="35">
        <f>Source!AU89</f>
        <v>46.75</v>
      </c>
      <c r="K273" s="37">
        <f>SUM(V267:V274)</f>
        <v>319.22000000000003</v>
      </c>
      <c r="L273" s="39"/>
    </row>
    <row r="274" spans="1:26" ht="14.25" x14ac:dyDescent="0.2">
      <c r="A274" s="53"/>
      <c r="B274" s="53"/>
      <c r="C274" s="53" t="s">
        <v>899</v>
      </c>
      <c r="D274" s="42" t="s">
        <v>900</v>
      </c>
      <c r="E274" s="43">
        <f>Source!AQ89</f>
        <v>67.099999999999994</v>
      </c>
      <c r="F274" s="44"/>
      <c r="G274" s="45" t="str">
        <f>Source!DI89</f>
        <v>)*1,15</v>
      </c>
      <c r="H274" s="44"/>
      <c r="I274" s="45"/>
      <c r="J274" s="45"/>
      <c r="K274" s="44"/>
      <c r="L274" s="46">
        <f>Source!U89</f>
        <v>2.2686509999999998</v>
      </c>
    </row>
    <row r="275" spans="1:26" ht="15" x14ac:dyDescent="0.25">
      <c r="G275" s="61">
        <f>H268+H269+H271+H272+H273</f>
        <v>64.36</v>
      </c>
      <c r="H275" s="61"/>
      <c r="J275" s="61">
        <f>K268+K269+K271+K272+K273</f>
        <v>1830.38</v>
      </c>
      <c r="K275" s="61"/>
      <c r="L275" s="47">
        <f>Source!U89</f>
        <v>2.2686509999999998</v>
      </c>
      <c r="O275" s="29">
        <f>G275</f>
        <v>64.36</v>
      </c>
      <c r="P275" s="29">
        <f>J275</f>
        <v>1830.38</v>
      </c>
      <c r="Q275" s="29">
        <f>L275</f>
        <v>2.2686509999999998</v>
      </c>
      <c r="W275">
        <f>IF(Source!BI89&lt;=1,H268+H269+H271+H272+H273, 0)</f>
        <v>64.36</v>
      </c>
      <c r="X275">
        <f>IF(Source!BI89=2,H268+H269+H271+H272+H273, 0)</f>
        <v>0</v>
      </c>
      <c r="Y275">
        <f>IF(Source!BI89=3,H268+H269+H271+H272+H273, 0)</f>
        <v>0</v>
      </c>
      <c r="Z275">
        <f>IF(Source!BI89=4,H268+H269+H271+H272+H273, 0)</f>
        <v>0</v>
      </c>
    </row>
    <row r="276" spans="1:26" ht="68.25" x14ac:dyDescent="0.2">
      <c r="A276" s="53">
        <v>40</v>
      </c>
      <c r="B276" s="53" t="s">
        <v>29</v>
      </c>
      <c r="C276" s="53" t="s">
        <v>966</v>
      </c>
      <c r="D276" s="42" t="str">
        <f>Source!H90</f>
        <v>шт.</v>
      </c>
      <c r="E276" s="43">
        <f>Source!I90</f>
        <v>1</v>
      </c>
      <c r="F276" s="44">
        <f>Source!AL90</f>
        <v>570.09999999999991</v>
      </c>
      <c r="G276" s="45" t="str">
        <f>Source!DD90</f>
        <v/>
      </c>
      <c r="H276" s="44">
        <f>ROUND(Source!AC90*Source!I90, 2)</f>
        <v>570.1</v>
      </c>
      <c r="I276" s="45" t="str">
        <f>Source!BO90</f>
        <v/>
      </c>
      <c r="J276" s="45">
        <f>IF(Source!BC90&lt;&gt; 0, Source!BC90, 1)</f>
        <v>8.9</v>
      </c>
      <c r="K276" s="44">
        <f>Source!P90</f>
        <v>5073.8900000000003</v>
      </c>
      <c r="L276" s="48"/>
      <c r="S276">
        <f>ROUND((Source!FX90/100)*((ROUND(Source!AF90*Source!I90, 2)+ROUND(Source!AE90*Source!I90, 2))), 2)</f>
        <v>0</v>
      </c>
      <c r="T276">
        <f>Source!X90</f>
        <v>0</v>
      </c>
      <c r="U276">
        <f>ROUND((Source!FY90/100)*((ROUND(Source!AF90*Source!I90, 2)+ROUND(Source!AE90*Source!I90, 2))), 2)</f>
        <v>0</v>
      </c>
      <c r="V276">
        <f>Source!Y90</f>
        <v>0</v>
      </c>
    </row>
    <row r="277" spans="1:26" ht="15" x14ac:dyDescent="0.25">
      <c r="G277" s="61">
        <f>H276</f>
        <v>570.1</v>
      </c>
      <c r="H277" s="61"/>
      <c r="J277" s="61">
        <f>K276</f>
        <v>5073.8900000000003</v>
      </c>
      <c r="K277" s="61"/>
      <c r="L277" s="47">
        <f>Source!U90</f>
        <v>0</v>
      </c>
      <c r="O277" s="29">
        <f>G277</f>
        <v>570.1</v>
      </c>
      <c r="P277" s="29">
        <f>J277</f>
        <v>5073.8900000000003</v>
      </c>
      <c r="Q277" s="29">
        <f>L277</f>
        <v>0</v>
      </c>
      <c r="W277">
        <f>IF(Source!BI90&lt;=1,H276, 0)</f>
        <v>570.1</v>
      </c>
      <c r="X277">
        <f>IF(Source!BI90=2,H276, 0)</f>
        <v>0</v>
      </c>
      <c r="Y277">
        <f>IF(Source!BI90=3,H276, 0)</f>
        <v>0</v>
      </c>
      <c r="Z277">
        <f>IF(Source!BI90=4,H276, 0)</f>
        <v>0</v>
      </c>
    </row>
    <row r="278" spans="1:26" ht="68.25" x14ac:dyDescent="0.2">
      <c r="A278" s="53">
        <v>41</v>
      </c>
      <c r="B278" s="53" t="s">
        <v>29</v>
      </c>
      <c r="C278" s="53" t="s">
        <v>967</v>
      </c>
      <c r="D278" s="42" t="str">
        <f>Source!H91</f>
        <v>шт.</v>
      </c>
      <c r="E278" s="43">
        <f>Source!I91</f>
        <v>1</v>
      </c>
      <c r="F278" s="44">
        <f>Source!AL91</f>
        <v>570.09999999999991</v>
      </c>
      <c r="G278" s="45" t="str">
        <f>Source!DD91</f>
        <v/>
      </c>
      <c r="H278" s="44">
        <f>ROUND(Source!AC91*Source!I91, 2)</f>
        <v>570.1</v>
      </c>
      <c r="I278" s="45" t="str">
        <f>Source!BO91</f>
        <v/>
      </c>
      <c r="J278" s="45">
        <f>IF(Source!BC91&lt;&gt; 0, Source!BC91, 1)</f>
        <v>8.9</v>
      </c>
      <c r="K278" s="44">
        <f>Source!P91</f>
        <v>5073.8900000000003</v>
      </c>
      <c r="L278" s="48"/>
      <c r="S278">
        <f>ROUND((Source!FX91/100)*((ROUND(Source!AF91*Source!I91, 2)+ROUND(Source!AE91*Source!I91, 2))), 2)</f>
        <v>0</v>
      </c>
      <c r="T278">
        <f>Source!X91</f>
        <v>0</v>
      </c>
      <c r="U278">
        <f>ROUND((Source!FY91/100)*((ROUND(Source!AF91*Source!I91, 2)+ROUND(Source!AE91*Source!I91, 2))), 2)</f>
        <v>0</v>
      </c>
      <c r="V278">
        <f>Source!Y91</f>
        <v>0</v>
      </c>
    </row>
    <row r="279" spans="1:26" ht="15" x14ac:dyDescent="0.25">
      <c r="G279" s="61">
        <f>H278</f>
        <v>570.1</v>
      </c>
      <c r="H279" s="61"/>
      <c r="J279" s="61">
        <f>K278</f>
        <v>5073.8900000000003</v>
      </c>
      <c r="K279" s="61"/>
      <c r="L279" s="47">
        <f>Source!U91</f>
        <v>0</v>
      </c>
      <c r="O279" s="29">
        <f>G279</f>
        <v>570.1</v>
      </c>
      <c r="P279" s="29">
        <f>J279</f>
        <v>5073.8900000000003</v>
      </c>
      <c r="Q279" s="29">
        <f>L279</f>
        <v>0</v>
      </c>
      <c r="W279">
        <f>IF(Source!BI91&lt;=1,H278, 0)</f>
        <v>570.1</v>
      </c>
      <c r="X279">
        <f>IF(Source!BI91=2,H278, 0)</f>
        <v>0</v>
      </c>
      <c r="Y279">
        <f>IF(Source!BI91=3,H278, 0)</f>
        <v>0</v>
      </c>
      <c r="Z279">
        <f>IF(Source!BI91=4,H278, 0)</f>
        <v>0</v>
      </c>
    </row>
    <row r="280" spans="1:26" ht="68.25" x14ac:dyDescent="0.2">
      <c r="A280" s="53">
        <v>42</v>
      </c>
      <c r="B280" s="53" t="s">
        <v>29</v>
      </c>
      <c r="C280" s="53" t="s">
        <v>968</v>
      </c>
      <c r="D280" s="42" t="str">
        <f>Source!H92</f>
        <v>компл.</v>
      </c>
      <c r="E280" s="43">
        <f>Source!I92</f>
        <v>2</v>
      </c>
      <c r="F280" s="44">
        <f>Source!AL92</f>
        <v>170.88</v>
      </c>
      <c r="G280" s="45" t="str">
        <f>Source!DD92</f>
        <v/>
      </c>
      <c r="H280" s="44">
        <f>ROUND(Source!AC92*Source!I92, 2)</f>
        <v>341.76</v>
      </c>
      <c r="I280" s="45" t="str">
        <f>Source!BO92</f>
        <v/>
      </c>
      <c r="J280" s="45">
        <f>IF(Source!BC92&lt;&gt; 0, Source!BC92, 1)</f>
        <v>8.9</v>
      </c>
      <c r="K280" s="44">
        <f>Source!P92</f>
        <v>3041.66</v>
      </c>
      <c r="L280" s="48"/>
      <c r="S280">
        <f>ROUND((Source!FX92/100)*((ROUND(Source!AF92*Source!I92, 2)+ROUND(Source!AE92*Source!I92, 2))), 2)</f>
        <v>0</v>
      </c>
      <c r="T280">
        <f>Source!X92</f>
        <v>0</v>
      </c>
      <c r="U280">
        <f>ROUND((Source!FY92/100)*((ROUND(Source!AF92*Source!I92, 2)+ROUND(Source!AE92*Source!I92, 2))), 2)</f>
        <v>0</v>
      </c>
      <c r="V280">
        <f>Source!Y92</f>
        <v>0</v>
      </c>
    </row>
    <row r="281" spans="1:26" ht="15" x14ac:dyDescent="0.25">
      <c r="G281" s="61">
        <f>H280</f>
        <v>341.76</v>
      </c>
      <c r="H281" s="61"/>
      <c r="J281" s="61">
        <f>K280</f>
        <v>3041.66</v>
      </c>
      <c r="K281" s="61"/>
      <c r="L281" s="47">
        <f>Source!U92</f>
        <v>0</v>
      </c>
      <c r="O281" s="29">
        <f>G281</f>
        <v>341.76</v>
      </c>
      <c r="P281" s="29">
        <f>J281</f>
        <v>3041.66</v>
      </c>
      <c r="Q281" s="29">
        <f>L281</f>
        <v>0</v>
      </c>
      <c r="W281">
        <f>IF(Source!BI92&lt;=1,H280, 0)</f>
        <v>341.76</v>
      </c>
      <c r="X281">
        <f>IF(Source!BI92=2,H280, 0)</f>
        <v>0</v>
      </c>
      <c r="Y281">
        <f>IF(Source!BI92=3,H280, 0)</f>
        <v>0</v>
      </c>
      <c r="Z281">
        <f>IF(Source!BI92=4,H280, 0)</f>
        <v>0</v>
      </c>
    </row>
    <row r="282" spans="1:26" ht="68.25" x14ac:dyDescent="0.2">
      <c r="A282" s="53">
        <v>43</v>
      </c>
      <c r="B282" s="53" t="s">
        <v>29</v>
      </c>
      <c r="C282" s="53" t="s">
        <v>969</v>
      </c>
      <c r="D282" s="42" t="str">
        <f>Source!H93</f>
        <v>компл.</v>
      </c>
      <c r="E282" s="43">
        <f>Source!I93</f>
        <v>2</v>
      </c>
      <c r="F282" s="44">
        <f>Source!AL93</f>
        <v>155.64000000000001</v>
      </c>
      <c r="G282" s="45" t="str">
        <f>Source!DD93</f>
        <v/>
      </c>
      <c r="H282" s="44">
        <f>ROUND(Source!AC93*Source!I93, 2)</f>
        <v>311.27999999999997</v>
      </c>
      <c r="I282" s="45" t="str">
        <f>Source!BO93</f>
        <v/>
      </c>
      <c r="J282" s="45">
        <f>IF(Source!BC93&lt;&gt; 0, Source!BC93, 1)</f>
        <v>8.9</v>
      </c>
      <c r="K282" s="44">
        <f>Source!P93</f>
        <v>2770.39</v>
      </c>
      <c r="L282" s="48"/>
      <c r="S282">
        <f>ROUND((Source!FX93/100)*((ROUND(Source!AF93*Source!I93, 2)+ROUND(Source!AE93*Source!I93, 2))), 2)</f>
        <v>0</v>
      </c>
      <c r="T282">
        <f>Source!X93</f>
        <v>0</v>
      </c>
      <c r="U282">
        <f>ROUND((Source!FY93/100)*((ROUND(Source!AF93*Source!I93, 2)+ROUND(Source!AE93*Source!I93, 2))), 2)</f>
        <v>0</v>
      </c>
      <c r="V282">
        <f>Source!Y93</f>
        <v>0</v>
      </c>
    </row>
    <row r="283" spans="1:26" ht="15" x14ac:dyDescent="0.25">
      <c r="G283" s="61">
        <f>H282</f>
        <v>311.27999999999997</v>
      </c>
      <c r="H283" s="61"/>
      <c r="J283" s="61">
        <f>K282</f>
        <v>2770.39</v>
      </c>
      <c r="K283" s="61"/>
      <c r="L283" s="47">
        <f>Source!U93</f>
        <v>0</v>
      </c>
      <c r="O283" s="29">
        <f>G283</f>
        <v>311.27999999999997</v>
      </c>
      <c r="P283" s="29">
        <f>J283</f>
        <v>2770.39</v>
      </c>
      <c r="Q283" s="29">
        <f>L283</f>
        <v>0</v>
      </c>
      <c r="W283">
        <f>IF(Source!BI93&lt;=1,H282, 0)</f>
        <v>311.27999999999997</v>
      </c>
      <c r="X283">
        <f>IF(Source!BI93=2,H282, 0)</f>
        <v>0</v>
      </c>
      <c r="Y283">
        <f>IF(Source!BI93=3,H282, 0)</f>
        <v>0</v>
      </c>
      <c r="Z283">
        <f>IF(Source!BI93=4,H282, 0)</f>
        <v>0</v>
      </c>
    </row>
    <row r="284" spans="1:26" ht="42.75" x14ac:dyDescent="0.2">
      <c r="A284" s="53">
        <v>44</v>
      </c>
      <c r="B284" s="53" t="s">
        <v>29</v>
      </c>
      <c r="C284" s="53" t="s">
        <v>970</v>
      </c>
      <c r="D284" s="42" t="str">
        <f>Source!H94</f>
        <v>шт.</v>
      </c>
      <c r="E284" s="43">
        <f>Source!I94</f>
        <v>2</v>
      </c>
      <c r="F284" s="44">
        <f>Source!AL94</f>
        <v>126.15</v>
      </c>
      <c r="G284" s="45" t="str">
        <f>Source!DD94</f>
        <v/>
      </c>
      <c r="H284" s="44">
        <f>ROUND(Source!AC94*Source!I94, 2)</f>
        <v>252.3</v>
      </c>
      <c r="I284" s="45" t="str">
        <f>Source!BO94</f>
        <v/>
      </c>
      <c r="J284" s="45">
        <f>IF(Source!BC94&lt;&gt; 0, Source!BC94, 1)</f>
        <v>8.9</v>
      </c>
      <c r="K284" s="44">
        <f>Source!P94</f>
        <v>2245.4699999999998</v>
      </c>
      <c r="L284" s="48"/>
      <c r="S284">
        <f>ROUND((Source!FX94/100)*((ROUND(Source!AF94*Source!I94, 2)+ROUND(Source!AE94*Source!I94, 2))), 2)</f>
        <v>0</v>
      </c>
      <c r="T284">
        <f>Source!X94</f>
        <v>0</v>
      </c>
      <c r="U284">
        <f>ROUND((Source!FY94/100)*((ROUND(Source!AF94*Source!I94, 2)+ROUND(Source!AE94*Source!I94, 2))), 2)</f>
        <v>0</v>
      </c>
      <c r="V284">
        <f>Source!Y94</f>
        <v>0</v>
      </c>
    </row>
    <row r="285" spans="1:26" ht="15" x14ac:dyDescent="0.25">
      <c r="G285" s="61">
        <f>H284</f>
        <v>252.3</v>
      </c>
      <c r="H285" s="61"/>
      <c r="J285" s="61">
        <f>K284</f>
        <v>2245.4699999999998</v>
      </c>
      <c r="K285" s="61"/>
      <c r="L285" s="47">
        <f>Source!U94</f>
        <v>0</v>
      </c>
      <c r="O285" s="29">
        <f>G285</f>
        <v>252.3</v>
      </c>
      <c r="P285" s="29">
        <f>J285</f>
        <v>2245.4699999999998</v>
      </c>
      <c r="Q285" s="29">
        <f>L285</f>
        <v>0</v>
      </c>
      <c r="W285">
        <f>IF(Source!BI94&lt;=1,H284, 0)</f>
        <v>252.3</v>
      </c>
      <c r="X285">
        <f>IF(Source!BI94=2,H284, 0)</f>
        <v>0</v>
      </c>
      <c r="Y285">
        <f>IF(Source!BI94=3,H284, 0)</f>
        <v>0</v>
      </c>
      <c r="Z285">
        <f>IF(Source!BI94=4,H284, 0)</f>
        <v>0</v>
      </c>
    </row>
    <row r="286" spans="1:26" ht="28.5" x14ac:dyDescent="0.2">
      <c r="A286" s="52">
        <v>45</v>
      </c>
      <c r="B286" s="52" t="s">
        <v>971</v>
      </c>
      <c r="C286" s="52" t="str">
        <f>Source!G95</f>
        <v>Покрытие поверхностей грунтовкой глубокого проникновения: за 1 раз стен</v>
      </c>
      <c r="D286" s="36" t="str">
        <f>Source!H95</f>
        <v>100 м2</v>
      </c>
      <c r="E286" s="10">
        <f>Source!I95</f>
        <v>5.98</v>
      </c>
      <c r="F286" s="37">
        <f>Source!AL95+Source!AM95+Source!AO95</f>
        <v>45.879999999999995</v>
      </c>
      <c r="G286" s="38"/>
      <c r="H286" s="37"/>
      <c r="I286" s="38" t="str">
        <f>Source!BO95</f>
        <v/>
      </c>
      <c r="J286" s="38"/>
      <c r="K286" s="37"/>
      <c r="L286" s="39"/>
      <c r="S286">
        <f>ROUND((Source!FX95/100)*((ROUND(Source!AF95*Source!I95, 2)+ROUND(Source!AE95*Source!I95, 2))), 2)</f>
        <v>309.58</v>
      </c>
      <c r="T286">
        <f>Source!X95</f>
        <v>9909.7999999999993</v>
      </c>
      <c r="U286">
        <f>ROUND((Source!FY95/100)*((ROUND(Source!AF95*Source!I95, 2)+ROUND(Source!AE95*Source!I95, 2))), 2)</f>
        <v>128.94</v>
      </c>
      <c r="V286">
        <f>Source!Y95</f>
        <v>4127.43</v>
      </c>
    </row>
    <row r="287" spans="1:26" x14ac:dyDescent="0.2">
      <c r="C287" s="28" t="str">
        <f>"Объем: "&amp;Source!I95&amp;"=598/"&amp;"100"</f>
        <v>Объем: 5,98=598/100</v>
      </c>
    </row>
    <row r="288" spans="1:26" ht="14.25" x14ac:dyDescent="0.2">
      <c r="A288" s="52"/>
      <c r="B288" s="52"/>
      <c r="C288" s="52" t="s">
        <v>894</v>
      </c>
      <c r="D288" s="36"/>
      <c r="E288" s="10"/>
      <c r="F288" s="37">
        <f>Source!AO95</f>
        <v>44.73</v>
      </c>
      <c r="G288" s="38" t="str">
        <f>Source!DG95</f>
        <v>)*1,15</v>
      </c>
      <c r="H288" s="37">
        <f>ROUND(Source!AF95*Source!I95, 2)</f>
        <v>307.61</v>
      </c>
      <c r="I288" s="38"/>
      <c r="J288" s="38">
        <f>IF(Source!BA95&lt;&gt; 0, Source!BA95, 1)</f>
        <v>32.01</v>
      </c>
      <c r="K288" s="37">
        <f>Source!S95</f>
        <v>9846.6299999999992</v>
      </c>
      <c r="L288" s="39"/>
      <c r="R288">
        <f>H288</f>
        <v>307.61</v>
      </c>
    </row>
    <row r="289" spans="1:26" ht="14.25" x14ac:dyDescent="0.2">
      <c r="A289" s="52"/>
      <c r="B289" s="52"/>
      <c r="C289" s="52" t="s">
        <v>340</v>
      </c>
      <c r="D289" s="36"/>
      <c r="E289" s="10"/>
      <c r="F289" s="37">
        <f>Source!AM95</f>
        <v>0.97</v>
      </c>
      <c r="G289" s="38" t="str">
        <f>Source!DE95</f>
        <v>)*1,25</v>
      </c>
      <c r="H289" s="37">
        <f>ROUND(((((Source!ET95*1.25))-((Source!EU95*1.25)))+Source!AE95)*Source!I95, 2)</f>
        <v>7.28</v>
      </c>
      <c r="I289" s="38"/>
      <c r="J289" s="38">
        <f>IF(Source!BB95&lt;&gt; 0, Source!BB95, 1)</f>
        <v>12.44</v>
      </c>
      <c r="K289" s="37">
        <f>Source!Q95</f>
        <v>91.16</v>
      </c>
      <c r="L289" s="39"/>
    </row>
    <row r="290" spans="1:26" ht="14.25" x14ac:dyDescent="0.2">
      <c r="A290" s="52"/>
      <c r="B290" s="52"/>
      <c r="C290" s="52" t="s">
        <v>895</v>
      </c>
      <c r="D290" s="36"/>
      <c r="E290" s="10"/>
      <c r="F290" s="37">
        <f>Source!AN95</f>
        <v>0.26</v>
      </c>
      <c r="G290" s="38" t="str">
        <f>Source!DF95</f>
        <v>)*1,25</v>
      </c>
      <c r="H290" s="40">
        <f>ROUND(Source!AE95*Source!I95, 2)</f>
        <v>1.97</v>
      </c>
      <c r="I290" s="38"/>
      <c r="J290" s="38">
        <f>IF(Source!BS95&lt;&gt; 0, Source!BS95, 1)</f>
        <v>32.01</v>
      </c>
      <c r="K290" s="40">
        <f>Source!R95</f>
        <v>63.17</v>
      </c>
      <c r="L290" s="39"/>
      <c r="R290">
        <f>H290</f>
        <v>1.97</v>
      </c>
    </row>
    <row r="291" spans="1:26" ht="14.25" x14ac:dyDescent="0.2">
      <c r="A291" s="52"/>
      <c r="B291" s="52"/>
      <c r="C291" s="52" t="s">
        <v>911</v>
      </c>
      <c r="D291" s="36"/>
      <c r="E291" s="10"/>
      <c r="F291" s="37">
        <f>Source!AL95</f>
        <v>0.18</v>
      </c>
      <c r="G291" s="38" t="str">
        <f>Source!DD95</f>
        <v/>
      </c>
      <c r="H291" s="37">
        <f>ROUND(Source!AC95*Source!I95, 2)</f>
        <v>1.08</v>
      </c>
      <c r="I291" s="38"/>
      <c r="J291" s="38">
        <f>IF(Source!BC95&lt;&gt; 0, Source!BC95, 1)</f>
        <v>8.9</v>
      </c>
      <c r="K291" s="37">
        <f>Source!P95</f>
        <v>9.58</v>
      </c>
      <c r="L291" s="39"/>
    </row>
    <row r="292" spans="1:26" ht="14.25" x14ac:dyDescent="0.2">
      <c r="A292" s="52"/>
      <c r="B292" s="52"/>
      <c r="C292" s="52" t="s">
        <v>896</v>
      </c>
      <c r="D292" s="36" t="s">
        <v>897</v>
      </c>
      <c r="E292" s="10">
        <f>Source!BZ95</f>
        <v>100</v>
      </c>
      <c r="F292" s="54"/>
      <c r="G292" s="38"/>
      <c r="H292" s="37">
        <f>SUM(S286:S294)</f>
        <v>309.58</v>
      </c>
      <c r="I292" s="41"/>
      <c r="J292" s="35">
        <f>Source!AT95</f>
        <v>100</v>
      </c>
      <c r="K292" s="37">
        <f>SUM(T286:T294)</f>
        <v>9909.7999999999993</v>
      </c>
      <c r="L292" s="39"/>
    </row>
    <row r="293" spans="1:26" ht="14.25" x14ac:dyDescent="0.2">
      <c r="A293" s="52"/>
      <c r="B293" s="52"/>
      <c r="C293" s="52" t="s">
        <v>898</v>
      </c>
      <c r="D293" s="36" t="s">
        <v>897</v>
      </c>
      <c r="E293" s="10">
        <f>Source!CA95</f>
        <v>49</v>
      </c>
      <c r="F293" s="64" t="str">
        <f>CONCATENATE(" )", Source!DM95, Source!FU95, "=", Source!FY95)</f>
        <v xml:space="preserve"> ))*0,85=41,65</v>
      </c>
      <c r="G293" s="65"/>
      <c r="H293" s="37">
        <f>SUM(U286:U294)</f>
        <v>128.94</v>
      </c>
      <c r="I293" s="41"/>
      <c r="J293" s="35">
        <f>Source!AU95</f>
        <v>41.65</v>
      </c>
      <c r="K293" s="37">
        <f>SUM(V286:V294)</f>
        <v>4127.43</v>
      </c>
      <c r="L293" s="39"/>
    </row>
    <row r="294" spans="1:26" ht="14.25" x14ac:dyDescent="0.2">
      <c r="A294" s="53"/>
      <c r="B294" s="53"/>
      <c r="C294" s="53" t="s">
        <v>899</v>
      </c>
      <c r="D294" s="42" t="s">
        <v>900</v>
      </c>
      <c r="E294" s="43">
        <f>Source!AQ95</f>
        <v>4.6500000000000004</v>
      </c>
      <c r="F294" s="44"/>
      <c r="G294" s="45" t="str">
        <f>Source!DI95</f>
        <v>)*1,15</v>
      </c>
      <c r="H294" s="44"/>
      <c r="I294" s="45"/>
      <c r="J294" s="45"/>
      <c r="K294" s="44"/>
      <c r="L294" s="46">
        <f>Source!U95</f>
        <v>31.978050000000003</v>
      </c>
    </row>
    <row r="295" spans="1:26" ht="15" x14ac:dyDescent="0.25">
      <c r="G295" s="61">
        <f>H288+H289+H291+H292+H293</f>
        <v>754.49</v>
      </c>
      <c r="H295" s="61"/>
      <c r="J295" s="61">
        <f>K288+K289+K291+K292+K293</f>
        <v>23984.6</v>
      </c>
      <c r="K295" s="61"/>
      <c r="L295" s="47">
        <f>Source!U95</f>
        <v>31.978050000000003</v>
      </c>
      <c r="O295" s="29">
        <f>G295</f>
        <v>754.49</v>
      </c>
      <c r="P295" s="29">
        <f>J295</f>
        <v>23984.6</v>
      </c>
      <c r="Q295" s="29">
        <f>L295</f>
        <v>31.978050000000003</v>
      </c>
      <c r="W295">
        <f>IF(Source!BI95&lt;=1,H288+H289+H291+H292+H293, 0)</f>
        <v>754.49</v>
      </c>
      <c r="X295">
        <f>IF(Source!BI95=2,H288+H289+H291+H292+H293, 0)</f>
        <v>0</v>
      </c>
      <c r="Y295">
        <f>IF(Source!BI95=3,H288+H289+H291+H292+H293, 0)</f>
        <v>0</v>
      </c>
      <c r="Z295">
        <f>IF(Source!BI95=4,H288+H289+H291+H292+H293, 0)</f>
        <v>0</v>
      </c>
    </row>
    <row r="296" spans="1:26" ht="54" x14ac:dyDescent="0.2">
      <c r="A296" s="52">
        <v>46</v>
      </c>
      <c r="B296" s="52" t="s">
        <v>29</v>
      </c>
      <c r="C296" s="52" t="s">
        <v>947</v>
      </c>
      <c r="D296" s="36" t="str">
        <f>Source!H96</f>
        <v>кг</v>
      </c>
      <c r="E296" s="10">
        <f>Source!I96</f>
        <v>77.739999999999995</v>
      </c>
      <c r="F296" s="37">
        <f>Source!AL96</f>
        <v>9.0399999999999991</v>
      </c>
      <c r="G296" s="38" t="str">
        <f>Source!DD96</f>
        <v/>
      </c>
      <c r="H296" s="37">
        <f>ROUND(Source!AC96*Source!I96, 2)</f>
        <v>702.77</v>
      </c>
      <c r="I296" s="38" t="str">
        <f>Source!BO96</f>
        <v/>
      </c>
      <c r="J296" s="38">
        <f>IF(Source!BC96&lt;&gt; 0, Source!BC96, 1)</f>
        <v>8.9</v>
      </c>
      <c r="K296" s="37">
        <f>Source!P96</f>
        <v>6254.65</v>
      </c>
      <c r="L296" s="39"/>
      <c r="S296">
        <f>ROUND((Source!FX96/100)*((ROUND(Source!AF96*Source!I96, 2)+ROUND(Source!AE96*Source!I96, 2))), 2)</f>
        <v>0</v>
      </c>
      <c r="T296">
        <f>Source!X96</f>
        <v>0</v>
      </c>
      <c r="U296">
        <f>ROUND((Source!FY96/100)*((ROUND(Source!AF96*Source!I96, 2)+ROUND(Source!AE96*Source!I96, 2))), 2)</f>
        <v>0</v>
      </c>
      <c r="V296">
        <f>Source!Y96</f>
        <v>0</v>
      </c>
    </row>
    <row r="297" spans="1:26" x14ac:dyDescent="0.2">
      <c r="A297" s="31"/>
      <c r="B297" s="31"/>
      <c r="C297" s="32" t="str">
        <f>"Объем: "&amp;Source!I96&amp;"="&amp;Source!I95&amp;"*"&amp;"13"</f>
        <v>Объем: 77,74=5,98*13</v>
      </c>
      <c r="D297" s="31"/>
      <c r="E297" s="31"/>
      <c r="F297" s="31"/>
      <c r="G297" s="31"/>
      <c r="H297" s="31"/>
      <c r="I297" s="31"/>
      <c r="J297" s="31"/>
      <c r="K297" s="31"/>
      <c r="L297" s="31"/>
    </row>
    <row r="298" spans="1:26" ht="15" x14ac:dyDescent="0.25">
      <c r="G298" s="61">
        <f>H296</f>
        <v>702.77</v>
      </c>
      <c r="H298" s="61"/>
      <c r="J298" s="61">
        <f>K296</f>
        <v>6254.65</v>
      </c>
      <c r="K298" s="61"/>
      <c r="L298" s="47">
        <f>Source!U96</f>
        <v>0</v>
      </c>
      <c r="O298" s="29">
        <f>G298</f>
        <v>702.77</v>
      </c>
      <c r="P298" s="29">
        <f>J298</f>
        <v>6254.65</v>
      </c>
      <c r="Q298" s="29">
        <f>L298</f>
        <v>0</v>
      </c>
      <c r="W298">
        <f>IF(Source!BI96&lt;=1,H296, 0)</f>
        <v>702.77</v>
      </c>
      <c r="X298">
        <f>IF(Source!BI96=2,H296, 0)</f>
        <v>0</v>
      </c>
      <c r="Y298">
        <f>IF(Source!BI96=3,H296, 0)</f>
        <v>0</v>
      </c>
      <c r="Z298">
        <f>IF(Source!BI96=4,H296, 0)</f>
        <v>0</v>
      </c>
    </row>
    <row r="299" spans="1:26" ht="42.75" x14ac:dyDescent="0.2">
      <c r="A299" s="52">
        <v>47</v>
      </c>
      <c r="B299" s="52" t="s">
        <v>972</v>
      </c>
      <c r="C299" s="52" t="str">
        <f>Source!G97</f>
        <v>Оклейка обоями стен по монолитной штукатурке и бетону: тиснеными и плотными</v>
      </c>
      <c r="D299" s="36" t="str">
        <f>Source!H97</f>
        <v>100 м2</v>
      </c>
      <c r="E299" s="10">
        <f>Source!I97</f>
        <v>1.6244000000000001</v>
      </c>
      <c r="F299" s="37">
        <f>Source!AL97+Source!AM97+Source!AO97</f>
        <v>541.84</v>
      </c>
      <c r="G299" s="38"/>
      <c r="H299" s="37"/>
      <c r="I299" s="38" t="str">
        <f>Source!BO97</f>
        <v/>
      </c>
      <c r="J299" s="38"/>
      <c r="K299" s="37"/>
      <c r="L299" s="39"/>
      <c r="S299">
        <f>ROUND((Source!FX97/100)*((ROUND(Source!AF97*Source!I97, 2)+ROUND(Source!AE97*Source!I97, 2))), 2)</f>
        <v>717.24</v>
      </c>
      <c r="T299">
        <f>Source!X97</f>
        <v>22958.78</v>
      </c>
      <c r="U299">
        <f>ROUND((Source!FY97/100)*((ROUND(Source!AF97*Source!I97, 2)+ROUND(Source!AE97*Source!I97, 2))), 2)</f>
        <v>298.73</v>
      </c>
      <c r="V299">
        <f>Source!Y97</f>
        <v>9562.33</v>
      </c>
    </row>
    <row r="300" spans="1:26" ht="14.25" x14ac:dyDescent="0.2">
      <c r="A300" s="52"/>
      <c r="B300" s="52"/>
      <c r="C300" s="52" t="s">
        <v>894</v>
      </c>
      <c r="D300" s="36"/>
      <c r="E300" s="10"/>
      <c r="F300" s="37">
        <f>Source!AO97</f>
        <v>383.66</v>
      </c>
      <c r="G300" s="38" t="str">
        <f>Source!DG97</f>
        <v>)*1,15</v>
      </c>
      <c r="H300" s="37">
        <f>ROUND(Source!AF97*Source!I97, 2)</f>
        <v>716.7</v>
      </c>
      <c r="I300" s="38"/>
      <c r="J300" s="38">
        <f>IF(Source!BA97&lt;&gt; 0, Source!BA97, 1)</f>
        <v>32.01</v>
      </c>
      <c r="K300" s="37">
        <f>Source!S97</f>
        <v>22941.62</v>
      </c>
      <c r="L300" s="39"/>
      <c r="R300">
        <f>H300</f>
        <v>716.7</v>
      </c>
    </row>
    <row r="301" spans="1:26" ht="14.25" x14ac:dyDescent="0.2">
      <c r="A301" s="52"/>
      <c r="B301" s="52"/>
      <c r="C301" s="52" t="s">
        <v>340</v>
      </c>
      <c r="D301" s="36"/>
      <c r="E301" s="10"/>
      <c r="F301" s="37">
        <f>Source!AM97</f>
        <v>0.97</v>
      </c>
      <c r="G301" s="38" t="str">
        <f>Source!DE97</f>
        <v>)*1,25</v>
      </c>
      <c r="H301" s="37">
        <f>ROUND(((((Source!ET97*1.25))-((Source!EU97*1.25)))+Source!AE97)*Source!I97, 2)</f>
        <v>1.98</v>
      </c>
      <c r="I301" s="38"/>
      <c r="J301" s="38">
        <f>IF(Source!BB97&lt;&gt; 0, Source!BB97, 1)</f>
        <v>12.44</v>
      </c>
      <c r="K301" s="37">
        <f>Source!Q97</f>
        <v>24.76</v>
      </c>
      <c r="L301" s="39"/>
    </row>
    <row r="302" spans="1:26" ht="14.25" x14ac:dyDescent="0.2">
      <c r="A302" s="52"/>
      <c r="B302" s="52"/>
      <c r="C302" s="52" t="s">
        <v>895</v>
      </c>
      <c r="D302" s="36"/>
      <c r="E302" s="10"/>
      <c r="F302" s="37">
        <f>Source!AN97</f>
        <v>0.26</v>
      </c>
      <c r="G302" s="38" t="str">
        <f>Source!DF97</f>
        <v>)*1,25</v>
      </c>
      <c r="H302" s="40">
        <f>ROUND(Source!AE97*Source!I97, 2)</f>
        <v>0.54</v>
      </c>
      <c r="I302" s="38"/>
      <c r="J302" s="38">
        <f>IF(Source!BS97&lt;&gt; 0, Source!BS97, 1)</f>
        <v>32.01</v>
      </c>
      <c r="K302" s="40">
        <f>Source!R97</f>
        <v>17.16</v>
      </c>
      <c r="L302" s="39"/>
      <c r="R302">
        <f>H302</f>
        <v>0.54</v>
      </c>
    </row>
    <row r="303" spans="1:26" ht="14.25" x14ac:dyDescent="0.2">
      <c r="A303" s="52"/>
      <c r="B303" s="52"/>
      <c r="C303" s="52" t="s">
        <v>911</v>
      </c>
      <c r="D303" s="36"/>
      <c r="E303" s="10"/>
      <c r="F303" s="37">
        <f>Source!AL97</f>
        <v>157.21</v>
      </c>
      <c r="G303" s="38" t="str">
        <f>Source!DD97</f>
        <v/>
      </c>
      <c r="H303" s="37">
        <f>ROUND(Source!AC97*Source!I97, 2)</f>
        <v>255.37</v>
      </c>
      <c r="I303" s="38"/>
      <c r="J303" s="38">
        <f>IF(Source!BC97&lt;&gt; 0, Source!BC97, 1)</f>
        <v>8.9</v>
      </c>
      <c r="K303" s="37">
        <f>Source!P97</f>
        <v>2272.81</v>
      </c>
      <c r="L303" s="39"/>
    </row>
    <row r="304" spans="1:26" ht="14.25" x14ac:dyDescent="0.2">
      <c r="A304" s="52"/>
      <c r="B304" s="52"/>
      <c r="C304" s="52" t="s">
        <v>896</v>
      </c>
      <c r="D304" s="36" t="s">
        <v>897</v>
      </c>
      <c r="E304" s="10">
        <f>Source!BZ97</f>
        <v>100</v>
      </c>
      <c r="F304" s="54"/>
      <c r="G304" s="38"/>
      <c r="H304" s="37">
        <f>SUM(S299:S307)</f>
        <v>717.24</v>
      </c>
      <c r="I304" s="41"/>
      <c r="J304" s="35">
        <f>Source!AT97</f>
        <v>100</v>
      </c>
      <c r="K304" s="37">
        <f>SUM(T299:T307)</f>
        <v>22958.78</v>
      </c>
      <c r="L304" s="39"/>
    </row>
    <row r="305" spans="1:26" ht="14.25" x14ac:dyDescent="0.2">
      <c r="A305" s="52"/>
      <c r="B305" s="52"/>
      <c r="C305" s="52" t="s">
        <v>898</v>
      </c>
      <c r="D305" s="36" t="s">
        <v>897</v>
      </c>
      <c r="E305" s="10">
        <f>Source!CA97</f>
        <v>49</v>
      </c>
      <c r="F305" s="64" t="str">
        <f>CONCATENATE(" )", Source!DM97, Source!FU97, "=", Source!FY97)</f>
        <v xml:space="preserve"> ))*0,85=41,65</v>
      </c>
      <c r="G305" s="65"/>
      <c r="H305" s="37">
        <f>SUM(U299:U307)</f>
        <v>298.73</v>
      </c>
      <c r="I305" s="41"/>
      <c r="J305" s="35">
        <f>Source!AU97</f>
        <v>41.65</v>
      </c>
      <c r="K305" s="37">
        <f>SUM(V299:V307)</f>
        <v>9562.33</v>
      </c>
      <c r="L305" s="39"/>
    </row>
    <row r="306" spans="1:26" ht="14.25" x14ac:dyDescent="0.2">
      <c r="A306" s="52"/>
      <c r="B306" s="52"/>
      <c r="C306" s="52" t="s">
        <v>899</v>
      </c>
      <c r="D306" s="36" t="s">
        <v>900</v>
      </c>
      <c r="E306" s="10">
        <f>Source!AQ97</f>
        <v>42.3</v>
      </c>
      <c r="F306" s="37"/>
      <c r="G306" s="38" t="str">
        <f>Source!DI97</f>
        <v>)*1,15</v>
      </c>
      <c r="H306" s="37"/>
      <c r="I306" s="38"/>
      <c r="J306" s="38"/>
      <c r="K306" s="37"/>
      <c r="L306" s="49">
        <f>Source!U97</f>
        <v>79.018937999999991</v>
      </c>
    </row>
    <row r="307" spans="1:26" ht="42.75" x14ac:dyDescent="0.2">
      <c r="A307" s="53">
        <v>47.1</v>
      </c>
      <c r="B307" s="53" t="s">
        <v>973</v>
      </c>
      <c r="C307" s="53" t="s">
        <v>974</v>
      </c>
      <c r="D307" s="42" t="str">
        <f>Source!H98</f>
        <v>т</v>
      </c>
      <c r="E307" s="43">
        <f>Source!I98</f>
        <v>-4.7109999999999999E-3</v>
      </c>
      <c r="F307" s="44">
        <f>Source!AL98+Source!AM98+Source!AO98</f>
        <v>25990</v>
      </c>
      <c r="G307" s="50" t="s">
        <v>3</v>
      </c>
      <c r="H307" s="44">
        <f>ROUND(Source!AC98*Source!I98, 2)+ROUND((((Source!ET98)-(Source!EU98))+Source!AE98)*Source!I98, 2)+ROUND(Source!AF98*Source!I98, 2)</f>
        <v>-122.44</v>
      </c>
      <c r="I307" s="45"/>
      <c r="J307" s="45">
        <f>IF(Source!BC98&lt;&gt; 0, Source!BC98, 1)</f>
        <v>8.9</v>
      </c>
      <c r="K307" s="44">
        <f>Source!O98</f>
        <v>-1089.71</v>
      </c>
      <c r="L307" s="48"/>
      <c r="S307">
        <f>ROUND((Source!FX98/100)*((ROUND(Source!AF98*Source!I98, 2)+ROUND(Source!AE98*Source!I98, 2))), 2)</f>
        <v>0</v>
      </c>
      <c r="T307">
        <f>Source!X98</f>
        <v>0</v>
      </c>
      <c r="U307">
        <f>ROUND((Source!FY98/100)*((ROUND(Source!AF98*Source!I98, 2)+ROUND(Source!AE98*Source!I98, 2))), 2)</f>
        <v>0</v>
      </c>
      <c r="V307">
        <f>Source!Y98</f>
        <v>0</v>
      </c>
      <c r="W307">
        <f>IF(Source!BI98&lt;=1,H307, 0)</f>
        <v>-122.44</v>
      </c>
      <c r="X307">
        <f>IF(Source!BI98=2,H307, 0)</f>
        <v>0</v>
      </c>
      <c r="Y307">
        <f>IF(Source!BI98=3,H307, 0)</f>
        <v>0</v>
      </c>
      <c r="Z307">
        <f>IF(Source!BI98=4,H307, 0)</f>
        <v>0</v>
      </c>
    </row>
    <row r="308" spans="1:26" ht="15" x14ac:dyDescent="0.25">
      <c r="G308" s="61">
        <f>H300+H301+H303+H304+H305+SUM(H307:H307)</f>
        <v>1867.58</v>
      </c>
      <c r="H308" s="61"/>
      <c r="J308" s="61">
        <f>K300+K301+K303+K304+K305+SUM(K307:K307)</f>
        <v>56670.590000000004</v>
      </c>
      <c r="K308" s="61"/>
      <c r="L308" s="47">
        <f>Source!U97</f>
        <v>79.018937999999991</v>
      </c>
      <c r="O308" s="29">
        <f>G308</f>
        <v>1867.58</v>
      </c>
      <c r="P308" s="29">
        <f>J308</f>
        <v>56670.590000000004</v>
      </c>
      <c r="Q308" s="29">
        <f>L308</f>
        <v>79.018937999999991</v>
      </c>
      <c r="W308">
        <f>IF(Source!BI97&lt;=1,H300+H301+H303+H304+H305, 0)</f>
        <v>1990.02</v>
      </c>
      <c r="X308">
        <f>IF(Source!BI97=2,H300+H301+H303+H304+H305, 0)</f>
        <v>0</v>
      </c>
      <c r="Y308">
        <f>IF(Source!BI97=3,H300+H301+H303+H304+H305, 0)</f>
        <v>0</v>
      </c>
      <c r="Z308">
        <f>IF(Source!BI97=4,H300+H301+H303+H304+H305, 0)</f>
        <v>0</v>
      </c>
    </row>
    <row r="309" spans="1:26" ht="68.25" x14ac:dyDescent="0.2">
      <c r="A309" s="53">
        <v>48</v>
      </c>
      <c r="B309" s="53" t="s">
        <v>29</v>
      </c>
      <c r="C309" s="53" t="s">
        <v>975</v>
      </c>
      <c r="D309" s="42" t="str">
        <f>Source!H99</f>
        <v>м2</v>
      </c>
      <c r="E309" s="43">
        <f>Source!I99</f>
        <v>187</v>
      </c>
      <c r="F309" s="44">
        <f>Source!AL99</f>
        <v>6.34</v>
      </c>
      <c r="G309" s="45" t="str">
        <f>Source!DD99</f>
        <v/>
      </c>
      <c r="H309" s="44">
        <f>ROUND(Source!AC99*Source!I99, 2)</f>
        <v>1185.58</v>
      </c>
      <c r="I309" s="45" t="str">
        <f>Source!BO99</f>
        <v/>
      </c>
      <c r="J309" s="45">
        <f>IF(Source!BC99&lt;&gt; 0, Source!BC99, 1)</f>
        <v>8.9</v>
      </c>
      <c r="K309" s="44">
        <f>Source!P99</f>
        <v>10551.66</v>
      </c>
      <c r="L309" s="48"/>
      <c r="S309">
        <f>ROUND((Source!FX99/100)*((ROUND(Source!AF99*Source!I99, 2)+ROUND(Source!AE99*Source!I99, 2))), 2)</f>
        <v>0</v>
      </c>
      <c r="T309">
        <f>Source!X99</f>
        <v>0</v>
      </c>
      <c r="U309">
        <f>ROUND((Source!FY99/100)*((ROUND(Source!AF99*Source!I99, 2)+ROUND(Source!AE99*Source!I99, 2))), 2)</f>
        <v>0</v>
      </c>
      <c r="V309">
        <f>Source!Y99</f>
        <v>0</v>
      </c>
    </row>
    <row r="310" spans="1:26" ht="15" x14ac:dyDescent="0.25">
      <c r="G310" s="61">
        <f>H309</f>
        <v>1185.58</v>
      </c>
      <c r="H310" s="61"/>
      <c r="J310" s="61">
        <f>K309</f>
        <v>10551.66</v>
      </c>
      <c r="K310" s="61"/>
      <c r="L310" s="47">
        <f>Source!U99</f>
        <v>0</v>
      </c>
      <c r="O310" s="29">
        <f>G310</f>
        <v>1185.58</v>
      </c>
      <c r="P310" s="29">
        <f>J310</f>
        <v>10551.66</v>
      </c>
      <c r="Q310" s="29">
        <f>L310</f>
        <v>0</v>
      </c>
      <c r="W310">
        <f>IF(Source!BI99&lt;=1,H309, 0)</f>
        <v>1185.58</v>
      </c>
      <c r="X310">
        <f>IF(Source!BI99=2,H309, 0)</f>
        <v>0</v>
      </c>
      <c r="Y310">
        <f>IF(Source!BI99=3,H309, 0)</f>
        <v>0</v>
      </c>
      <c r="Z310">
        <f>IF(Source!BI99=4,H309, 0)</f>
        <v>0</v>
      </c>
    </row>
    <row r="311" spans="1:26" ht="42.75" x14ac:dyDescent="0.2">
      <c r="A311" s="53">
        <v>49</v>
      </c>
      <c r="B311" s="53" t="s">
        <v>29</v>
      </c>
      <c r="C311" s="53" t="s">
        <v>976</v>
      </c>
      <c r="D311" s="42" t="str">
        <f>Source!H100</f>
        <v>ШТ</v>
      </c>
      <c r="E311" s="43">
        <f>Source!I100</f>
        <v>3</v>
      </c>
      <c r="F311" s="44">
        <f>Source!AL100</f>
        <v>61.98</v>
      </c>
      <c r="G311" s="45" t="str">
        <f>Source!DD100</f>
        <v/>
      </c>
      <c r="H311" s="44">
        <f>ROUND(Source!AC100*Source!I100, 2)</f>
        <v>185.94</v>
      </c>
      <c r="I311" s="45" t="str">
        <f>Source!BO100</f>
        <v/>
      </c>
      <c r="J311" s="45">
        <f>IF(Source!BC100&lt;&gt; 0, Source!BC100, 1)</f>
        <v>8.9</v>
      </c>
      <c r="K311" s="44">
        <f>Source!P100</f>
        <v>1654.87</v>
      </c>
      <c r="L311" s="48"/>
      <c r="S311">
        <f>ROUND((Source!FX100/100)*((ROUND(Source!AF100*Source!I100, 2)+ROUND(Source!AE100*Source!I100, 2))), 2)</f>
        <v>0</v>
      </c>
      <c r="T311">
        <f>Source!X100</f>
        <v>0</v>
      </c>
      <c r="U311">
        <f>ROUND((Source!FY100/100)*((ROUND(Source!AF100*Source!I100, 2)+ROUND(Source!AE100*Source!I100, 2))), 2)</f>
        <v>0</v>
      </c>
      <c r="V311">
        <f>Source!Y100</f>
        <v>0</v>
      </c>
    </row>
    <row r="312" spans="1:26" ht="15" x14ac:dyDescent="0.25">
      <c r="G312" s="61">
        <f>H311</f>
        <v>185.94</v>
      </c>
      <c r="H312" s="61"/>
      <c r="J312" s="61">
        <f>K311</f>
        <v>1654.87</v>
      </c>
      <c r="K312" s="61"/>
      <c r="L312" s="47">
        <f>Source!U100</f>
        <v>0</v>
      </c>
      <c r="O312" s="29">
        <f>G312</f>
        <v>185.94</v>
      </c>
      <c r="P312" s="29">
        <f>J312</f>
        <v>1654.87</v>
      </c>
      <c r="Q312" s="29">
        <f>L312</f>
        <v>0</v>
      </c>
      <c r="W312">
        <f>IF(Source!BI100&lt;=1,H311, 0)</f>
        <v>185.94</v>
      </c>
      <c r="X312">
        <f>IF(Source!BI100=2,H311, 0)</f>
        <v>0</v>
      </c>
      <c r="Y312">
        <f>IF(Source!BI100=3,H311, 0)</f>
        <v>0</v>
      </c>
      <c r="Z312">
        <f>IF(Source!BI100=4,H311, 0)</f>
        <v>0</v>
      </c>
    </row>
    <row r="313" spans="1:26" ht="42.75" x14ac:dyDescent="0.2">
      <c r="A313" s="52">
        <v>50</v>
      </c>
      <c r="B313" s="52" t="s">
        <v>977</v>
      </c>
      <c r="C313" s="52" t="str">
        <f>Source!G101</f>
        <v>Окраска водно-дисперсионными акриловыми составами улучшенная: по штукатурке стен</v>
      </c>
      <c r="D313" s="36" t="str">
        <f>Source!H101</f>
        <v>100 м2</v>
      </c>
      <c r="E313" s="10">
        <f>Source!I101</f>
        <v>5.98</v>
      </c>
      <c r="F313" s="37">
        <f>Source!AL101+Source!AM101+Source!AO101</f>
        <v>1033.6799999999998</v>
      </c>
      <c r="G313" s="38"/>
      <c r="H313" s="37"/>
      <c r="I313" s="38" t="str">
        <f>Source!BO101</f>
        <v/>
      </c>
      <c r="J313" s="38"/>
      <c r="K313" s="37"/>
      <c r="L313" s="39"/>
      <c r="S313">
        <f>ROUND((Source!FX101/100)*((ROUND(Source!AF101*Source!I101, 2)+ROUND(Source!AE101*Source!I101, 2))), 2)</f>
        <v>2632.87</v>
      </c>
      <c r="T313">
        <f>Source!X101</f>
        <v>84278.31</v>
      </c>
      <c r="U313">
        <f>ROUND((Source!FY101/100)*((ROUND(Source!AF101*Source!I101, 2)+ROUND(Source!AE101*Source!I101, 2))), 2)</f>
        <v>1096.5899999999999</v>
      </c>
      <c r="V313">
        <f>Source!Y101</f>
        <v>35101.919999999998</v>
      </c>
    </row>
    <row r="314" spans="1:26" x14ac:dyDescent="0.2">
      <c r="C314" s="28" t="str">
        <f>"Объем: "&amp;Source!I101&amp;"=598/"&amp;"100"</f>
        <v>Объем: 5,98=598/100</v>
      </c>
    </row>
    <row r="315" spans="1:26" ht="14.25" x14ac:dyDescent="0.2">
      <c r="A315" s="52"/>
      <c r="B315" s="52"/>
      <c r="C315" s="52" t="s">
        <v>894</v>
      </c>
      <c r="D315" s="36"/>
      <c r="E315" s="10"/>
      <c r="F315" s="37">
        <f>Source!AO101</f>
        <v>380.71</v>
      </c>
      <c r="G315" s="38" t="str">
        <f>Source!DG101</f>
        <v>)*1,15</v>
      </c>
      <c r="H315" s="37">
        <f>ROUND(Source!AF101*Source!I101, 2)</f>
        <v>2618.16</v>
      </c>
      <c r="I315" s="38"/>
      <c r="J315" s="38">
        <f>IF(Source!BA101&lt;&gt; 0, Source!BA101, 1)</f>
        <v>32.01</v>
      </c>
      <c r="K315" s="37">
        <f>Source!S101</f>
        <v>83807.42</v>
      </c>
      <c r="L315" s="39"/>
      <c r="R315">
        <f>H315</f>
        <v>2618.16</v>
      </c>
    </row>
    <row r="316" spans="1:26" ht="14.25" x14ac:dyDescent="0.2">
      <c r="A316" s="52"/>
      <c r="B316" s="52"/>
      <c r="C316" s="52" t="s">
        <v>340</v>
      </c>
      <c r="D316" s="36"/>
      <c r="E316" s="10"/>
      <c r="F316" s="37">
        <f>Source!AM101</f>
        <v>10.41</v>
      </c>
      <c r="G316" s="38" t="str">
        <f>Source!DE101</f>
        <v>)*1,25</v>
      </c>
      <c r="H316" s="37">
        <f>ROUND(((((Source!ET101*1.25))-((Source!EU101*1.25)))+Source!AE101)*Source!I101, 2)</f>
        <v>77.8</v>
      </c>
      <c r="I316" s="38"/>
      <c r="J316" s="38">
        <f>IF(Source!BB101&lt;&gt; 0, Source!BB101, 1)</f>
        <v>12.44</v>
      </c>
      <c r="K316" s="37">
        <f>Source!Q101</f>
        <v>967.54</v>
      </c>
      <c r="L316" s="39"/>
    </row>
    <row r="317" spans="1:26" ht="14.25" x14ac:dyDescent="0.2">
      <c r="A317" s="52"/>
      <c r="B317" s="52"/>
      <c r="C317" s="52" t="s">
        <v>895</v>
      </c>
      <c r="D317" s="36"/>
      <c r="E317" s="10"/>
      <c r="F317" s="37">
        <f>Source!AN101</f>
        <v>1.97</v>
      </c>
      <c r="G317" s="38" t="str">
        <f>Source!DF101</f>
        <v>)*1,25</v>
      </c>
      <c r="H317" s="40">
        <f>ROUND(Source!AE101*Source!I101, 2)</f>
        <v>14.71</v>
      </c>
      <c r="I317" s="38"/>
      <c r="J317" s="38">
        <f>IF(Source!BS101&lt;&gt; 0, Source!BS101, 1)</f>
        <v>32.01</v>
      </c>
      <c r="K317" s="40">
        <f>Source!R101</f>
        <v>470.89</v>
      </c>
      <c r="L317" s="39"/>
      <c r="R317">
        <f>H317</f>
        <v>14.71</v>
      </c>
    </row>
    <row r="318" spans="1:26" ht="14.25" x14ac:dyDescent="0.2">
      <c r="A318" s="52"/>
      <c r="B318" s="52"/>
      <c r="C318" s="52" t="s">
        <v>911</v>
      </c>
      <c r="D318" s="36"/>
      <c r="E318" s="10"/>
      <c r="F318" s="37">
        <f>Source!AL101</f>
        <v>642.55999999999995</v>
      </c>
      <c r="G318" s="38" t="str">
        <f>Source!DD101</f>
        <v/>
      </c>
      <c r="H318" s="37">
        <f>ROUND(Source!AC101*Source!I101, 2)</f>
        <v>3842.51</v>
      </c>
      <c r="I318" s="38"/>
      <c r="J318" s="38">
        <f>IF(Source!BC101&lt;&gt; 0, Source!BC101, 1)</f>
        <v>8.9</v>
      </c>
      <c r="K318" s="37">
        <f>Source!P101</f>
        <v>34198.33</v>
      </c>
      <c r="L318" s="39"/>
    </row>
    <row r="319" spans="1:26" ht="14.25" x14ac:dyDescent="0.2">
      <c r="A319" s="52"/>
      <c r="B319" s="52"/>
      <c r="C319" s="52" t="s">
        <v>896</v>
      </c>
      <c r="D319" s="36" t="s">
        <v>897</v>
      </c>
      <c r="E319" s="10">
        <f>Source!BZ101</f>
        <v>100</v>
      </c>
      <c r="F319" s="54"/>
      <c r="G319" s="38"/>
      <c r="H319" s="37">
        <f>SUM(S313:S322)</f>
        <v>2632.87</v>
      </c>
      <c r="I319" s="41"/>
      <c r="J319" s="35">
        <f>Source!AT101</f>
        <v>100</v>
      </c>
      <c r="K319" s="37">
        <f>SUM(T313:T322)</f>
        <v>84278.31</v>
      </c>
      <c r="L319" s="39"/>
    </row>
    <row r="320" spans="1:26" ht="14.25" x14ac:dyDescent="0.2">
      <c r="A320" s="52"/>
      <c r="B320" s="52"/>
      <c r="C320" s="52" t="s">
        <v>898</v>
      </c>
      <c r="D320" s="36" t="s">
        <v>897</v>
      </c>
      <c r="E320" s="10">
        <f>Source!CA101</f>
        <v>49</v>
      </c>
      <c r="F320" s="64" t="str">
        <f>CONCATENATE(" )", Source!DM101, Source!FU101, "=", Source!FY101)</f>
        <v xml:space="preserve"> ))*0,85=41,65</v>
      </c>
      <c r="G320" s="65"/>
      <c r="H320" s="37">
        <f>SUM(U313:U322)</f>
        <v>1096.5899999999999</v>
      </c>
      <c r="I320" s="41"/>
      <c r="J320" s="35">
        <f>Source!AU101</f>
        <v>41.65</v>
      </c>
      <c r="K320" s="37">
        <f>SUM(V313:V322)</f>
        <v>35101.919999999998</v>
      </c>
      <c r="L320" s="39"/>
    </row>
    <row r="321" spans="1:32" ht="14.25" x14ac:dyDescent="0.2">
      <c r="A321" s="52"/>
      <c r="B321" s="52"/>
      <c r="C321" s="52" t="s">
        <v>899</v>
      </c>
      <c r="D321" s="36" t="s">
        <v>900</v>
      </c>
      <c r="E321" s="10">
        <f>Source!AQ101</f>
        <v>43.56</v>
      </c>
      <c r="F321" s="37"/>
      <c r="G321" s="38" t="str">
        <f>Source!DI101</f>
        <v>)*1,15</v>
      </c>
      <c r="H321" s="37"/>
      <c r="I321" s="38"/>
      <c r="J321" s="38"/>
      <c r="K321" s="37"/>
      <c r="L321" s="49">
        <f>Source!U101</f>
        <v>299.56212000000005</v>
      </c>
    </row>
    <row r="322" spans="1:32" ht="42.75" x14ac:dyDescent="0.2">
      <c r="A322" s="53">
        <v>50.1</v>
      </c>
      <c r="B322" s="53" t="s">
        <v>978</v>
      </c>
      <c r="C322" s="53" t="s">
        <v>979</v>
      </c>
      <c r="D322" s="42" t="str">
        <f>Source!H102</f>
        <v>т</v>
      </c>
      <c r="E322" s="43">
        <f>Source!I102</f>
        <v>-0.30497999999999997</v>
      </c>
      <c r="F322" s="44">
        <f>Source!AL102+Source!AM102+Source!AO102</f>
        <v>11397.1</v>
      </c>
      <c r="G322" s="50" t="s">
        <v>3</v>
      </c>
      <c r="H322" s="44">
        <f>ROUND(Source!AC102*Source!I102, 2)+ROUND((((Source!ET102)-(Source!EU102))+Source!AE102)*Source!I102, 2)+ROUND(Source!AF102*Source!I102, 2)</f>
        <v>-3475.89</v>
      </c>
      <c r="I322" s="45"/>
      <c r="J322" s="45">
        <f>IF(Source!BC102&lt;&gt; 0, Source!BC102, 1)</f>
        <v>8.9</v>
      </c>
      <c r="K322" s="44">
        <f>Source!O102</f>
        <v>-30935.4</v>
      </c>
      <c r="L322" s="48"/>
      <c r="S322">
        <f>ROUND((Source!FX102/100)*((ROUND(Source!AF102*Source!I102, 2)+ROUND(Source!AE102*Source!I102, 2))), 2)</f>
        <v>0</v>
      </c>
      <c r="T322">
        <f>Source!X102</f>
        <v>0</v>
      </c>
      <c r="U322">
        <f>ROUND((Source!FY102/100)*((ROUND(Source!AF102*Source!I102, 2)+ROUND(Source!AE102*Source!I102, 2))), 2)</f>
        <v>0</v>
      </c>
      <c r="V322">
        <f>Source!Y102</f>
        <v>0</v>
      </c>
      <c r="W322">
        <f>IF(Source!BI102&lt;=1,H322, 0)</f>
        <v>-3475.89</v>
      </c>
      <c r="X322">
        <f>IF(Source!BI102=2,H322, 0)</f>
        <v>0</v>
      </c>
      <c r="Y322">
        <f>IF(Source!BI102=3,H322, 0)</f>
        <v>0</v>
      </c>
      <c r="Z322">
        <f>IF(Source!BI102=4,H322, 0)</f>
        <v>0</v>
      </c>
    </row>
    <row r="323" spans="1:32" ht="15" x14ac:dyDescent="0.25">
      <c r="G323" s="61">
        <f>H315+H316+H318+H319+H320+SUM(H322:H322)</f>
        <v>6792.0400000000009</v>
      </c>
      <c r="H323" s="61"/>
      <c r="J323" s="61">
        <f>K315+K316+K318+K319+K320+SUM(K322:K322)</f>
        <v>207418.11999999997</v>
      </c>
      <c r="K323" s="61"/>
      <c r="L323" s="47">
        <f>Source!U101</f>
        <v>299.56212000000005</v>
      </c>
      <c r="O323" s="29">
        <f>G323</f>
        <v>6792.0400000000009</v>
      </c>
      <c r="P323" s="29">
        <f>J323</f>
        <v>207418.11999999997</v>
      </c>
      <c r="Q323" s="29">
        <f>L323</f>
        <v>299.56212000000005</v>
      </c>
      <c r="W323">
        <f>IF(Source!BI101&lt;=1,H315+H316+H318+H319+H320, 0)</f>
        <v>10267.93</v>
      </c>
      <c r="X323">
        <f>IF(Source!BI101=2,H315+H316+H318+H319+H320, 0)</f>
        <v>0</v>
      </c>
      <c r="Y323">
        <f>IF(Source!BI101=3,H315+H316+H318+H319+H320, 0)</f>
        <v>0</v>
      </c>
      <c r="Z323">
        <f>IF(Source!BI101=4,H315+H316+H318+H319+H320, 0)</f>
        <v>0</v>
      </c>
    </row>
    <row r="324" spans="1:32" ht="54" x14ac:dyDescent="0.2">
      <c r="A324" s="52">
        <v>51</v>
      </c>
      <c r="B324" s="52" t="s">
        <v>29</v>
      </c>
      <c r="C324" s="52" t="s">
        <v>980</v>
      </c>
      <c r="D324" s="36" t="str">
        <f>Source!H103</f>
        <v>кг</v>
      </c>
      <c r="E324" s="10">
        <f>Source!I103</f>
        <v>179.4</v>
      </c>
      <c r="F324" s="37">
        <f>Source!AL103</f>
        <v>9.33</v>
      </c>
      <c r="G324" s="38" t="str">
        <f>Source!DD103</f>
        <v/>
      </c>
      <c r="H324" s="37">
        <f>ROUND(Source!AC103*Source!I103, 2)</f>
        <v>1673.8</v>
      </c>
      <c r="I324" s="38" t="str">
        <f>Source!BO103</f>
        <v/>
      </c>
      <c r="J324" s="38">
        <f>IF(Source!BC103&lt;&gt; 0, Source!BC103, 1)</f>
        <v>8.9</v>
      </c>
      <c r="K324" s="37">
        <f>Source!P103</f>
        <v>14896.84</v>
      </c>
      <c r="L324" s="39"/>
      <c r="S324">
        <f>ROUND((Source!FX103/100)*((ROUND(Source!AF103*Source!I103, 2)+ROUND(Source!AE103*Source!I103, 2))), 2)</f>
        <v>0</v>
      </c>
      <c r="T324">
        <f>Source!X103</f>
        <v>0</v>
      </c>
      <c r="U324">
        <f>ROUND((Source!FY103/100)*((ROUND(Source!AF103*Source!I103, 2)+ROUND(Source!AE103*Source!I103, 2))), 2)</f>
        <v>0</v>
      </c>
      <c r="V324">
        <f>Source!Y103</f>
        <v>0</v>
      </c>
    </row>
    <row r="325" spans="1:32" x14ac:dyDescent="0.2">
      <c r="A325" s="31"/>
      <c r="B325" s="31"/>
      <c r="C325" s="32" t="str">
        <f>"Объем: "&amp;Source!I103&amp;"="&amp;Source!I101&amp;"*"&amp;"30"</f>
        <v>Объем: 179,4=5,98*30</v>
      </c>
      <c r="D325" s="31"/>
      <c r="E325" s="31"/>
      <c r="F325" s="31"/>
      <c r="G325" s="31"/>
      <c r="H325" s="31"/>
      <c r="I325" s="31"/>
      <c r="J325" s="31"/>
      <c r="K325" s="31"/>
      <c r="L325" s="31"/>
    </row>
    <row r="326" spans="1:32" ht="15" x14ac:dyDescent="0.25">
      <c r="G326" s="61">
        <f>H324</f>
        <v>1673.8</v>
      </c>
      <c r="H326" s="61"/>
      <c r="J326" s="61">
        <f>K324</f>
        <v>14896.84</v>
      </c>
      <c r="K326" s="61"/>
      <c r="L326" s="47">
        <f>Source!U103</f>
        <v>0</v>
      </c>
      <c r="O326" s="29">
        <f>G326</f>
        <v>1673.8</v>
      </c>
      <c r="P326" s="29">
        <f>J326</f>
        <v>14896.84</v>
      </c>
      <c r="Q326" s="29">
        <f>L326</f>
        <v>0</v>
      </c>
      <c r="W326">
        <f>IF(Source!BI103&lt;=1,H324, 0)</f>
        <v>1673.8</v>
      </c>
      <c r="X326">
        <f>IF(Source!BI103=2,H324, 0)</f>
        <v>0</v>
      </c>
      <c r="Y326">
        <f>IF(Source!BI103=3,H324, 0)</f>
        <v>0</v>
      </c>
      <c r="Z326">
        <f>IF(Source!BI103=4,H324, 0)</f>
        <v>0</v>
      </c>
    </row>
    <row r="327" spans="1:32" ht="54" x14ac:dyDescent="0.2">
      <c r="A327" s="52">
        <v>52</v>
      </c>
      <c r="B327" s="52" t="s">
        <v>29</v>
      </c>
      <c r="C327" s="52" t="s">
        <v>947</v>
      </c>
      <c r="D327" s="36" t="str">
        <f>Source!H104</f>
        <v>кг</v>
      </c>
      <c r="E327" s="10">
        <f>Source!I104</f>
        <v>119.6</v>
      </c>
      <c r="F327" s="37">
        <f>Source!AL104</f>
        <v>9.0399999999999991</v>
      </c>
      <c r="G327" s="38" t="str">
        <f>Source!DD104</f>
        <v/>
      </c>
      <c r="H327" s="37">
        <f>ROUND(Source!AC104*Source!I104, 2)</f>
        <v>1081.18</v>
      </c>
      <c r="I327" s="38" t="str">
        <f>Source!BO104</f>
        <v/>
      </c>
      <c r="J327" s="38">
        <f>IF(Source!BC104&lt;&gt; 0, Source!BC104, 1)</f>
        <v>8.9</v>
      </c>
      <c r="K327" s="37">
        <f>Source!P104</f>
        <v>9622.5400000000009</v>
      </c>
      <c r="L327" s="39"/>
      <c r="S327">
        <f>ROUND((Source!FX104/100)*((ROUND(Source!AF104*Source!I104, 2)+ROUND(Source!AE104*Source!I104, 2))), 2)</f>
        <v>0</v>
      </c>
      <c r="T327">
        <f>Source!X104</f>
        <v>0</v>
      </c>
      <c r="U327">
        <f>ROUND((Source!FY104/100)*((ROUND(Source!AF104*Source!I104, 2)+ROUND(Source!AE104*Source!I104, 2))), 2)</f>
        <v>0</v>
      </c>
      <c r="V327">
        <f>Source!Y104</f>
        <v>0</v>
      </c>
    </row>
    <row r="328" spans="1:32" x14ac:dyDescent="0.2">
      <c r="A328" s="31"/>
      <c r="B328" s="31"/>
      <c r="C328" s="32" t="str">
        <f>"Объем: "&amp;Source!I104&amp;"="&amp;Source!I101&amp;"*"&amp;"20"</f>
        <v>Объем: 119,6=5,98*20</v>
      </c>
      <c r="D328" s="31"/>
      <c r="E328" s="31"/>
      <c r="F328" s="31"/>
      <c r="G328" s="31"/>
      <c r="H328" s="31"/>
      <c r="I328" s="31"/>
      <c r="J328" s="31"/>
      <c r="K328" s="31"/>
      <c r="L328" s="31"/>
    </row>
    <row r="329" spans="1:32" ht="15" x14ac:dyDescent="0.25">
      <c r="G329" s="61">
        <f>H327</f>
        <v>1081.18</v>
      </c>
      <c r="H329" s="61"/>
      <c r="J329" s="61">
        <f>K327</f>
        <v>9622.5400000000009</v>
      </c>
      <c r="K329" s="61"/>
      <c r="L329" s="47">
        <f>Source!U104</f>
        <v>0</v>
      </c>
      <c r="O329" s="29">
        <f>G329</f>
        <v>1081.18</v>
      </c>
      <c r="P329" s="29">
        <f>J329</f>
        <v>9622.5400000000009</v>
      </c>
      <c r="Q329" s="29">
        <f>L329</f>
        <v>0</v>
      </c>
      <c r="W329">
        <f>IF(Source!BI104&lt;=1,H327, 0)</f>
        <v>1081.18</v>
      </c>
      <c r="X329">
        <f>IF(Source!BI104=2,H327, 0)</f>
        <v>0</v>
      </c>
      <c r="Y329">
        <f>IF(Source!BI104=3,H327, 0)</f>
        <v>0</v>
      </c>
      <c r="Z329">
        <f>IF(Source!BI104=4,H327, 0)</f>
        <v>0</v>
      </c>
    </row>
    <row r="330" spans="1:32" ht="42.75" x14ac:dyDescent="0.2">
      <c r="A330" s="52">
        <v>53</v>
      </c>
      <c r="B330" s="52" t="s">
        <v>29</v>
      </c>
      <c r="C330" s="52" t="s">
        <v>981</v>
      </c>
      <c r="D330" s="36" t="str">
        <f>Source!H105</f>
        <v>кг</v>
      </c>
      <c r="E330" s="10">
        <f>Source!I105</f>
        <v>304.98</v>
      </c>
      <c r="F330" s="37">
        <f>Source!AL105</f>
        <v>2.38</v>
      </c>
      <c r="G330" s="38" t="str">
        <f>Source!DD105</f>
        <v/>
      </c>
      <c r="H330" s="37">
        <f>ROUND(Source!AC105*Source!I105, 2)</f>
        <v>725.85</v>
      </c>
      <c r="I330" s="38" t="str">
        <f>Source!BO105</f>
        <v/>
      </c>
      <c r="J330" s="38">
        <f>IF(Source!BC105&lt;&gt; 0, Source!BC105, 1)</f>
        <v>8.9</v>
      </c>
      <c r="K330" s="37">
        <f>Source!P105</f>
        <v>6460.09</v>
      </c>
      <c r="L330" s="39"/>
      <c r="S330">
        <f>ROUND((Source!FX105/100)*((ROUND(Source!AF105*Source!I105, 2)+ROUND(Source!AE105*Source!I105, 2))), 2)</f>
        <v>0</v>
      </c>
      <c r="T330">
        <f>Source!X105</f>
        <v>0</v>
      </c>
      <c r="U330">
        <f>ROUND((Source!FY105/100)*((ROUND(Source!AF105*Source!I105, 2)+ROUND(Source!AE105*Source!I105, 2))), 2)</f>
        <v>0</v>
      </c>
      <c r="V330">
        <f>Source!Y105</f>
        <v>0</v>
      </c>
    </row>
    <row r="331" spans="1:32" x14ac:dyDescent="0.2">
      <c r="A331" s="31"/>
      <c r="B331" s="31"/>
      <c r="C331" s="32" t="str">
        <f>"Объем: "&amp;Source!I105&amp;"="&amp;Source!I101&amp;"*"&amp;"51"</f>
        <v>Объем: 304,98=5,98*51</v>
      </c>
      <c r="D331" s="31"/>
      <c r="E331" s="31"/>
      <c r="F331" s="31"/>
      <c r="G331" s="31"/>
      <c r="H331" s="31"/>
      <c r="I331" s="31"/>
      <c r="J331" s="31"/>
      <c r="K331" s="31"/>
      <c r="L331" s="31"/>
    </row>
    <row r="332" spans="1:32" ht="15" x14ac:dyDescent="0.25">
      <c r="G332" s="61">
        <f>H330</f>
        <v>725.85</v>
      </c>
      <c r="H332" s="61"/>
      <c r="J332" s="61">
        <f>K330</f>
        <v>6460.09</v>
      </c>
      <c r="K332" s="61"/>
      <c r="L332" s="47">
        <f>Source!U105</f>
        <v>0</v>
      </c>
      <c r="O332" s="29">
        <f>G332</f>
        <v>725.85</v>
      </c>
      <c r="P332" s="29">
        <f>J332</f>
        <v>6460.09</v>
      </c>
      <c r="Q332" s="29">
        <f>L332</f>
        <v>0</v>
      </c>
      <c r="W332">
        <f>IF(Source!BI105&lt;=1,H330, 0)</f>
        <v>725.85</v>
      </c>
      <c r="X332">
        <f>IF(Source!BI105=2,H330, 0)</f>
        <v>0</v>
      </c>
      <c r="Y332">
        <f>IF(Source!BI105=3,H330, 0)</f>
        <v>0</v>
      </c>
      <c r="Z332">
        <f>IF(Source!BI105=4,H330, 0)</f>
        <v>0</v>
      </c>
    </row>
    <row r="334" spans="1:32" ht="15" x14ac:dyDescent="0.25">
      <c r="A334" s="63" t="str">
        <f>CONCATENATE("Итого по разделу: ",IF(Source!G107&lt;&gt;"Новый раздел", Source!G107, ""))</f>
        <v>Итого по разделу: Ремонт помещений высотой 2,9 м</v>
      </c>
      <c r="B334" s="63"/>
      <c r="C334" s="63"/>
      <c r="D334" s="63"/>
      <c r="E334" s="63"/>
      <c r="F334" s="63"/>
      <c r="G334" s="62">
        <f>SUM(O39:O333)</f>
        <v>160535.99999999997</v>
      </c>
      <c r="H334" s="62"/>
      <c r="I334" s="34"/>
      <c r="J334" s="62">
        <f>SUM(P39:P333)</f>
        <v>2752592.6199999996</v>
      </c>
      <c r="K334" s="62"/>
      <c r="L334" s="47">
        <f>SUM(Q39:Q333)</f>
        <v>2630.6589516999998</v>
      </c>
      <c r="AF334" s="56" t="str">
        <f>CONCATENATE("Итого по разделу: ",IF(Source!G107&lt;&gt;"Новый раздел", Source!G107, ""))</f>
        <v>Итого по разделу: Ремонт помещений высотой 2,9 м</v>
      </c>
    </row>
    <row r="338" spans="1:26" ht="16.5" x14ac:dyDescent="0.25">
      <c r="A338" s="66" t="str">
        <f>CONCATENATE("Раздел: ",IF(Source!G137&lt;&gt;"Новый раздел", Source!G137, ""))</f>
        <v>Раздел: Ремонт системы отопления</v>
      </c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</row>
    <row r="339" spans="1:26" ht="28.5" x14ac:dyDescent="0.2">
      <c r="A339" s="52">
        <v>54</v>
      </c>
      <c r="B339" s="52" t="s">
        <v>982</v>
      </c>
      <c r="C339" s="52" t="str">
        <f>Source!G141</f>
        <v>Демонтаж: радиаторов весом до 80 кг</v>
      </c>
      <c r="D339" s="36" t="str">
        <f>Source!H141</f>
        <v>100 ШТ</v>
      </c>
      <c r="E339" s="10">
        <f>Source!I141</f>
        <v>0.48</v>
      </c>
      <c r="F339" s="37">
        <f>Source!AL141+Source!AM141+Source!AO141</f>
        <v>935.72</v>
      </c>
      <c r="G339" s="38"/>
      <c r="H339" s="37"/>
      <c r="I339" s="38" t="str">
        <f>Source!BO141</f>
        <v/>
      </c>
      <c r="J339" s="38"/>
      <c r="K339" s="37"/>
      <c r="L339" s="39"/>
      <c r="S339">
        <f>ROUND((Source!FX141/100)*((ROUND(Source!AF141*Source!I141, 2)+ROUND(Source!AE141*Source!I141, 2))), 2)</f>
        <v>374.15</v>
      </c>
      <c r="T339">
        <f>Source!X141</f>
        <v>11976.37</v>
      </c>
      <c r="U339">
        <f>ROUND((Source!FY141/100)*((ROUND(Source!AF141*Source!I141, 2)+ROUND(Source!AE141*Source!I141, 2))), 2)</f>
        <v>189.23</v>
      </c>
      <c r="V339">
        <f>Source!Y141</f>
        <v>6057.01</v>
      </c>
    </row>
    <row r="340" spans="1:26" x14ac:dyDescent="0.2">
      <c r="C340" s="28" t="str">
        <f>"Объем: "&amp;Source!I141&amp;"=48/"&amp;"100"</f>
        <v>Объем: 0,48=48/100</v>
      </c>
    </row>
    <row r="341" spans="1:26" ht="14.25" x14ac:dyDescent="0.2">
      <c r="A341" s="52"/>
      <c r="B341" s="52"/>
      <c r="C341" s="52" t="s">
        <v>894</v>
      </c>
      <c r="D341" s="36"/>
      <c r="E341" s="10"/>
      <c r="F341" s="37">
        <f>Source!AO141</f>
        <v>865.7</v>
      </c>
      <c r="G341" s="38" t="str">
        <f>Source!DG141</f>
        <v/>
      </c>
      <c r="H341" s="37">
        <f>ROUND(Source!AF141*Source!I141, 2)</f>
        <v>415.54</v>
      </c>
      <c r="I341" s="38"/>
      <c r="J341" s="38">
        <f>IF(Source!BA141&lt;&gt; 0, Source!BA141, 1)</f>
        <v>32.01</v>
      </c>
      <c r="K341" s="37">
        <f>Source!S141</f>
        <v>13301.31</v>
      </c>
      <c r="L341" s="39"/>
      <c r="R341">
        <f>H341</f>
        <v>415.54</v>
      </c>
    </row>
    <row r="342" spans="1:26" ht="14.25" x14ac:dyDescent="0.2">
      <c r="A342" s="52"/>
      <c r="B342" s="52"/>
      <c r="C342" s="52" t="s">
        <v>340</v>
      </c>
      <c r="D342" s="36"/>
      <c r="E342" s="10"/>
      <c r="F342" s="37">
        <f>Source!AM141</f>
        <v>70.02</v>
      </c>
      <c r="G342" s="38" t="str">
        <f>Source!DE141</f>
        <v/>
      </c>
      <c r="H342" s="37">
        <f>ROUND((((Source!ET141)-(Source!EU141))+Source!AE141)*Source!I141, 2)</f>
        <v>33.61</v>
      </c>
      <c r="I342" s="38"/>
      <c r="J342" s="38">
        <f>IF(Source!BB141&lt;&gt; 0, Source!BB141, 1)</f>
        <v>12.44</v>
      </c>
      <c r="K342" s="37">
        <f>Source!Q141</f>
        <v>418.1</v>
      </c>
      <c r="L342" s="39"/>
    </row>
    <row r="343" spans="1:26" ht="14.25" x14ac:dyDescent="0.2">
      <c r="A343" s="52"/>
      <c r="B343" s="52"/>
      <c r="C343" s="52" t="s">
        <v>895</v>
      </c>
      <c r="D343" s="36"/>
      <c r="E343" s="10"/>
      <c r="F343" s="37">
        <f>Source!AN141</f>
        <v>30.24</v>
      </c>
      <c r="G343" s="38" t="str">
        <f>Source!DF141</f>
        <v/>
      </c>
      <c r="H343" s="40">
        <f>ROUND(Source!AE141*Source!I141, 2)</f>
        <v>14.52</v>
      </c>
      <c r="I343" s="38"/>
      <c r="J343" s="38">
        <f>IF(Source!BS141&lt;&gt; 0, Source!BS141, 1)</f>
        <v>32.01</v>
      </c>
      <c r="K343" s="40">
        <f>Source!R141</f>
        <v>464.63</v>
      </c>
      <c r="L343" s="39"/>
      <c r="R343">
        <f>H343</f>
        <v>14.52</v>
      </c>
    </row>
    <row r="344" spans="1:26" ht="14.25" x14ac:dyDescent="0.2">
      <c r="A344" s="52"/>
      <c r="B344" s="52"/>
      <c r="C344" s="52" t="s">
        <v>896</v>
      </c>
      <c r="D344" s="36" t="s">
        <v>897</v>
      </c>
      <c r="E344" s="10">
        <f>Source!BZ141</f>
        <v>87</v>
      </c>
      <c r="F344" s="54"/>
      <c r="G344" s="38"/>
      <c r="H344" s="37">
        <f>SUM(S339:S346)</f>
        <v>374.15</v>
      </c>
      <c r="I344" s="41"/>
      <c r="J344" s="35">
        <f>Source!AT141</f>
        <v>87</v>
      </c>
      <c r="K344" s="37">
        <f>SUM(T339:T346)</f>
        <v>11976.37</v>
      </c>
      <c r="L344" s="39"/>
    </row>
    <row r="345" spans="1:26" ht="14.25" x14ac:dyDescent="0.2">
      <c r="A345" s="52"/>
      <c r="B345" s="52"/>
      <c r="C345" s="52" t="s">
        <v>898</v>
      </c>
      <c r="D345" s="36" t="s">
        <v>897</v>
      </c>
      <c r="E345" s="10">
        <f>Source!CA141</f>
        <v>44</v>
      </c>
      <c r="F345" s="54"/>
      <c r="G345" s="38"/>
      <c r="H345" s="37">
        <f>SUM(U339:U346)</f>
        <v>189.23</v>
      </c>
      <c r="I345" s="41"/>
      <c r="J345" s="35">
        <f>Source!AU141</f>
        <v>44</v>
      </c>
      <c r="K345" s="37">
        <f>SUM(V339:V346)</f>
        <v>6057.01</v>
      </c>
      <c r="L345" s="39"/>
    </row>
    <row r="346" spans="1:26" ht="14.25" x14ac:dyDescent="0.2">
      <c r="A346" s="53"/>
      <c r="B346" s="53"/>
      <c r="C346" s="53" t="s">
        <v>899</v>
      </c>
      <c r="D346" s="42" t="s">
        <v>900</v>
      </c>
      <c r="E346" s="43">
        <f>Source!AQ141</f>
        <v>110</v>
      </c>
      <c r="F346" s="44"/>
      <c r="G346" s="45" t="str">
        <f>Source!DI141</f>
        <v/>
      </c>
      <c r="H346" s="44"/>
      <c r="I346" s="45"/>
      <c r="J346" s="45"/>
      <c r="K346" s="44"/>
      <c r="L346" s="46">
        <f>Source!U141</f>
        <v>52.8</v>
      </c>
    </row>
    <row r="347" spans="1:26" ht="15" x14ac:dyDescent="0.25">
      <c r="G347" s="61">
        <f>H341+H342+H344+H345</f>
        <v>1012.53</v>
      </c>
      <c r="H347" s="61"/>
      <c r="J347" s="61">
        <f>K341+K342+K344+K345</f>
        <v>31752.79</v>
      </c>
      <c r="K347" s="61"/>
      <c r="L347" s="47">
        <f>Source!U141</f>
        <v>52.8</v>
      </c>
      <c r="O347" s="29">
        <f>G347</f>
        <v>1012.53</v>
      </c>
      <c r="P347" s="29">
        <f>J347</f>
        <v>31752.79</v>
      </c>
      <c r="Q347" s="29">
        <f>L347</f>
        <v>52.8</v>
      </c>
      <c r="W347">
        <f>IF(Source!BI141&lt;=1,H341+H342+H344+H345, 0)</f>
        <v>1012.53</v>
      </c>
      <c r="X347">
        <f>IF(Source!BI141=2,H341+H342+H344+H345, 0)</f>
        <v>0</v>
      </c>
      <c r="Y347">
        <f>IF(Source!BI141=3,H341+H342+H344+H345, 0)</f>
        <v>0</v>
      </c>
      <c r="Z347">
        <f>IF(Source!BI141=4,H341+H342+H344+H345, 0)</f>
        <v>0</v>
      </c>
    </row>
    <row r="348" spans="1:26" ht="42.75" x14ac:dyDescent="0.2">
      <c r="A348" s="52">
        <v>55</v>
      </c>
      <c r="B348" s="52" t="s">
        <v>983</v>
      </c>
      <c r="C348" s="52" t="str">
        <f>Source!G142</f>
        <v>Разборка трубопроводов из водогазопроводных труб диаметром: свыше 40 до 50 мм</v>
      </c>
      <c r="D348" s="36" t="str">
        <f>Source!H142</f>
        <v>100 м</v>
      </c>
      <c r="E348" s="10">
        <f>Source!I142</f>
        <v>5.8</v>
      </c>
      <c r="F348" s="37">
        <f>Source!AL142+Source!AM142+Source!AO142</f>
        <v>480.63</v>
      </c>
      <c r="G348" s="38"/>
      <c r="H348" s="37"/>
      <c r="I348" s="38" t="str">
        <f>Source!BO142</f>
        <v/>
      </c>
      <c r="J348" s="38"/>
      <c r="K348" s="37"/>
      <c r="L348" s="39"/>
      <c r="S348">
        <f>ROUND((Source!FX142/100)*((ROUND(Source!AF142*Source!I142, 2)+ROUND(Source!AE142*Source!I142, 2))), 2)</f>
        <v>2145.66</v>
      </c>
      <c r="T348">
        <f>Source!X142</f>
        <v>68682.59</v>
      </c>
      <c r="U348">
        <f>ROUND((Source!FY142/100)*((ROUND(Source!AF142*Source!I142, 2)+ROUND(Source!AE142*Source!I142, 2))), 2)</f>
        <v>1085.1600000000001</v>
      </c>
      <c r="V348">
        <f>Source!Y142</f>
        <v>34736.019999999997</v>
      </c>
    </row>
    <row r="349" spans="1:26" x14ac:dyDescent="0.2">
      <c r="C349" s="28" t="str">
        <f>"Объем: "&amp;Source!I142&amp;"=580/"&amp;"100"</f>
        <v>Объем: 5,8=580/100</v>
      </c>
    </row>
    <row r="350" spans="1:26" ht="14.25" x14ac:dyDescent="0.2">
      <c r="A350" s="52"/>
      <c r="B350" s="52"/>
      <c r="C350" s="52" t="s">
        <v>894</v>
      </c>
      <c r="D350" s="36"/>
      <c r="E350" s="10"/>
      <c r="F350" s="37">
        <f>Source!AO142</f>
        <v>423.87</v>
      </c>
      <c r="G350" s="38" t="str">
        <f>Source!DG142</f>
        <v/>
      </c>
      <c r="H350" s="37">
        <f>ROUND(Source!AF142*Source!I142, 2)</f>
        <v>2458.4499999999998</v>
      </c>
      <c r="I350" s="38"/>
      <c r="J350" s="38">
        <f>IF(Source!BA142&lt;&gt; 0, Source!BA142, 1)</f>
        <v>32.01</v>
      </c>
      <c r="K350" s="37">
        <f>Source!S142</f>
        <v>78694.86</v>
      </c>
      <c r="L350" s="39"/>
      <c r="R350">
        <f>H350</f>
        <v>2458.4499999999998</v>
      </c>
    </row>
    <row r="351" spans="1:26" ht="14.25" x14ac:dyDescent="0.2">
      <c r="A351" s="52"/>
      <c r="B351" s="52"/>
      <c r="C351" s="52" t="s">
        <v>340</v>
      </c>
      <c r="D351" s="36"/>
      <c r="E351" s="10"/>
      <c r="F351" s="37">
        <f>Source!AM142</f>
        <v>9.01</v>
      </c>
      <c r="G351" s="38" t="str">
        <f>Source!DE142</f>
        <v/>
      </c>
      <c r="H351" s="37">
        <f>ROUND((((Source!ET142)-(Source!EU142))+Source!AE142)*Source!I142, 2)</f>
        <v>52.26</v>
      </c>
      <c r="I351" s="38"/>
      <c r="J351" s="38">
        <f>IF(Source!BB142&lt;&gt; 0, Source!BB142, 1)</f>
        <v>12.44</v>
      </c>
      <c r="K351" s="37">
        <f>Source!Q142</f>
        <v>650.09</v>
      </c>
      <c r="L351" s="39"/>
    </row>
    <row r="352" spans="1:26" ht="14.25" x14ac:dyDescent="0.2">
      <c r="A352" s="52"/>
      <c r="B352" s="52"/>
      <c r="C352" s="52" t="s">
        <v>895</v>
      </c>
      <c r="D352" s="36"/>
      <c r="E352" s="10"/>
      <c r="F352" s="37">
        <f>Source!AN142</f>
        <v>1.35</v>
      </c>
      <c r="G352" s="38" t="str">
        <f>Source!DF142</f>
        <v/>
      </c>
      <c r="H352" s="40">
        <f>ROUND(Source!AE142*Source!I142, 2)</f>
        <v>7.83</v>
      </c>
      <c r="I352" s="38"/>
      <c r="J352" s="38">
        <f>IF(Source!BS142&lt;&gt; 0, Source!BS142, 1)</f>
        <v>32.01</v>
      </c>
      <c r="K352" s="40">
        <f>Source!R142</f>
        <v>250.64</v>
      </c>
      <c r="L352" s="39"/>
      <c r="R352">
        <f>H352</f>
        <v>7.83</v>
      </c>
    </row>
    <row r="353" spans="1:26" ht="14.25" x14ac:dyDescent="0.2">
      <c r="A353" s="52"/>
      <c r="B353" s="52"/>
      <c r="C353" s="52" t="s">
        <v>911</v>
      </c>
      <c r="D353" s="36"/>
      <c r="E353" s="10"/>
      <c r="F353" s="37">
        <f>Source!AL142</f>
        <v>47.75</v>
      </c>
      <c r="G353" s="38" t="str">
        <f>Source!DD142</f>
        <v/>
      </c>
      <c r="H353" s="37">
        <f>ROUND(Source!AC142*Source!I142, 2)</f>
        <v>276.95</v>
      </c>
      <c r="I353" s="38"/>
      <c r="J353" s="38">
        <f>IF(Source!BC142&lt;&gt; 0, Source!BC142, 1)</f>
        <v>8.9</v>
      </c>
      <c r="K353" s="37">
        <f>Source!P142</f>
        <v>2464.86</v>
      </c>
      <c r="L353" s="39"/>
    </row>
    <row r="354" spans="1:26" ht="14.25" x14ac:dyDescent="0.2">
      <c r="A354" s="52"/>
      <c r="B354" s="52"/>
      <c r="C354" s="52" t="s">
        <v>896</v>
      </c>
      <c r="D354" s="36" t="s">
        <v>897</v>
      </c>
      <c r="E354" s="10">
        <f>Source!BZ142</f>
        <v>87</v>
      </c>
      <c r="F354" s="54"/>
      <c r="G354" s="38"/>
      <c r="H354" s="37">
        <f>SUM(S348:S357)</f>
        <v>2145.66</v>
      </c>
      <c r="I354" s="41"/>
      <c r="J354" s="35">
        <f>Source!AT142</f>
        <v>87</v>
      </c>
      <c r="K354" s="37">
        <f>SUM(T348:T357)</f>
        <v>68682.59</v>
      </c>
      <c r="L354" s="39"/>
    </row>
    <row r="355" spans="1:26" ht="14.25" x14ac:dyDescent="0.2">
      <c r="A355" s="52"/>
      <c r="B355" s="52"/>
      <c r="C355" s="52" t="s">
        <v>898</v>
      </c>
      <c r="D355" s="36" t="s">
        <v>897</v>
      </c>
      <c r="E355" s="10">
        <f>Source!CA142</f>
        <v>44</v>
      </c>
      <c r="F355" s="54"/>
      <c r="G355" s="38"/>
      <c r="H355" s="37">
        <f>SUM(U348:U357)</f>
        <v>1085.1600000000001</v>
      </c>
      <c r="I355" s="41"/>
      <c r="J355" s="35">
        <f>Source!AU142</f>
        <v>44</v>
      </c>
      <c r="K355" s="37">
        <f>SUM(V348:V357)</f>
        <v>34736.019999999997</v>
      </c>
      <c r="L355" s="39"/>
    </row>
    <row r="356" spans="1:26" ht="14.25" x14ac:dyDescent="0.2">
      <c r="A356" s="52"/>
      <c r="B356" s="52"/>
      <c r="C356" s="52" t="s">
        <v>899</v>
      </c>
      <c r="D356" s="36" t="s">
        <v>900</v>
      </c>
      <c r="E356" s="10">
        <f>Source!AQ142</f>
        <v>51.44</v>
      </c>
      <c r="F356" s="37"/>
      <c r="G356" s="38" t="str">
        <f>Source!DI142</f>
        <v/>
      </c>
      <c r="H356" s="37"/>
      <c r="I356" s="38"/>
      <c r="J356" s="38"/>
      <c r="K356" s="37"/>
      <c r="L356" s="49">
        <f>Source!U142</f>
        <v>298.35199999999998</v>
      </c>
    </row>
    <row r="357" spans="1:26" ht="28.5" x14ac:dyDescent="0.2">
      <c r="A357" s="53">
        <v>55.1</v>
      </c>
      <c r="B357" s="53" t="s">
        <v>114</v>
      </c>
      <c r="C357" s="53" t="str">
        <f>Source!G143</f>
        <v>Строительный мусор и масса возвратных материалов</v>
      </c>
      <c r="D357" s="42" t="str">
        <f>Source!H143</f>
        <v>т</v>
      </c>
      <c r="E357" s="43">
        <f>Source!I143</f>
        <v>1.6819999999999999</v>
      </c>
      <c r="F357" s="44">
        <f>Source!AL143+Source!AM143+Source!AO143</f>
        <v>0</v>
      </c>
      <c r="G357" s="50" t="s">
        <v>3</v>
      </c>
      <c r="H357" s="44">
        <f>ROUND(Source!AC143*Source!I143, 2)+ROUND((((Source!ET143)-(Source!EU143))+Source!AE143)*Source!I143, 2)+ROUND(Source!AF143*Source!I143, 2)</f>
        <v>0</v>
      </c>
      <c r="I357" s="45"/>
      <c r="J357" s="45">
        <f>IF(Source!BC143&lt;&gt; 0, Source!BC143, 1)</f>
        <v>8.9</v>
      </c>
      <c r="K357" s="44">
        <f>Source!O143</f>
        <v>0</v>
      </c>
      <c r="L357" s="48"/>
      <c r="S357">
        <f>ROUND((Source!FX143/100)*((ROUND(Source!AF143*Source!I143, 2)+ROUND(Source!AE143*Source!I143, 2))), 2)</f>
        <v>0</v>
      </c>
      <c r="T357">
        <f>Source!X143</f>
        <v>0</v>
      </c>
      <c r="U357">
        <f>ROUND((Source!FY143/100)*((ROUND(Source!AF143*Source!I143, 2)+ROUND(Source!AE143*Source!I143, 2))), 2)</f>
        <v>0</v>
      </c>
      <c r="V357">
        <f>Source!Y143</f>
        <v>0</v>
      </c>
      <c r="W357">
        <f>IF(Source!BI143&lt;=1,H357, 0)</f>
        <v>0</v>
      </c>
      <c r="X357">
        <f>IF(Source!BI143=2,H357, 0)</f>
        <v>0</v>
      </c>
      <c r="Y357">
        <f>IF(Source!BI143=3,H357, 0)</f>
        <v>0</v>
      </c>
      <c r="Z357">
        <f>IF(Source!BI143=4,H357, 0)</f>
        <v>0</v>
      </c>
    </row>
    <row r="358" spans="1:26" ht="15" x14ac:dyDescent="0.25">
      <c r="G358" s="61">
        <f>H350+H351+H353+H354+H355+SUM(H357:H357)</f>
        <v>6018.48</v>
      </c>
      <c r="H358" s="61"/>
      <c r="J358" s="61">
        <f>K350+K351+K353+K354+K355+SUM(K357:K357)</f>
        <v>185228.41999999998</v>
      </c>
      <c r="K358" s="61"/>
      <c r="L358" s="47">
        <f>Source!U142</f>
        <v>298.35199999999998</v>
      </c>
      <c r="O358" s="29">
        <f>G358</f>
        <v>6018.48</v>
      </c>
      <c r="P358" s="29">
        <f>J358</f>
        <v>185228.41999999998</v>
      </c>
      <c r="Q358" s="29">
        <f>L358</f>
        <v>298.35199999999998</v>
      </c>
      <c r="W358">
        <f>IF(Source!BI142&lt;=1,H350+H351+H353+H354+H355, 0)</f>
        <v>6018.48</v>
      </c>
      <c r="X358">
        <f>IF(Source!BI142=2,H350+H351+H353+H354+H355, 0)</f>
        <v>0</v>
      </c>
      <c r="Y358">
        <f>IF(Source!BI142=3,H350+H351+H353+H354+H355, 0)</f>
        <v>0</v>
      </c>
      <c r="Z358">
        <f>IF(Source!BI142=4,H350+H351+H353+H354+H355, 0)</f>
        <v>0</v>
      </c>
    </row>
    <row r="359" spans="1:26" ht="57" x14ac:dyDescent="0.2">
      <c r="A359" s="52">
        <v>56</v>
      </c>
      <c r="B359" s="52" t="s">
        <v>984</v>
      </c>
      <c r="C359" s="52" t="str">
        <f>Source!G144</f>
        <v>Прокладка трубопроводов отопления при коллекторной системе из многослойных металлополимерных труб диаметром: 50 мм</v>
      </c>
      <c r="D359" s="36" t="str">
        <f>Source!H144</f>
        <v>100 м</v>
      </c>
      <c r="E359" s="10">
        <f>Source!I144</f>
        <v>5.8</v>
      </c>
      <c r="F359" s="37">
        <f>Source!AL144+Source!AM144+Source!AO144</f>
        <v>661.25</v>
      </c>
      <c r="G359" s="38"/>
      <c r="H359" s="37"/>
      <c r="I359" s="38" t="str">
        <f>Source!BO144</f>
        <v/>
      </c>
      <c r="J359" s="38"/>
      <c r="K359" s="37"/>
      <c r="L359" s="39"/>
      <c r="S359">
        <f>ROUND((Source!FX144/100)*((ROUND(Source!AF144*Source!I144, 2)+ROUND(Source!AE144*Source!I144, 2))), 2)</f>
        <v>4276.42</v>
      </c>
      <c r="T359">
        <f>Source!X144</f>
        <v>136888.15</v>
      </c>
      <c r="U359">
        <f>ROUND((Source!FY144/100)*((ROUND(Source!AF144*Source!I144, 2)+ROUND(Source!AE144*Source!I144, 2))), 2)</f>
        <v>2162.9499999999998</v>
      </c>
      <c r="V359">
        <f>Source!Y144</f>
        <v>69235.990000000005</v>
      </c>
    </row>
    <row r="360" spans="1:26" x14ac:dyDescent="0.2">
      <c r="C360" s="28" t="str">
        <f>"Объем: "&amp;Source!I144&amp;"=580/"&amp;"100"</f>
        <v>Объем: 5,8=580/100</v>
      </c>
    </row>
    <row r="361" spans="1:26" ht="14.25" x14ac:dyDescent="0.2">
      <c r="A361" s="52"/>
      <c r="B361" s="52"/>
      <c r="C361" s="52" t="s">
        <v>894</v>
      </c>
      <c r="D361" s="36"/>
      <c r="E361" s="10"/>
      <c r="F361" s="37">
        <f>Source!AO144</f>
        <v>524.1</v>
      </c>
      <c r="G361" s="38" t="str">
        <f>Source!DG144</f>
        <v>)*1,15</v>
      </c>
      <c r="H361" s="37">
        <f>ROUND(Source!AF144*Source!I144, 2)</f>
        <v>3495.78</v>
      </c>
      <c r="I361" s="38"/>
      <c r="J361" s="38">
        <f>IF(Source!BA144&lt;&gt; 0, Source!BA144, 1)</f>
        <v>32.01</v>
      </c>
      <c r="K361" s="37">
        <f>Source!S144</f>
        <v>111899.79</v>
      </c>
      <c r="L361" s="39"/>
      <c r="R361">
        <f>H361</f>
        <v>3495.78</v>
      </c>
    </row>
    <row r="362" spans="1:26" ht="14.25" x14ac:dyDescent="0.2">
      <c r="A362" s="52"/>
      <c r="B362" s="52"/>
      <c r="C362" s="52" t="s">
        <v>340</v>
      </c>
      <c r="D362" s="36"/>
      <c r="E362" s="10"/>
      <c r="F362" s="37">
        <f>Source!AM144</f>
        <v>30.4</v>
      </c>
      <c r="G362" s="38" t="str">
        <f>Source!DE144</f>
        <v>)*1,25</v>
      </c>
      <c r="H362" s="37">
        <f>ROUND(((((Source!ET144*1.25))-((Source!EU144*1.25)))+Source!AE144)*Source!I144, 2)</f>
        <v>220.43</v>
      </c>
      <c r="I362" s="38"/>
      <c r="J362" s="38">
        <f>IF(Source!BB144&lt;&gt; 0, Source!BB144, 1)</f>
        <v>12.44</v>
      </c>
      <c r="K362" s="37">
        <f>Source!Q144</f>
        <v>2742.7</v>
      </c>
      <c r="L362" s="39"/>
    </row>
    <row r="363" spans="1:26" ht="14.25" x14ac:dyDescent="0.2">
      <c r="A363" s="52"/>
      <c r="B363" s="52"/>
      <c r="C363" s="52" t="s">
        <v>895</v>
      </c>
      <c r="D363" s="36"/>
      <c r="E363" s="10"/>
      <c r="F363" s="37">
        <f>Source!AN144</f>
        <v>5.3</v>
      </c>
      <c r="G363" s="38" t="str">
        <f>Source!DF144</f>
        <v>)*1,25</v>
      </c>
      <c r="H363" s="40">
        <f>ROUND(Source!AE144*Source!I144, 2)</f>
        <v>38.450000000000003</v>
      </c>
      <c r="I363" s="38"/>
      <c r="J363" s="38">
        <f>IF(Source!BS144&lt;&gt; 0, Source!BS144, 1)</f>
        <v>32.01</v>
      </c>
      <c r="K363" s="40">
        <f>Source!R144</f>
        <v>1230.9100000000001</v>
      </c>
      <c r="L363" s="39"/>
      <c r="R363">
        <f>H363</f>
        <v>38.450000000000003</v>
      </c>
    </row>
    <row r="364" spans="1:26" ht="14.25" x14ac:dyDescent="0.2">
      <c r="A364" s="52"/>
      <c r="B364" s="52"/>
      <c r="C364" s="52" t="s">
        <v>911</v>
      </c>
      <c r="D364" s="36"/>
      <c r="E364" s="10"/>
      <c r="F364" s="37">
        <f>Source!AL144</f>
        <v>106.75</v>
      </c>
      <c r="G364" s="38" t="str">
        <f>Source!DD144</f>
        <v/>
      </c>
      <c r="H364" s="37">
        <f>ROUND(Source!AC144*Source!I144, 2)</f>
        <v>619.15</v>
      </c>
      <c r="I364" s="38"/>
      <c r="J364" s="38">
        <f>IF(Source!BC144&lt;&gt; 0, Source!BC144, 1)</f>
        <v>8.9</v>
      </c>
      <c r="K364" s="37">
        <f>Source!P144</f>
        <v>5510.44</v>
      </c>
      <c r="L364" s="39"/>
    </row>
    <row r="365" spans="1:26" ht="14.25" x14ac:dyDescent="0.2">
      <c r="A365" s="52"/>
      <c r="B365" s="52"/>
      <c r="C365" s="52" t="s">
        <v>896</v>
      </c>
      <c r="D365" s="36" t="s">
        <v>897</v>
      </c>
      <c r="E365" s="10">
        <f>Source!BZ144</f>
        <v>121</v>
      </c>
      <c r="F365" s="54"/>
      <c r="G365" s="38"/>
      <c r="H365" s="37">
        <f>SUM(S359:S367)</f>
        <v>4276.42</v>
      </c>
      <c r="I365" s="41"/>
      <c r="J365" s="35">
        <f>Source!AT144</f>
        <v>121</v>
      </c>
      <c r="K365" s="37">
        <f>SUM(T359:T367)</f>
        <v>136888.15</v>
      </c>
      <c r="L365" s="39"/>
    </row>
    <row r="366" spans="1:26" ht="14.25" x14ac:dyDescent="0.2">
      <c r="A366" s="52"/>
      <c r="B366" s="52"/>
      <c r="C366" s="52" t="s">
        <v>898</v>
      </c>
      <c r="D366" s="36" t="s">
        <v>897</v>
      </c>
      <c r="E366" s="10">
        <f>Source!CA144</f>
        <v>72</v>
      </c>
      <c r="F366" s="64" t="str">
        <f>CONCATENATE(" )", Source!DM144, Source!FU144, "=", Source!FY144)</f>
        <v xml:space="preserve"> ))*0,85=61,2</v>
      </c>
      <c r="G366" s="65"/>
      <c r="H366" s="37">
        <f>SUM(U359:U367)</f>
        <v>2162.9499999999998</v>
      </c>
      <c r="I366" s="41"/>
      <c r="J366" s="35">
        <f>Source!AU144</f>
        <v>61.2</v>
      </c>
      <c r="K366" s="37">
        <f>SUM(V359:V367)</f>
        <v>69235.990000000005</v>
      </c>
      <c r="L366" s="39"/>
    </row>
    <row r="367" spans="1:26" ht="14.25" x14ac:dyDescent="0.2">
      <c r="A367" s="53"/>
      <c r="B367" s="53"/>
      <c r="C367" s="53" t="s">
        <v>899</v>
      </c>
      <c r="D367" s="42" t="s">
        <v>900</v>
      </c>
      <c r="E367" s="43">
        <f>Source!AQ144</f>
        <v>54.48</v>
      </c>
      <c r="F367" s="44"/>
      <c r="G367" s="45" t="str">
        <f>Source!DI144</f>
        <v>)*1,15</v>
      </c>
      <c r="H367" s="44"/>
      <c r="I367" s="45"/>
      <c r="J367" s="45"/>
      <c r="K367" s="44"/>
      <c r="L367" s="46">
        <f>Source!U144</f>
        <v>363.38159999999993</v>
      </c>
    </row>
    <row r="368" spans="1:26" ht="15" x14ac:dyDescent="0.25">
      <c r="G368" s="61">
        <f>H361+H362+H364+H365+H366</f>
        <v>10774.73</v>
      </c>
      <c r="H368" s="61"/>
      <c r="J368" s="61">
        <f>K361+K362+K364+K365+K366</f>
        <v>326277.07</v>
      </c>
      <c r="K368" s="61"/>
      <c r="L368" s="47">
        <f>Source!U144</f>
        <v>363.38159999999993</v>
      </c>
      <c r="O368" s="29">
        <f>G368</f>
        <v>10774.73</v>
      </c>
      <c r="P368" s="29">
        <f>J368</f>
        <v>326277.07</v>
      </c>
      <c r="Q368" s="29">
        <f>L368</f>
        <v>363.38159999999993</v>
      </c>
      <c r="W368">
        <f>IF(Source!BI144&lt;=1,H361+H362+H364+H365+H366, 0)</f>
        <v>10774.73</v>
      </c>
      <c r="X368">
        <f>IF(Source!BI144=2,H361+H362+H364+H365+H366, 0)</f>
        <v>0</v>
      </c>
      <c r="Y368">
        <f>IF(Source!BI144=3,H361+H362+H364+H365+H366, 0)</f>
        <v>0</v>
      </c>
      <c r="Z368">
        <f>IF(Source!BI144=4,H361+H362+H364+H365+H366, 0)</f>
        <v>0</v>
      </c>
    </row>
    <row r="369" spans="1:26" ht="54" x14ac:dyDescent="0.2">
      <c r="A369" s="53">
        <v>57</v>
      </c>
      <c r="B369" s="53" t="s">
        <v>29</v>
      </c>
      <c r="C369" s="53" t="s">
        <v>985</v>
      </c>
      <c r="D369" s="42" t="str">
        <f>Source!H145</f>
        <v>м</v>
      </c>
      <c r="E369" s="43">
        <f>Source!I145</f>
        <v>571.29999999999995</v>
      </c>
      <c r="F369" s="44">
        <f>Source!AL145</f>
        <v>43.260000000000005</v>
      </c>
      <c r="G369" s="45" t="str">
        <f>Source!DD145</f>
        <v/>
      </c>
      <c r="H369" s="44">
        <f>ROUND(Source!AC145*Source!I145, 2)</f>
        <v>24714.44</v>
      </c>
      <c r="I369" s="45" t="str">
        <f>Source!BO145</f>
        <v/>
      </c>
      <c r="J369" s="45">
        <f>IF(Source!BC145&lt;&gt; 0, Source!BC145, 1)</f>
        <v>8.9</v>
      </c>
      <c r="K369" s="44">
        <f>Source!P145</f>
        <v>219958.5</v>
      </c>
      <c r="L369" s="48"/>
      <c r="S369">
        <f>ROUND((Source!FX145/100)*((ROUND(Source!AF145*Source!I145, 2)+ROUND(Source!AE145*Source!I145, 2))), 2)</f>
        <v>0</v>
      </c>
      <c r="T369">
        <f>Source!X145</f>
        <v>0</v>
      </c>
      <c r="U369">
        <f>ROUND((Source!FY145/100)*((ROUND(Source!AF145*Source!I145, 2)+ROUND(Source!AE145*Source!I145, 2))), 2)</f>
        <v>0</v>
      </c>
      <c r="V369">
        <f>Source!Y145</f>
        <v>0</v>
      </c>
    </row>
    <row r="370" spans="1:26" ht="15" x14ac:dyDescent="0.25">
      <c r="G370" s="61">
        <f>H369</f>
        <v>24714.44</v>
      </c>
      <c r="H370" s="61"/>
      <c r="J370" s="61">
        <f>K369</f>
        <v>219958.5</v>
      </c>
      <c r="K370" s="61"/>
      <c r="L370" s="47">
        <f>Source!U145</f>
        <v>0</v>
      </c>
      <c r="O370" s="29">
        <f>G370</f>
        <v>24714.44</v>
      </c>
      <c r="P370" s="29">
        <f>J370</f>
        <v>219958.5</v>
      </c>
      <c r="Q370" s="29">
        <f>L370</f>
        <v>0</v>
      </c>
      <c r="W370">
        <f>IF(Source!BI145&lt;=1,H369, 0)</f>
        <v>24714.44</v>
      </c>
      <c r="X370">
        <f>IF(Source!BI145=2,H369, 0)</f>
        <v>0</v>
      </c>
      <c r="Y370">
        <f>IF(Source!BI145=3,H369, 0)</f>
        <v>0</v>
      </c>
      <c r="Z370">
        <f>IF(Source!BI145=4,H369, 0)</f>
        <v>0</v>
      </c>
    </row>
    <row r="371" spans="1:26" ht="42.75" x14ac:dyDescent="0.2">
      <c r="A371" s="53">
        <v>58</v>
      </c>
      <c r="B371" s="53" t="s">
        <v>29</v>
      </c>
      <c r="C371" s="53" t="s">
        <v>986</v>
      </c>
      <c r="D371" s="42" t="str">
        <f>Source!H146</f>
        <v>шт.</v>
      </c>
      <c r="E371" s="43">
        <f>Source!I146</f>
        <v>98</v>
      </c>
      <c r="F371" s="44">
        <f>Source!AL146</f>
        <v>9.0299999999999994</v>
      </c>
      <c r="G371" s="45" t="str">
        <f>Source!DD146</f>
        <v/>
      </c>
      <c r="H371" s="44">
        <f>ROUND(Source!AC146*Source!I146, 2)</f>
        <v>884.94</v>
      </c>
      <c r="I371" s="45" t="str">
        <f>Source!BO146</f>
        <v/>
      </c>
      <c r="J371" s="45">
        <f>IF(Source!BC146&lt;&gt; 0, Source!BC146, 1)</f>
        <v>8.9</v>
      </c>
      <c r="K371" s="44">
        <f>Source!P146</f>
        <v>7875.97</v>
      </c>
      <c r="L371" s="48"/>
      <c r="S371">
        <f>ROUND((Source!FX146/100)*((ROUND(Source!AF146*Source!I146, 2)+ROUND(Source!AE146*Source!I146, 2))), 2)</f>
        <v>0</v>
      </c>
      <c r="T371">
        <f>Source!X146</f>
        <v>0</v>
      </c>
      <c r="U371">
        <f>ROUND((Source!FY146/100)*((ROUND(Source!AF146*Source!I146, 2)+ROUND(Source!AE146*Source!I146, 2))), 2)</f>
        <v>0</v>
      </c>
      <c r="V371">
        <f>Source!Y146</f>
        <v>0</v>
      </c>
    </row>
    <row r="372" spans="1:26" ht="15" x14ac:dyDescent="0.25">
      <c r="G372" s="61">
        <f>H371</f>
        <v>884.94</v>
      </c>
      <c r="H372" s="61"/>
      <c r="J372" s="61">
        <f>K371</f>
        <v>7875.97</v>
      </c>
      <c r="K372" s="61"/>
      <c r="L372" s="47">
        <f>Source!U146</f>
        <v>0</v>
      </c>
      <c r="O372" s="29">
        <f>G372</f>
        <v>884.94</v>
      </c>
      <c r="P372" s="29">
        <f>J372</f>
        <v>7875.97</v>
      </c>
      <c r="Q372" s="29">
        <f>L372</f>
        <v>0</v>
      </c>
      <c r="W372">
        <f>IF(Source!BI146&lt;=1,H371, 0)</f>
        <v>884.94</v>
      </c>
      <c r="X372">
        <f>IF(Source!BI146=2,H371, 0)</f>
        <v>0</v>
      </c>
      <c r="Y372">
        <f>IF(Source!BI146=3,H371, 0)</f>
        <v>0</v>
      </c>
      <c r="Z372">
        <f>IF(Source!BI146=4,H371, 0)</f>
        <v>0</v>
      </c>
    </row>
    <row r="373" spans="1:26" ht="42.75" x14ac:dyDescent="0.2">
      <c r="A373" s="53">
        <v>59</v>
      </c>
      <c r="B373" s="53" t="s">
        <v>29</v>
      </c>
      <c r="C373" s="53" t="s">
        <v>987</v>
      </c>
      <c r="D373" s="42" t="str">
        <f>Source!H147</f>
        <v>шт.</v>
      </c>
      <c r="E373" s="43">
        <f>Source!I147</f>
        <v>50</v>
      </c>
      <c r="F373" s="44">
        <f>Source!AL147</f>
        <v>6.82</v>
      </c>
      <c r="G373" s="45" t="str">
        <f>Source!DD147</f>
        <v/>
      </c>
      <c r="H373" s="44">
        <f>ROUND(Source!AC147*Source!I147, 2)</f>
        <v>341</v>
      </c>
      <c r="I373" s="45" t="str">
        <f>Source!BO147</f>
        <v/>
      </c>
      <c r="J373" s="45">
        <f>IF(Source!BC147&lt;&gt; 0, Source!BC147, 1)</f>
        <v>8.9</v>
      </c>
      <c r="K373" s="44">
        <f>Source!P147</f>
        <v>3034.9</v>
      </c>
      <c r="L373" s="48"/>
      <c r="S373">
        <f>ROUND((Source!FX147/100)*((ROUND(Source!AF147*Source!I147, 2)+ROUND(Source!AE147*Source!I147, 2))), 2)</f>
        <v>0</v>
      </c>
      <c r="T373">
        <f>Source!X147</f>
        <v>0</v>
      </c>
      <c r="U373">
        <f>ROUND((Source!FY147/100)*((ROUND(Source!AF147*Source!I147, 2)+ROUND(Source!AE147*Source!I147, 2))), 2)</f>
        <v>0</v>
      </c>
      <c r="V373">
        <f>Source!Y147</f>
        <v>0</v>
      </c>
    </row>
    <row r="374" spans="1:26" ht="15" x14ac:dyDescent="0.25">
      <c r="G374" s="61">
        <f>H373</f>
        <v>341</v>
      </c>
      <c r="H374" s="61"/>
      <c r="J374" s="61">
        <f>K373</f>
        <v>3034.9</v>
      </c>
      <c r="K374" s="61"/>
      <c r="L374" s="47">
        <f>Source!U147</f>
        <v>0</v>
      </c>
      <c r="O374" s="29">
        <f>G374</f>
        <v>341</v>
      </c>
      <c r="P374" s="29">
        <f>J374</f>
        <v>3034.9</v>
      </c>
      <c r="Q374" s="29">
        <f>L374</f>
        <v>0</v>
      </c>
      <c r="W374">
        <f>IF(Source!BI147&lt;=1,H373, 0)</f>
        <v>341</v>
      </c>
      <c r="X374">
        <f>IF(Source!BI147=2,H373, 0)</f>
        <v>0</v>
      </c>
      <c r="Y374">
        <f>IF(Source!BI147=3,H373, 0)</f>
        <v>0</v>
      </c>
      <c r="Z374">
        <f>IF(Source!BI147=4,H373, 0)</f>
        <v>0</v>
      </c>
    </row>
    <row r="375" spans="1:26" ht="42.75" x14ac:dyDescent="0.2">
      <c r="A375" s="53">
        <v>60</v>
      </c>
      <c r="B375" s="53" t="s">
        <v>29</v>
      </c>
      <c r="C375" s="53" t="s">
        <v>988</v>
      </c>
      <c r="D375" s="42" t="str">
        <f>Source!H148</f>
        <v>шт.</v>
      </c>
      <c r="E375" s="43">
        <f>Source!I148</f>
        <v>56</v>
      </c>
      <c r="F375" s="44">
        <f>Source!AL148</f>
        <v>36.93</v>
      </c>
      <c r="G375" s="45" t="str">
        <f>Source!DD148</f>
        <v/>
      </c>
      <c r="H375" s="44">
        <f>ROUND(Source!AC148*Source!I148, 2)</f>
        <v>2068.08</v>
      </c>
      <c r="I375" s="45" t="str">
        <f>Source!BO148</f>
        <v/>
      </c>
      <c r="J375" s="45">
        <f>IF(Source!BC148&lt;&gt; 0, Source!BC148, 1)</f>
        <v>8.9</v>
      </c>
      <c r="K375" s="44">
        <f>Source!P148</f>
        <v>18405.91</v>
      </c>
      <c r="L375" s="48"/>
      <c r="S375">
        <f>ROUND((Source!FX148/100)*((ROUND(Source!AF148*Source!I148, 2)+ROUND(Source!AE148*Source!I148, 2))), 2)</f>
        <v>0</v>
      </c>
      <c r="T375">
        <f>Source!X148</f>
        <v>0</v>
      </c>
      <c r="U375">
        <f>ROUND((Source!FY148/100)*((ROUND(Source!AF148*Source!I148, 2)+ROUND(Source!AE148*Source!I148, 2))), 2)</f>
        <v>0</v>
      </c>
      <c r="V375">
        <f>Source!Y148</f>
        <v>0</v>
      </c>
    </row>
    <row r="376" spans="1:26" ht="15" x14ac:dyDescent="0.25">
      <c r="G376" s="61">
        <f>H375</f>
        <v>2068.08</v>
      </c>
      <c r="H376" s="61"/>
      <c r="J376" s="61">
        <f>K375</f>
        <v>18405.91</v>
      </c>
      <c r="K376" s="61"/>
      <c r="L376" s="47">
        <f>Source!U148</f>
        <v>0</v>
      </c>
      <c r="O376" s="29">
        <f>G376</f>
        <v>2068.08</v>
      </c>
      <c r="P376" s="29">
        <f>J376</f>
        <v>18405.91</v>
      </c>
      <c r="Q376" s="29">
        <f>L376</f>
        <v>0</v>
      </c>
      <c r="W376">
        <f>IF(Source!BI148&lt;=1,H375, 0)</f>
        <v>2068.08</v>
      </c>
      <c r="X376">
        <f>IF(Source!BI148=2,H375, 0)</f>
        <v>0</v>
      </c>
      <c r="Y376">
        <f>IF(Source!BI148=3,H375, 0)</f>
        <v>0</v>
      </c>
      <c r="Z376">
        <f>IF(Source!BI148=4,H375, 0)</f>
        <v>0</v>
      </c>
    </row>
    <row r="377" spans="1:26" ht="54" x14ac:dyDescent="0.2">
      <c r="A377" s="53">
        <v>61</v>
      </c>
      <c r="B377" s="53" t="s">
        <v>29</v>
      </c>
      <c r="C377" s="53" t="s">
        <v>989</v>
      </c>
      <c r="D377" s="42" t="str">
        <f>Source!H149</f>
        <v>шт.</v>
      </c>
      <c r="E377" s="43">
        <f>Source!I149</f>
        <v>65</v>
      </c>
      <c r="F377" s="44">
        <f>Source!AL149</f>
        <v>53.749999999999993</v>
      </c>
      <c r="G377" s="45" t="str">
        <f>Source!DD149</f>
        <v/>
      </c>
      <c r="H377" s="44">
        <f>ROUND(Source!AC149*Source!I149, 2)</f>
        <v>3493.75</v>
      </c>
      <c r="I377" s="45" t="str">
        <f>Source!BO149</f>
        <v/>
      </c>
      <c r="J377" s="45">
        <f>IF(Source!BC149&lt;&gt; 0, Source!BC149, 1)</f>
        <v>8.9</v>
      </c>
      <c r="K377" s="44">
        <f>Source!P149</f>
        <v>31094.38</v>
      </c>
      <c r="L377" s="48"/>
      <c r="S377">
        <f>ROUND((Source!FX149/100)*((ROUND(Source!AF149*Source!I149, 2)+ROUND(Source!AE149*Source!I149, 2))), 2)</f>
        <v>0</v>
      </c>
      <c r="T377">
        <f>Source!X149</f>
        <v>0</v>
      </c>
      <c r="U377">
        <f>ROUND((Source!FY149/100)*((ROUND(Source!AF149*Source!I149, 2)+ROUND(Source!AE149*Source!I149, 2))), 2)</f>
        <v>0</v>
      </c>
      <c r="V377">
        <f>Source!Y149</f>
        <v>0</v>
      </c>
    </row>
    <row r="378" spans="1:26" ht="15" x14ac:dyDescent="0.25">
      <c r="G378" s="61">
        <f>H377</f>
        <v>3493.75</v>
      </c>
      <c r="H378" s="61"/>
      <c r="J378" s="61">
        <f>K377</f>
        <v>31094.38</v>
      </c>
      <c r="K378" s="61"/>
      <c r="L378" s="47">
        <f>Source!U149</f>
        <v>0</v>
      </c>
      <c r="O378" s="29">
        <f>G378</f>
        <v>3493.75</v>
      </c>
      <c r="P378" s="29">
        <f>J378</f>
        <v>31094.38</v>
      </c>
      <c r="Q378" s="29">
        <f>L378</f>
        <v>0</v>
      </c>
      <c r="W378">
        <f>IF(Source!BI149&lt;=1,H377, 0)</f>
        <v>3493.75</v>
      </c>
      <c r="X378">
        <f>IF(Source!BI149=2,H377, 0)</f>
        <v>0</v>
      </c>
      <c r="Y378">
        <f>IF(Source!BI149=3,H377, 0)</f>
        <v>0</v>
      </c>
      <c r="Z378">
        <f>IF(Source!BI149=4,H377, 0)</f>
        <v>0</v>
      </c>
    </row>
    <row r="379" spans="1:26" ht="54" x14ac:dyDescent="0.2">
      <c r="A379" s="53">
        <v>62</v>
      </c>
      <c r="B379" s="53" t="s">
        <v>29</v>
      </c>
      <c r="C379" s="53" t="s">
        <v>990</v>
      </c>
      <c r="D379" s="42" t="str">
        <f>Source!H150</f>
        <v>шт.</v>
      </c>
      <c r="E379" s="43">
        <f>Source!I150</f>
        <v>2</v>
      </c>
      <c r="F379" s="44">
        <f>Source!AL150</f>
        <v>105.39999999999999</v>
      </c>
      <c r="G379" s="45" t="str">
        <f>Source!DD150</f>
        <v/>
      </c>
      <c r="H379" s="44">
        <f>ROUND(Source!AC150*Source!I150, 2)</f>
        <v>210.8</v>
      </c>
      <c r="I379" s="45" t="str">
        <f>Source!BO150</f>
        <v/>
      </c>
      <c r="J379" s="45">
        <f>IF(Source!BC150&lt;&gt; 0, Source!BC150, 1)</f>
        <v>8.9</v>
      </c>
      <c r="K379" s="44">
        <f>Source!P150</f>
        <v>1876.12</v>
      </c>
      <c r="L379" s="48"/>
      <c r="S379">
        <f>ROUND((Source!FX150/100)*((ROUND(Source!AF150*Source!I150, 2)+ROUND(Source!AE150*Source!I150, 2))), 2)</f>
        <v>0</v>
      </c>
      <c r="T379">
        <f>Source!X150</f>
        <v>0</v>
      </c>
      <c r="U379">
        <f>ROUND((Source!FY150/100)*((ROUND(Source!AF150*Source!I150, 2)+ROUND(Source!AE150*Source!I150, 2))), 2)</f>
        <v>0</v>
      </c>
      <c r="V379">
        <f>Source!Y150</f>
        <v>0</v>
      </c>
    </row>
    <row r="380" spans="1:26" ht="15" x14ac:dyDescent="0.25">
      <c r="G380" s="61">
        <f>H379</f>
        <v>210.8</v>
      </c>
      <c r="H380" s="61"/>
      <c r="J380" s="61">
        <f>K379</f>
        <v>1876.12</v>
      </c>
      <c r="K380" s="61"/>
      <c r="L380" s="47">
        <f>Source!U150</f>
        <v>0</v>
      </c>
      <c r="O380" s="29">
        <f>G380</f>
        <v>210.8</v>
      </c>
      <c r="P380" s="29">
        <f>J380</f>
        <v>1876.12</v>
      </c>
      <c r="Q380" s="29">
        <f>L380</f>
        <v>0</v>
      </c>
      <c r="W380">
        <f>IF(Source!BI150&lt;=1,H379, 0)</f>
        <v>210.8</v>
      </c>
      <c r="X380">
        <f>IF(Source!BI150=2,H379, 0)</f>
        <v>0</v>
      </c>
      <c r="Y380">
        <f>IF(Source!BI150=3,H379, 0)</f>
        <v>0</v>
      </c>
      <c r="Z380">
        <f>IF(Source!BI150=4,H379, 0)</f>
        <v>0</v>
      </c>
    </row>
    <row r="381" spans="1:26" ht="54" x14ac:dyDescent="0.2">
      <c r="A381" s="53">
        <v>63</v>
      </c>
      <c r="B381" s="53" t="s">
        <v>29</v>
      </c>
      <c r="C381" s="53" t="s">
        <v>991</v>
      </c>
      <c r="D381" s="42" t="str">
        <f>Source!H151</f>
        <v>шт.</v>
      </c>
      <c r="E381" s="43">
        <f>Source!I151</f>
        <v>80</v>
      </c>
      <c r="F381" s="44">
        <f>Source!AL151</f>
        <v>3.81</v>
      </c>
      <c r="G381" s="45" t="str">
        <f>Source!DD151</f>
        <v/>
      </c>
      <c r="H381" s="44">
        <f>ROUND(Source!AC151*Source!I151, 2)</f>
        <v>304.8</v>
      </c>
      <c r="I381" s="45" t="str">
        <f>Source!BO151</f>
        <v/>
      </c>
      <c r="J381" s="45">
        <f>IF(Source!BC151&lt;&gt; 0, Source!BC151, 1)</f>
        <v>8.9</v>
      </c>
      <c r="K381" s="44">
        <f>Source!P151</f>
        <v>2712.72</v>
      </c>
      <c r="L381" s="48"/>
      <c r="S381">
        <f>ROUND((Source!FX151/100)*((ROUND(Source!AF151*Source!I151, 2)+ROUND(Source!AE151*Source!I151, 2))), 2)</f>
        <v>0</v>
      </c>
      <c r="T381">
        <f>Source!X151</f>
        <v>0</v>
      </c>
      <c r="U381">
        <f>ROUND((Source!FY151/100)*((ROUND(Source!AF151*Source!I151, 2)+ROUND(Source!AE151*Source!I151, 2))), 2)</f>
        <v>0</v>
      </c>
      <c r="V381">
        <f>Source!Y151</f>
        <v>0</v>
      </c>
    </row>
    <row r="382" spans="1:26" ht="15" x14ac:dyDescent="0.25">
      <c r="G382" s="61">
        <f>H381</f>
        <v>304.8</v>
      </c>
      <c r="H382" s="61"/>
      <c r="J382" s="61">
        <f>K381</f>
        <v>2712.72</v>
      </c>
      <c r="K382" s="61"/>
      <c r="L382" s="47">
        <f>Source!U151</f>
        <v>0</v>
      </c>
      <c r="O382" s="29">
        <f>G382</f>
        <v>304.8</v>
      </c>
      <c r="P382" s="29">
        <f>J382</f>
        <v>2712.72</v>
      </c>
      <c r="Q382" s="29">
        <f>L382</f>
        <v>0</v>
      </c>
      <c r="W382">
        <f>IF(Source!BI151&lt;=1,H381, 0)</f>
        <v>304.8</v>
      </c>
      <c r="X382">
        <f>IF(Source!BI151=2,H381, 0)</f>
        <v>0</v>
      </c>
      <c r="Y382">
        <f>IF(Source!BI151=3,H381, 0)</f>
        <v>0</v>
      </c>
      <c r="Z382">
        <f>IF(Source!BI151=4,H381, 0)</f>
        <v>0</v>
      </c>
    </row>
    <row r="383" spans="1:26" ht="85.5" x14ac:dyDescent="0.2">
      <c r="A383" s="52">
        <v>64</v>
      </c>
      <c r="B383" s="52" t="s">
        <v>992</v>
      </c>
      <c r="C383" s="52" t="str">
        <f>Source!G152</f>
        <v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50 мм</v>
      </c>
      <c r="D383" s="36" t="str">
        <f>Source!H152</f>
        <v>100 соединений</v>
      </c>
      <c r="E383" s="10">
        <f>Source!I152</f>
        <v>6.9</v>
      </c>
      <c r="F383" s="37">
        <f>Source!AL152+Source!AM152+Source!AO152</f>
        <v>61.099999999999994</v>
      </c>
      <c r="G383" s="38"/>
      <c r="H383" s="37"/>
      <c r="I383" s="38" t="str">
        <f>Source!BO152</f>
        <v/>
      </c>
      <c r="J383" s="38"/>
      <c r="K383" s="37"/>
      <c r="L383" s="39"/>
      <c r="S383">
        <f>ROUND((Source!FX152/100)*((ROUND(Source!AF152*Source!I152, 2)+ROUND(Source!AE152*Source!I152, 2))), 2)</f>
        <v>581.6</v>
      </c>
      <c r="T383">
        <f>Source!X152</f>
        <v>18616.73</v>
      </c>
      <c r="U383">
        <f>ROUND((Source!FY152/100)*((ROUND(Source!AF152*Source!I152, 2)+ROUND(Source!AE152*Source!I152, 2))), 2)</f>
        <v>294.16000000000003</v>
      </c>
      <c r="V383">
        <f>Source!Y152</f>
        <v>9416.07</v>
      </c>
    </row>
    <row r="384" spans="1:26" x14ac:dyDescent="0.2">
      <c r="C384" s="28" t="str">
        <f>"Объем: "&amp;Source!I152&amp;"=(98*"&amp;"3+"&amp;"50*"&amp;"3+"&amp;"56*"&amp;"2+"&amp;"65*"&amp;"2+"&amp;"2*"&amp;"2)/"&amp;"100"</f>
        <v>Объем: 6,9=(98*3+50*3+56*2+65*2+2*2)/100</v>
      </c>
    </row>
    <row r="385" spans="1:26" ht="14.25" x14ac:dyDescent="0.2">
      <c r="A385" s="52"/>
      <c r="B385" s="52"/>
      <c r="C385" s="52" t="s">
        <v>894</v>
      </c>
      <c r="D385" s="36"/>
      <c r="E385" s="10"/>
      <c r="F385" s="37">
        <f>Source!AO152</f>
        <v>60.44</v>
      </c>
      <c r="G385" s="38" t="str">
        <f>Source!DG152</f>
        <v>)*1,15</v>
      </c>
      <c r="H385" s="37">
        <f>ROUND(Source!AF152*Source!I152, 2)</f>
        <v>479.62</v>
      </c>
      <c r="I385" s="38"/>
      <c r="J385" s="38">
        <f>IF(Source!BA152&lt;&gt; 0, Source!BA152, 1)</f>
        <v>32.01</v>
      </c>
      <c r="K385" s="37">
        <f>Source!S152</f>
        <v>15352.6</v>
      </c>
      <c r="L385" s="39"/>
      <c r="R385">
        <f>H385</f>
        <v>479.62</v>
      </c>
    </row>
    <row r="386" spans="1:26" ht="14.25" x14ac:dyDescent="0.2">
      <c r="A386" s="52"/>
      <c r="B386" s="52"/>
      <c r="C386" s="52" t="s">
        <v>340</v>
      </c>
      <c r="D386" s="36"/>
      <c r="E386" s="10"/>
      <c r="F386" s="37">
        <f>Source!AM152</f>
        <v>0.66</v>
      </c>
      <c r="G386" s="38" t="str">
        <f>Source!DE152</f>
        <v>)*1,25</v>
      </c>
      <c r="H386" s="37">
        <f>ROUND(((((Source!ET152*1.25))-((Source!EU152*1.25)))+Source!AE152)*Source!I152, 2)</f>
        <v>5.69</v>
      </c>
      <c r="I386" s="38"/>
      <c r="J386" s="38">
        <f>IF(Source!BB152&lt;&gt; 0, Source!BB152, 1)</f>
        <v>12.44</v>
      </c>
      <c r="K386" s="37">
        <f>Source!Q152</f>
        <v>70.81</v>
      </c>
      <c r="L386" s="39"/>
    </row>
    <row r="387" spans="1:26" ht="14.25" x14ac:dyDescent="0.2">
      <c r="A387" s="52"/>
      <c r="B387" s="52"/>
      <c r="C387" s="52" t="s">
        <v>895</v>
      </c>
      <c r="D387" s="36"/>
      <c r="E387" s="10"/>
      <c r="F387" s="37">
        <f>Source!AN152</f>
        <v>0.12</v>
      </c>
      <c r="G387" s="38" t="str">
        <f>Source!DF152</f>
        <v>)*1,25</v>
      </c>
      <c r="H387" s="40">
        <f>ROUND(Source!AE152*Source!I152, 2)</f>
        <v>1.04</v>
      </c>
      <c r="I387" s="38"/>
      <c r="J387" s="38">
        <f>IF(Source!BS152&lt;&gt; 0, Source!BS152, 1)</f>
        <v>32.01</v>
      </c>
      <c r="K387" s="40">
        <f>Source!R152</f>
        <v>33.130000000000003</v>
      </c>
      <c r="L387" s="39"/>
      <c r="R387">
        <f>H387</f>
        <v>1.04</v>
      </c>
    </row>
    <row r="388" spans="1:26" ht="14.25" x14ac:dyDescent="0.2">
      <c r="A388" s="52"/>
      <c r="B388" s="52"/>
      <c r="C388" s="52" t="s">
        <v>896</v>
      </c>
      <c r="D388" s="36" t="s">
        <v>897</v>
      </c>
      <c r="E388" s="10">
        <f>Source!BZ152</f>
        <v>121</v>
      </c>
      <c r="F388" s="54"/>
      <c r="G388" s="38"/>
      <c r="H388" s="37">
        <f>SUM(S383:S390)</f>
        <v>581.6</v>
      </c>
      <c r="I388" s="41"/>
      <c r="J388" s="35">
        <f>Source!AT152</f>
        <v>121</v>
      </c>
      <c r="K388" s="37">
        <f>SUM(T383:T390)</f>
        <v>18616.73</v>
      </c>
      <c r="L388" s="39"/>
    </row>
    <row r="389" spans="1:26" ht="14.25" x14ac:dyDescent="0.2">
      <c r="A389" s="52"/>
      <c r="B389" s="52"/>
      <c r="C389" s="52" t="s">
        <v>898</v>
      </c>
      <c r="D389" s="36" t="s">
        <v>897</v>
      </c>
      <c r="E389" s="10">
        <f>Source!CA152</f>
        <v>72</v>
      </c>
      <c r="F389" s="64" t="str">
        <f>CONCATENATE(" )", Source!DM152, Source!FU152, "=", Source!FY152)</f>
        <v xml:space="preserve"> ))*0,85=61,2</v>
      </c>
      <c r="G389" s="65"/>
      <c r="H389" s="37">
        <f>SUM(U383:U390)</f>
        <v>294.16000000000003</v>
      </c>
      <c r="I389" s="41"/>
      <c r="J389" s="35">
        <f>Source!AU152</f>
        <v>61.2</v>
      </c>
      <c r="K389" s="37">
        <f>SUM(V383:V390)</f>
        <v>9416.07</v>
      </c>
      <c r="L389" s="39"/>
    </row>
    <row r="390" spans="1:26" ht="14.25" x14ac:dyDescent="0.2">
      <c r="A390" s="53"/>
      <c r="B390" s="53"/>
      <c r="C390" s="53" t="s">
        <v>899</v>
      </c>
      <c r="D390" s="42" t="s">
        <v>900</v>
      </c>
      <c r="E390" s="43">
        <f>Source!AQ152</f>
        <v>5.92</v>
      </c>
      <c r="F390" s="44"/>
      <c r="G390" s="45" t="str">
        <f>Source!DI152</f>
        <v>)*1,15</v>
      </c>
      <c r="H390" s="44"/>
      <c r="I390" s="45"/>
      <c r="J390" s="45"/>
      <c r="K390" s="44"/>
      <c r="L390" s="46">
        <f>Source!U152</f>
        <v>46.975200000000001</v>
      </c>
    </row>
    <row r="391" spans="1:26" ht="15" x14ac:dyDescent="0.25">
      <c r="G391" s="61">
        <f>H385+H386+H388+H389</f>
        <v>1361.0700000000002</v>
      </c>
      <c r="H391" s="61"/>
      <c r="J391" s="61">
        <f>K385+K386+K388+K389</f>
        <v>43456.21</v>
      </c>
      <c r="K391" s="61"/>
      <c r="L391" s="47">
        <f>Source!U152</f>
        <v>46.975200000000001</v>
      </c>
      <c r="O391" s="29">
        <f>G391</f>
        <v>1361.0700000000002</v>
      </c>
      <c r="P391" s="29">
        <f>J391</f>
        <v>43456.21</v>
      </c>
      <c r="Q391" s="29">
        <f>L391</f>
        <v>46.975200000000001</v>
      </c>
      <c r="W391">
        <f>IF(Source!BI152&lt;=1,H385+H386+H388+H389, 0)</f>
        <v>1361.0700000000002</v>
      </c>
      <c r="X391">
        <f>IF(Source!BI152=2,H385+H386+H388+H389, 0)</f>
        <v>0</v>
      </c>
      <c r="Y391">
        <f>IF(Source!BI152=3,H385+H386+H388+H389, 0)</f>
        <v>0</v>
      </c>
      <c r="Z391">
        <f>IF(Source!BI152=4,H385+H386+H388+H389, 0)</f>
        <v>0</v>
      </c>
    </row>
    <row r="392" spans="1:26" ht="57" x14ac:dyDescent="0.2">
      <c r="A392" s="52">
        <v>65</v>
      </c>
      <c r="B392" s="52" t="s">
        <v>993</v>
      </c>
      <c r="C392" s="52" t="str">
        <f>Source!G153</f>
        <v>Прокладка трубопроводов отопления при коллекторной системе из многослойных металлополимерных труб диаметром: 32 мм</v>
      </c>
      <c r="D392" s="36" t="str">
        <f>Source!H153</f>
        <v>100 м</v>
      </c>
      <c r="E392" s="10">
        <f>Source!I153</f>
        <v>1.48</v>
      </c>
      <c r="F392" s="37">
        <f>Source!AL153+Source!AM153+Source!AO153</f>
        <v>588.33000000000004</v>
      </c>
      <c r="G392" s="38"/>
      <c r="H392" s="37"/>
      <c r="I392" s="38" t="str">
        <f>Source!BO153</f>
        <v/>
      </c>
      <c r="J392" s="38"/>
      <c r="K392" s="37"/>
      <c r="L392" s="39"/>
      <c r="S392">
        <f>ROUND((Source!FX153/100)*((ROUND(Source!AF153*Source!I153, 2)+ROUND(Source!AE153*Source!I153, 2))), 2)</f>
        <v>1000.78</v>
      </c>
      <c r="T392">
        <f>Source!X153</f>
        <v>32034.68</v>
      </c>
      <c r="U392">
        <f>ROUND((Source!FY153/100)*((ROUND(Source!AF153*Source!I153, 2)+ROUND(Source!AE153*Source!I153, 2))), 2)</f>
        <v>506.18</v>
      </c>
      <c r="V392">
        <f>Source!Y153</f>
        <v>16202.66</v>
      </c>
    </row>
    <row r="393" spans="1:26" x14ac:dyDescent="0.2">
      <c r="C393" s="28" t="str">
        <f>"Объем: "&amp;Source!I153&amp;"=148/"&amp;"100"</f>
        <v>Объем: 1,48=148/100</v>
      </c>
    </row>
    <row r="394" spans="1:26" ht="14.25" x14ac:dyDescent="0.2">
      <c r="A394" s="52"/>
      <c r="B394" s="52"/>
      <c r="C394" s="52" t="s">
        <v>894</v>
      </c>
      <c r="D394" s="36"/>
      <c r="E394" s="10"/>
      <c r="F394" s="37">
        <f>Source!AO153</f>
        <v>480.81</v>
      </c>
      <c r="G394" s="38" t="str">
        <f>Source!DG153</f>
        <v>)*1,15</v>
      </c>
      <c r="H394" s="37">
        <f>ROUND(Source!AF153*Source!I153, 2)</f>
        <v>818.34</v>
      </c>
      <c r="I394" s="38"/>
      <c r="J394" s="38">
        <f>IF(Source!BA153&lt;&gt; 0, Source!BA153, 1)</f>
        <v>32.01</v>
      </c>
      <c r="K394" s="37">
        <f>Source!S153</f>
        <v>26194.95</v>
      </c>
      <c r="L394" s="39"/>
      <c r="R394">
        <f>H394</f>
        <v>818.34</v>
      </c>
    </row>
    <row r="395" spans="1:26" ht="14.25" x14ac:dyDescent="0.2">
      <c r="A395" s="52"/>
      <c r="B395" s="52"/>
      <c r="C395" s="52" t="s">
        <v>340</v>
      </c>
      <c r="D395" s="36"/>
      <c r="E395" s="10"/>
      <c r="F395" s="37">
        <f>Source!AM153</f>
        <v>27.18</v>
      </c>
      <c r="G395" s="38" t="str">
        <f>Source!DE153</f>
        <v>)*1,25</v>
      </c>
      <c r="H395" s="37">
        <f>ROUND(((((Source!ET153*1.25))-((Source!EU153*1.25)))+Source!AE153)*Source!I153, 2)</f>
        <v>50.28</v>
      </c>
      <c r="I395" s="38"/>
      <c r="J395" s="38">
        <f>IF(Source!BB153&lt;&gt; 0, Source!BB153, 1)</f>
        <v>12.44</v>
      </c>
      <c r="K395" s="37">
        <f>Source!Q153</f>
        <v>625.4</v>
      </c>
      <c r="L395" s="39"/>
    </row>
    <row r="396" spans="1:26" ht="14.25" x14ac:dyDescent="0.2">
      <c r="A396" s="52"/>
      <c r="B396" s="52"/>
      <c r="C396" s="52" t="s">
        <v>895</v>
      </c>
      <c r="D396" s="36"/>
      <c r="E396" s="10"/>
      <c r="F396" s="37">
        <f>Source!AN153</f>
        <v>4.7300000000000004</v>
      </c>
      <c r="G396" s="38" t="str">
        <f>Source!DF153</f>
        <v>)*1,25</v>
      </c>
      <c r="H396" s="40">
        <f>ROUND(Source!AE153*Source!I153, 2)</f>
        <v>8.75</v>
      </c>
      <c r="I396" s="38"/>
      <c r="J396" s="38">
        <f>IF(Source!BS153&lt;&gt; 0, Source!BS153, 1)</f>
        <v>32.01</v>
      </c>
      <c r="K396" s="40">
        <f>Source!R153</f>
        <v>279.99</v>
      </c>
      <c r="L396" s="39"/>
      <c r="R396">
        <f>H396</f>
        <v>8.75</v>
      </c>
    </row>
    <row r="397" spans="1:26" ht="14.25" x14ac:dyDescent="0.2">
      <c r="A397" s="52"/>
      <c r="B397" s="52"/>
      <c r="C397" s="52" t="s">
        <v>911</v>
      </c>
      <c r="D397" s="36"/>
      <c r="E397" s="10"/>
      <c r="F397" s="37">
        <f>Source!AL153</f>
        <v>80.34</v>
      </c>
      <c r="G397" s="38" t="str">
        <f>Source!DD153</f>
        <v/>
      </c>
      <c r="H397" s="37">
        <f>ROUND(Source!AC153*Source!I153, 2)</f>
        <v>118.9</v>
      </c>
      <c r="I397" s="38"/>
      <c r="J397" s="38">
        <f>IF(Source!BC153&lt;&gt; 0, Source!BC153, 1)</f>
        <v>8.9</v>
      </c>
      <c r="K397" s="37">
        <f>Source!P153</f>
        <v>1058.24</v>
      </c>
      <c r="L397" s="39"/>
    </row>
    <row r="398" spans="1:26" ht="14.25" x14ac:dyDescent="0.2">
      <c r="A398" s="52"/>
      <c r="B398" s="52"/>
      <c r="C398" s="52" t="s">
        <v>896</v>
      </c>
      <c r="D398" s="36" t="s">
        <v>897</v>
      </c>
      <c r="E398" s="10">
        <f>Source!BZ153</f>
        <v>121</v>
      </c>
      <c r="F398" s="54"/>
      <c r="G398" s="38"/>
      <c r="H398" s="37">
        <f>SUM(S392:S400)</f>
        <v>1000.78</v>
      </c>
      <c r="I398" s="41"/>
      <c r="J398" s="35">
        <f>Source!AT153</f>
        <v>121</v>
      </c>
      <c r="K398" s="37">
        <f>SUM(T392:T400)</f>
        <v>32034.68</v>
      </c>
      <c r="L398" s="39"/>
    </row>
    <row r="399" spans="1:26" ht="14.25" x14ac:dyDescent="0.2">
      <c r="A399" s="52"/>
      <c r="B399" s="52"/>
      <c r="C399" s="52" t="s">
        <v>898</v>
      </c>
      <c r="D399" s="36" t="s">
        <v>897</v>
      </c>
      <c r="E399" s="10">
        <f>Source!CA153</f>
        <v>72</v>
      </c>
      <c r="F399" s="64" t="str">
        <f>CONCATENATE(" )", Source!DM153, Source!FU153, "=", Source!FY153)</f>
        <v xml:space="preserve"> ))*0,85=61,2</v>
      </c>
      <c r="G399" s="65"/>
      <c r="H399" s="37">
        <f>SUM(U392:U400)</f>
        <v>506.18</v>
      </c>
      <c r="I399" s="41"/>
      <c r="J399" s="35">
        <f>Source!AU153</f>
        <v>61.2</v>
      </c>
      <c r="K399" s="37">
        <f>SUM(V392:V400)</f>
        <v>16202.66</v>
      </c>
      <c r="L399" s="39"/>
    </row>
    <row r="400" spans="1:26" ht="14.25" x14ac:dyDescent="0.2">
      <c r="A400" s="53"/>
      <c r="B400" s="53"/>
      <c r="C400" s="53" t="s">
        <v>899</v>
      </c>
      <c r="D400" s="42" t="s">
        <v>900</v>
      </c>
      <c r="E400" s="43">
        <f>Source!AQ153</f>
        <v>49.98</v>
      </c>
      <c r="F400" s="44"/>
      <c r="G400" s="45" t="str">
        <f>Source!DI153</f>
        <v>)*1,15</v>
      </c>
      <c r="H400" s="44"/>
      <c r="I400" s="45"/>
      <c r="J400" s="45"/>
      <c r="K400" s="44"/>
      <c r="L400" s="46">
        <f>Source!U153</f>
        <v>85.06595999999999</v>
      </c>
    </row>
    <row r="401" spans="1:26" ht="15" x14ac:dyDescent="0.25">
      <c r="G401" s="61">
        <f>H394+H395+H397+H398+H399</f>
        <v>2494.48</v>
      </c>
      <c r="H401" s="61"/>
      <c r="J401" s="61">
        <f>K394+K395+K397+K398+K399</f>
        <v>76115.930000000008</v>
      </c>
      <c r="K401" s="61"/>
      <c r="L401" s="47">
        <f>Source!U153</f>
        <v>85.06595999999999</v>
      </c>
      <c r="O401" s="29">
        <f>G401</f>
        <v>2494.48</v>
      </c>
      <c r="P401" s="29">
        <f>J401</f>
        <v>76115.930000000008</v>
      </c>
      <c r="Q401" s="29">
        <f>L401</f>
        <v>85.06595999999999</v>
      </c>
      <c r="W401">
        <f>IF(Source!BI153&lt;=1,H394+H395+H397+H398+H399, 0)</f>
        <v>2494.48</v>
      </c>
      <c r="X401">
        <f>IF(Source!BI153=2,H394+H395+H397+H398+H399, 0)</f>
        <v>0</v>
      </c>
      <c r="Y401">
        <f>IF(Source!BI153=3,H394+H395+H397+H398+H399, 0)</f>
        <v>0</v>
      </c>
      <c r="Z401">
        <f>IF(Source!BI153=4,H394+H395+H397+H398+H399, 0)</f>
        <v>0</v>
      </c>
    </row>
    <row r="402" spans="1:26" ht="85.5" x14ac:dyDescent="0.2">
      <c r="A402" s="52">
        <v>66</v>
      </c>
      <c r="B402" s="52" t="s">
        <v>994</v>
      </c>
      <c r="C402" s="52" t="str">
        <f>Source!G154</f>
        <v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32 мм</v>
      </c>
      <c r="D402" s="36" t="str">
        <f>Source!H154</f>
        <v>100 соединений</v>
      </c>
      <c r="E402" s="10">
        <f>Source!I154</f>
        <v>5.88</v>
      </c>
      <c r="F402" s="37">
        <f>Source!AL154+Source!AM154+Source!AO154</f>
        <v>29.2</v>
      </c>
      <c r="G402" s="38"/>
      <c r="H402" s="37"/>
      <c r="I402" s="38" t="str">
        <f>Source!BO154</f>
        <v/>
      </c>
      <c r="J402" s="38"/>
      <c r="K402" s="37"/>
      <c r="L402" s="39"/>
      <c r="S402">
        <f>ROUND((Source!FX154/100)*((ROUND(Source!AF154*Source!I154, 2)+ROUND(Source!AE154*Source!I154, 2))), 2)</f>
        <v>238.91</v>
      </c>
      <c r="T402">
        <f>Source!X154</f>
        <v>7647.67</v>
      </c>
      <c r="U402">
        <f>ROUND((Source!FY154/100)*((ROUND(Source!AF154*Source!I154, 2)+ROUND(Source!AE154*Source!I154, 2))), 2)</f>
        <v>120.84</v>
      </c>
      <c r="V402">
        <f>Source!Y154</f>
        <v>3868.08</v>
      </c>
    </row>
    <row r="403" spans="1:26" x14ac:dyDescent="0.2">
      <c r="C403" s="28" t="str">
        <f>"Объем: "&amp;Source!I154&amp;"=(98*"&amp;"2+"&amp;"98*"&amp;"2+"&amp;"98*"&amp;"2)/"&amp;"100"</f>
        <v>Объем: 5,88=(98*2+98*2+98*2)/100</v>
      </c>
    </row>
    <row r="404" spans="1:26" ht="14.25" x14ac:dyDescent="0.2">
      <c r="A404" s="52"/>
      <c r="B404" s="52"/>
      <c r="C404" s="52" t="s">
        <v>894</v>
      </c>
      <c r="D404" s="36"/>
      <c r="E404" s="10"/>
      <c r="F404" s="37">
        <f>Source!AO154</f>
        <v>29.2</v>
      </c>
      <c r="G404" s="38" t="str">
        <f>Source!DG154</f>
        <v>)*1,15</v>
      </c>
      <c r="H404" s="37">
        <f>ROUND(Source!AF154*Source!I154, 2)</f>
        <v>197.45</v>
      </c>
      <c r="I404" s="38"/>
      <c r="J404" s="38">
        <f>IF(Source!BA154&lt;&gt; 0, Source!BA154, 1)</f>
        <v>32.01</v>
      </c>
      <c r="K404" s="37">
        <f>Source!S154</f>
        <v>6320.39</v>
      </c>
      <c r="L404" s="39"/>
      <c r="R404">
        <f>H404</f>
        <v>197.45</v>
      </c>
    </row>
    <row r="405" spans="1:26" ht="14.25" x14ac:dyDescent="0.2">
      <c r="A405" s="52"/>
      <c r="B405" s="52"/>
      <c r="C405" s="52" t="s">
        <v>896</v>
      </c>
      <c r="D405" s="36" t="s">
        <v>897</v>
      </c>
      <c r="E405" s="10">
        <f>Source!BZ154</f>
        <v>121</v>
      </c>
      <c r="F405" s="54"/>
      <c r="G405" s="38"/>
      <c r="H405" s="37">
        <f>SUM(S402:S407)</f>
        <v>238.91</v>
      </c>
      <c r="I405" s="41"/>
      <c r="J405" s="35">
        <f>Source!AT154</f>
        <v>121</v>
      </c>
      <c r="K405" s="37">
        <f>SUM(T402:T407)</f>
        <v>7647.67</v>
      </c>
      <c r="L405" s="39"/>
    </row>
    <row r="406" spans="1:26" ht="14.25" x14ac:dyDescent="0.2">
      <c r="A406" s="52"/>
      <c r="B406" s="52"/>
      <c r="C406" s="52" t="s">
        <v>898</v>
      </c>
      <c r="D406" s="36" t="s">
        <v>897</v>
      </c>
      <c r="E406" s="10">
        <f>Source!CA154</f>
        <v>72</v>
      </c>
      <c r="F406" s="64" t="str">
        <f>CONCATENATE(" )", Source!DM154, Source!FU154, "=", Source!FY154)</f>
        <v xml:space="preserve"> ))*0,85=61,2</v>
      </c>
      <c r="G406" s="65"/>
      <c r="H406" s="37">
        <f>SUM(U402:U407)</f>
        <v>120.84</v>
      </c>
      <c r="I406" s="41"/>
      <c r="J406" s="35">
        <f>Source!AU154</f>
        <v>61.2</v>
      </c>
      <c r="K406" s="37">
        <f>SUM(V402:V407)</f>
        <v>3868.08</v>
      </c>
      <c r="L406" s="39"/>
    </row>
    <row r="407" spans="1:26" ht="14.25" x14ac:dyDescent="0.2">
      <c r="A407" s="53"/>
      <c r="B407" s="53"/>
      <c r="C407" s="53" t="s">
        <v>899</v>
      </c>
      <c r="D407" s="42" t="s">
        <v>900</v>
      </c>
      <c r="E407" s="43">
        <f>Source!AQ154</f>
        <v>2.86</v>
      </c>
      <c r="F407" s="44"/>
      <c r="G407" s="45" t="str">
        <f>Source!DI154</f>
        <v>)*1,15</v>
      </c>
      <c r="H407" s="44"/>
      <c r="I407" s="45"/>
      <c r="J407" s="45"/>
      <c r="K407" s="44"/>
      <c r="L407" s="46">
        <f>Source!U154</f>
        <v>19.339319999999997</v>
      </c>
    </row>
    <row r="408" spans="1:26" ht="15" x14ac:dyDescent="0.25">
      <c r="G408" s="61">
        <f>H404+H405+H406</f>
        <v>557.20000000000005</v>
      </c>
      <c r="H408" s="61"/>
      <c r="J408" s="61">
        <f>K404+K405+K406</f>
        <v>17836.14</v>
      </c>
      <c r="K408" s="61"/>
      <c r="L408" s="47">
        <f>Source!U154</f>
        <v>19.339319999999997</v>
      </c>
      <c r="O408" s="29">
        <f>G408</f>
        <v>557.20000000000005</v>
      </c>
      <c r="P408" s="29">
        <f>J408</f>
        <v>17836.14</v>
      </c>
      <c r="Q408" s="29">
        <f>L408</f>
        <v>19.339319999999997</v>
      </c>
      <c r="W408">
        <f>IF(Source!BI154&lt;=1,H404+H405+H406, 0)</f>
        <v>557.20000000000005</v>
      </c>
      <c r="X408">
        <f>IF(Source!BI154=2,H404+H405+H406, 0)</f>
        <v>0</v>
      </c>
      <c r="Y408">
        <f>IF(Source!BI154=3,H404+H405+H406, 0)</f>
        <v>0</v>
      </c>
      <c r="Z408">
        <f>IF(Source!BI154=4,H404+H405+H406, 0)</f>
        <v>0</v>
      </c>
    </row>
    <row r="409" spans="1:26" ht="54" x14ac:dyDescent="0.2">
      <c r="A409" s="53">
        <v>67</v>
      </c>
      <c r="B409" s="53" t="s">
        <v>29</v>
      </c>
      <c r="C409" s="53" t="s">
        <v>995</v>
      </c>
      <c r="D409" s="42" t="str">
        <f>Source!H155</f>
        <v>м</v>
      </c>
      <c r="E409" s="43">
        <f>Source!I155</f>
        <v>145.11000000000001</v>
      </c>
      <c r="F409" s="44">
        <f>Source!AL155</f>
        <v>16.54</v>
      </c>
      <c r="G409" s="45" t="str">
        <f>Source!DD155</f>
        <v/>
      </c>
      <c r="H409" s="44">
        <f>ROUND(Source!AC155*Source!I155, 2)</f>
        <v>2400.12</v>
      </c>
      <c r="I409" s="45" t="str">
        <f>Source!BO155</f>
        <v/>
      </c>
      <c r="J409" s="45">
        <f>IF(Source!BC155&lt;&gt; 0, Source!BC155, 1)</f>
        <v>8.9</v>
      </c>
      <c r="K409" s="44">
        <f>Source!P155</f>
        <v>21361.06</v>
      </c>
      <c r="L409" s="48"/>
      <c r="S409">
        <f>ROUND((Source!FX155/100)*((ROUND(Source!AF155*Source!I155, 2)+ROUND(Source!AE155*Source!I155, 2))), 2)</f>
        <v>0</v>
      </c>
      <c r="T409">
        <f>Source!X155</f>
        <v>0</v>
      </c>
      <c r="U409">
        <f>ROUND((Source!FY155/100)*((ROUND(Source!AF155*Source!I155, 2)+ROUND(Source!AE155*Source!I155, 2))), 2)</f>
        <v>0</v>
      </c>
      <c r="V409">
        <f>Source!Y155</f>
        <v>0</v>
      </c>
    </row>
    <row r="410" spans="1:26" ht="15" x14ac:dyDescent="0.25">
      <c r="G410" s="61">
        <f>H409</f>
        <v>2400.12</v>
      </c>
      <c r="H410" s="61"/>
      <c r="J410" s="61">
        <f>K409</f>
        <v>21361.06</v>
      </c>
      <c r="K410" s="61"/>
      <c r="L410" s="47">
        <f>Source!U155</f>
        <v>0</v>
      </c>
      <c r="O410" s="29">
        <f>G410</f>
        <v>2400.12</v>
      </c>
      <c r="P410" s="29">
        <f>J410</f>
        <v>21361.06</v>
      </c>
      <c r="Q410" s="29">
        <f>L410</f>
        <v>0</v>
      </c>
      <c r="W410">
        <f>IF(Source!BI155&lt;=1,H409, 0)</f>
        <v>2400.12</v>
      </c>
      <c r="X410">
        <f>IF(Source!BI155=2,H409, 0)</f>
        <v>0</v>
      </c>
      <c r="Y410">
        <f>IF(Source!BI155=3,H409, 0)</f>
        <v>0</v>
      </c>
      <c r="Z410">
        <f>IF(Source!BI155=4,H409, 0)</f>
        <v>0</v>
      </c>
    </row>
    <row r="411" spans="1:26" ht="54" x14ac:dyDescent="0.2">
      <c r="A411" s="53">
        <v>68</v>
      </c>
      <c r="B411" s="53" t="s">
        <v>29</v>
      </c>
      <c r="C411" s="53" t="s">
        <v>996</v>
      </c>
      <c r="D411" s="42" t="str">
        <f>Source!H156</f>
        <v>шт.</v>
      </c>
      <c r="E411" s="43">
        <f>Source!I156</f>
        <v>98</v>
      </c>
      <c r="F411" s="44">
        <f>Source!AL156</f>
        <v>26.17</v>
      </c>
      <c r="G411" s="45" t="str">
        <f>Source!DD156</f>
        <v/>
      </c>
      <c r="H411" s="44">
        <f>ROUND(Source!AC156*Source!I156, 2)</f>
        <v>2564.66</v>
      </c>
      <c r="I411" s="45" t="str">
        <f>Source!BO156</f>
        <v/>
      </c>
      <c r="J411" s="45">
        <f>IF(Source!BC156&lt;&gt; 0, Source!BC156, 1)</f>
        <v>8.9</v>
      </c>
      <c r="K411" s="44">
        <f>Source!P156</f>
        <v>22825.47</v>
      </c>
      <c r="L411" s="48"/>
      <c r="S411">
        <f>ROUND((Source!FX156/100)*((ROUND(Source!AF156*Source!I156, 2)+ROUND(Source!AE156*Source!I156, 2))), 2)</f>
        <v>0</v>
      </c>
      <c r="T411">
        <f>Source!X156</f>
        <v>0</v>
      </c>
      <c r="U411">
        <f>ROUND((Source!FY156/100)*((ROUND(Source!AF156*Source!I156, 2)+ROUND(Source!AE156*Source!I156, 2))), 2)</f>
        <v>0</v>
      </c>
      <c r="V411">
        <f>Source!Y156</f>
        <v>0</v>
      </c>
    </row>
    <row r="412" spans="1:26" ht="15" x14ac:dyDescent="0.25">
      <c r="G412" s="61">
        <f>H411</f>
        <v>2564.66</v>
      </c>
      <c r="H412" s="61"/>
      <c r="J412" s="61">
        <f>K411</f>
        <v>22825.47</v>
      </c>
      <c r="K412" s="61"/>
      <c r="L412" s="47">
        <f>Source!U156</f>
        <v>0</v>
      </c>
      <c r="O412" s="29">
        <f>G412</f>
        <v>2564.66</v>
      </c>
      <c r="P412" s="29">
        <f>J412</f>
        <v>22825.47</v>
      </c>
      <c r="Q412" s="29">
        <f>L412</f>
        <v>0</v>
      </c>
      <c r="W412">
        <f>IF(Source!BI156&lt;=1,H411, 0)</f>
        <v>2564.66</v>
      </c>
      <c r="X412">
        <f>IF(Source!BI156=2,H411, 0)</f>
        <v>0</v>
      </c>
      <c r="Y412">
        <f>IF(Source!BI156=3,H411, 0)</f>
        <v>0</v>
      </c>
      <c r="Z412">
        <f>IF(Source!BI156=4,H411, 0)</f>
        <v>0</v>
      </c>
    </row>
    <row r="413" spans="1:26" ht="42.75" x14ac:dyDescent="0.2">
      <c r="A413" s="53">
        <v>69</v>
      </c>
      <c r="B413" s="53" t="s">
        <v>29</v>
      </c>
      <c r="C413" s="53" t="s">
        <v>997</v>
      </c>
      <c r="D413" s="42" t="str">
        <f>Source!H157</f>
        <v>шт.</v>
      </c>
      <c r="E413" s="43">
        <f>Source!I157</f>
        <v>98</v>
      </c>
      <c r="F413" s="44">
        <f>Source!AL157</f>
        <v>7.95</v>
      </c>
      <c r="G413" s="45" t="str">
        <f>Source!DD157</f>
        <v/>
      </c>
      <c r="H413" s="44">
        <f>ROUND(Source!AC157*Source!I157, 2)</f>
        <v>779.1</v>
      </c>
      <c r="I413" s="45" t="str">
        <f>Source!BO157</f>
        <v/>
      </c>
      <c r="J413" s="45">
        <f>IF(Source!BC157&lt;&gt; 0, Source!BC157, 1)</f>
        <v>8.9</v>
      </c>
      <c r="K413" s="44">
        <f>Source!P157</f>
        <v>6933.99</v>
      </c>
      <c r="L413" s="48"/>
      <c r="S413">
        <f>ROUND((Source!FX157/100)*((ROUND(Source!AF157*Source!I157, 2)+ROUND(Source!AE157*Source!I157, 2))), 2)</f>
        <v>0</v>
      </c>
      <c r="T413">
        <f>Source!X157</f>
        <v>0</v>
      </c>
      <c r="U413">
        <f>ROUND((Source!FY157/100)*((ROUND(Source!AF157*Source!I157, 2)+ROUND(Source!AE157*Source!I157, 2))), 2)</f>
        <v>0</v>
      </c>
      <c r="V413">
        <f>Source!Y157</f>
        <v>0</v>
      </c>
    </row>
    <row r="414" spans="1:26" ht="15" x14ac:dyDescent="0.25">
      <c r="G414" s="61">
        <f>H413</f>
        <v>779.1</v>
      </c>
      <c r="H414" s="61"/>
      <c r="J414" s="61">
        <f>K413</f>
        <v>6933.99</v>
      </c>
      <c r="K414" s="61"/>
      <c r="L414" s="47">
        <f>Source!U157</f>
        <v>0</v>
      </c>
      <c r="O414" s="29">
        <f>G414</f>
        <v>779.1</v>
      </c>
      <c r="P414" s="29">
        <f>J414</f>
        <v>6933.99</v>
      </c>
      <c r="Q414" s="29">
        <f>L414</f>
        <v>0</v>
      </c>
      <c r="W414">
        <f>IF(Source!BI157&lt;=1,H413, 0)</f>
        <v>779.1</v>
      </c>
      <c r="X414">
        <f>IF(Source!BI157=2,H413, 0)</f>
        <v>0</v>
      </c>
      <c r="Y414">
        <f>IF(Source!BI157=3,H413, 0)</f>
        <v>0</v>
      </c>
      <c r="Z414">
        <f>IF(Source!BI157=4,H413, 0)</f>
        <v>0</v>
      </c>
    </row>
    <row r="415" spans="1:26" ht="68.25" x14ac:dyDescent="0.2">
      <c r="A415" s="53">
        <v>70</v>
      </c>
      <c r="B415" s="53" t="s">
        <v>29</v>
      </c>
      <c r="C415" s="53" t="s">
        <v>998</v>
      </c>
      <c r="D415" s="42" t="str">
        <f>Source!H158</f>
        <v>шт.</v>
      </c>
      <c r="E415" s="43">
        <f>Source!I158</f>
        <v>98</v>
      </c>
      <c r="F415" s="44">
        <f>Source!AL158</f>
        <v>58.559999999999995</v>
      </c>
      <c r="G415" s="45" t="str">
        <f>Source!DD158</f>
        <v/>
      </c>
      <c r="H415" s="44">
        <f>ROUND(Source!AC158*Source!I158, 2)</f>
        <v>5738.88</v>
      </c>
      <c r="I415" s="45" t="str">
        <f>Source!BO158</f>
        <v/>
      </c>
      <c r="J415" s="45">
        <f>IF(Source!BC158&lt;&gt; 0, Source!BC158, 1)</f>
        <v>8.9</v>
      </c>
      <c r="K415" s="44">
        <f>Source!P158</f>
        <v>51076.03</v>
      </c>
      <c r="L415" s="48"/>
      <c r="S415">
        <f>ROUND((Source!FX158/100)*((ROUND(Source!AF158*Source!I158, 2)+ROUND(Source!AE158*Source!I158, 2))), 2)</f>
        <v>0</v>
      </c>
      <c r="T415">
        <f>Source!X158</f>
        <v>0</v>
      </c>
      <c r="U415">
        <f>ROUND((Source!FY158/100)*((ROUND(Source!AF158*Source!I158, 2)+ROUND(Source!AE158*Source!I158, 2))), 2)</f>
        <v>0</v>
      </c>
      <c r="V415">
        <f>Source!Y158</f>
        <v>0</v>
      </c>
    </row>
    <row r="416" spans="1:26" ht="15" x14ac:dyDescent="0.25">
      <c r="G416" s="61">
        <f>H415</f>
        <v>5738.88</v>
      </c>
      <c r="H416" s="61"/>
      <c r="J416" s="61">
        <f>K415</f>
        <v>51076.03</v>
      </c>
      <c r="K416" s="61"/>
      <c r="L416" s="47">
        <f>Source!U158</f>
        <v>0</v>
      </c>
      <c r="O416" s="29">
        <f>G416</f>
        <v>5738.88</v>
      </c>
      <c r="P416" s="29">
        <f>J416</f>
        <v>51076.03</v>
      </c>
      <c r="Q416" s="29">
        <f>L416</f>
        <v>0</v>
      </c>
      <c r="W416">
        <f>IF(Source!BI158&lt;=1,H415, 0)</f>
        <v>5738.88</v>
      </c>
      <c r="X416">
        <f>IF(Source!BI158=2,H415, 0)</f>
        <v>0</v>
      </c>
      <c r="Y416">
        <f>IF(Source!BI158=3,H415, 0)</f>
        <v>0</v>
      </c>
      <c r="Z416">
        <f>IF(Source!BI158=4,H415, 0)</f>
        <v>0</v>
      </c>
    </row>
    <row r="417" spans="1:26" ht="57" x14ac:dyDescent="0.2">
      <c r="A417" s="52">
        <v>71</v>
      </c>
      <c r="B417" s="52" t="s">
        <v>999</v>
      </c>
      <c r="C417" s="52" t="str">
        <f>Source!G159</f>
        <v>Гидравлическое испытание трубопроводов систем отопления, водопровода и горячего водоснабжения диаметром: до 50 мм</v>
      </c>
      <c r="D417" s="36" t="str">
        <f>Source!H159</f>
        <v>100 м</v>
      </c>
      <c r="E417" s="10">
        <f>Source!I159</f>
        <v>7.28</v>
      </c>
      <c r="F417" s="37">
        <f>Source!AL159+Source!AM159+Source!AO159</f>
        <v>107.12</v>
      </c>
      <c r="G417" s="38"/>
      <c r="H417" s="37"/>
      <c r="I417" s="38" t="str">
        <f>Source!BO159</f>
        <v/>
      </c>
      <c r="J417" s="38"/>
      <c r="K417" s="37"/>
      <c r="L417" s="39"/>
      <c r="S417">
        <f>ROUND((Source!FX159/100)*((ROUND(Source!AF159*Source!I159, 2)+ROUND(Source!AE159*Source!I159, 2))), 2)</f>
        <v>590.80999999999995</v>
      </c>
      <c r="T417">
        <f>Source!X159</f>
        <v>18911.71</v>
      </c>
      <c r="U417">
        <f>ROUND((Source!FY159/100)*((ROUND(Source!AF159*Source!I159, 2)+ROUND(Source!AE159*Source!I159, 2))), 2)</f>
        <v>298.82</v>
      </c>
      <c r="V417">
        <f>Source!Y159</f>
        <v>9565.26</v>
      </c>
    </row>
    <row r="418" spans="1:26" x14ac:dyDescent="0.2">
      <c r="C418" s="28" t="str">
        <f>"Объем: "&amp;Source!I159&amp;"=(580+"&amp;"148)/"&amp;"100"</f>
        <v>Объем: 7,28=(580+148)/100</v>
      </c>
    </row>
    <row r="419" spans="1:26" ht="14.25" x14ac:dyDescent="0.2">
      <c r="A419" s="52"/>
      <c r="B419" s="52"/>
      <c r="C419" s="52" t="s">
        <v>894</v>
      </c>
      <c r="D419" s="36"/>
      <c r="E419" s="10"/>
      <c r="F419" s="37">
        <f>Source!AO159</f>
        <v>58.32</v>
      </c>
      <c r="G419" s="38" t="str">
        <f>Source!DG159</f>
        <v>)*1,15</v>
      </c>
      <c r="H419" s="37">
        <f>ROUND(Source!AF159*Source!I159, 2)</f>
        <v>488.27</v>
      </c>
      <c r="I419" s="38"/>
      <c r="J419" s="38">
        <f>IF(Source!BA159&lt;&gt; 0, Source!BA159, 1)</f>
        <v>32.01</v>
      </c>
      <c r="K419" s="37">
        <f>Source!S159</f>
        <v>15629.51</v>
      </c>
      <c r="L419" s="39"/>
      <c r="R419">
        <f>H419</f>
        <v>488.27</v>
      </c>
    </row>
    <row r="420" spans="1:26" ht="14.25" x14ac:dyDescent="0.2">
      <c r="A420" s="52"/>
      <c r="B420" s="52"/>
      <c r="C420" s="52" t="s">
        <v>340</v>
      </c>
      <c r="D420" s="36"/>
      <c r="E420" s="10"/>
      <c r="F420" s="37">
        <f>Source!AM159</f>
        <v>44.51</v>
      </c>
      <c r="G420" s="38" t="str">
        <f>Source!DE159</f>
        <v>)*1,25</v>
      </c>
      <c r="H420" s="37">
        <f>ROUND(((((Source!ET159*1.25))-((Source!EU159*1.25)))+Source!AE159)*Source!I159, 2)</f>
        <v>405.04</v>
      </c>
      <c r="I420" s="38"/>
      <c r="J420" s="38">
        <f>IF(Source!BB159&lt;&gt; 0, Source!BB159, 1)</f>
        <v>12.44</v>
      </c>
      <c r="K420" s="37">
        <f>Source!Q159</f>
        <v>5038.71</v>
      </c>
      <c r="L420" s="39"/>
    </row>
    <row r="421" spans="1:26" ht="14.25" x14ac:dyDescent="0.2">
      <c r="A421" s="52"/>
      <c r="B421" s="52"/>
      <c r="C421" s="52" t="s">
        <v>911</v>
      </c>
      <c r="D421" s="36"/>
      <c r="E421" s="10"/>
      <c r="F421" s="37">
        <f>Source!AL159</f>
        <v>4.29</v>
      </c>
      <c r="G421" s="38" t="str">
        <f>Source!DD159</f>
        <v/>
      </c>
      <c r="H421" s="37">
        <f>ROUND(Source!AC159*Source!I159, 2)</f>
        <v>31.23</v>
      </c>
      <c r="I421" s="38"/>
      <c r="J421" s="38">
        <f>IF(Source!BC159&lt;&gt; 0, Source!BC159, 1)</f>
        <v>8.9</v>
      </c>
      <c r="K421" s="37">
        <f>Source!P159</f>
        <v>277.95999999999998</v>
      </c>
      <c r="L421" s="39"/>
    </row>
    <row r="422" spans="1:26" ht="14.25" x14ac:dyDescent="0.2">
      <c r="A422" s="52"/>
      <c r="B422" s="52"/>
      <c r="C422" s="52" t="s">
        <v>896</v>
      </c>
      <c r="D422" s="36" t="s">
        <v>897</v>
      </c>
      <c r="E422" s="10">
        <f>Source!BZ159</f>
        <v>121</v>
      </c>
      <c r="F422" s="54"/>
      <c r="G422" s="38"/>
      <c r="H422" s="37">
        <f>SUM(S417:S424)</f>
        <v>590.80999999999995</v>
      </c>
      <c r="I422" s="41"/>
      <c r="J422" s="35">
        <f>Source!AT159</f>
        <v>121</v>
      </c>
      <c r="K422" s="37">
        <f>SUM(T417:T424)</f>
        <v>18911.71</v>
      </c>
      <c r="L422" s="39"/>
    </row>
    <row r="423" spans="1:26" ht="14.25" x14ac:dyDescent="0.2">
      <c r="A423" s="52"/>
      <c r="B423" s="52"/>
      <c r="C423" s="52" t="s">
        <v>898</v>
      </c>
      <c r="D423" s="36" t="s">
        <v>897</v>
      </c>
      <c r="E423" s="10">
        <f>Source!CA159</f>
        <v>72</v>
      </c>
      <c r="F423" s="64" t="str">
        <f>CONCATENATE(" )", Source!DM159, Source!FU159, "=", Source!FY159)</f>
        <v xml:space="preserve"> ))*0,85=61,2</v>
      </c>
      <c r="G423" s="65"/>
      <c r="H423" s="37">
        <f>SUM(U417:U424)</f>
        <v>298.82</v>
      </c>
      <c r="I423" s="41"/>
      <c r="J423" s="35">
        <f>Source!AU159</f>
        <v>61.2</v>
      </c>
      <c r="K423" s="37">
        <f>SUM(V417:V424)</f>
        <v>9565.26</v>
      </c>
      <c r="L423" s="39"/>
    </row>
    <row r="424" spans="1:26" ht="14.25" x14ac:dyDescent="0.2">
      <c r="A424" s="53"/>
      <c r="B424" s="53"/>
      <c r="C424" s="53" t="s">
        <v>899</v>
      </c>
      <c r="D424" s="42" t="s">
        <v>900</v>
      </c>
      <c r="E424" s="43">
        <f>Source!AQ159</f>
        <v>5.01</v>
      </c>
      <c r="F424" s="44"/>
      <c r="G424" s="45" t="str">
        <f>Source!DI159</f>
        <v>)*1,15</v>
      </c>
      <c r="H424" s="44"/>
      <c r="I424" s="45"/>
      <c r="J424" s="45"/>
      <c r="K424" s="44"/>
      <c r="L424" s="46">
        <f>Source!U159</f>
        <v>41.943719999999992</v>
      </c>
    </row>
    <row r="425" spans="1:26" ht="15" x14ac:dyDescent="0.25">
      <c r="G425" s="61">
        <f>H419+H420+H421+H422+H423</f>
        <v>1814.1699999999998</v>
      </c>
      <c r="H425" s="61"/>
      <c r="J425" s="61">
        <f>K419+K420+K421+K422+K423</f>
        <v>49423.15</v>
      </c>
      <c r="K425" s="61"/>
      <c r="L425" s="47">
        <f>Source!U159</f>
        <v>41.943719999999992</v>
      </c>
      <c r="O425" s="29">
        <f>G425</f>
        <v>1814.1699999999998</v>
      </c>
      <c r="P425" s="29">
        <f>J425</f>
        <v>49423.15</v>
      </c>
      <c r="Q425" s="29">
        <f>L425</f>
        <v>41.943719999999992</v>
      </c>
      <c r="W425">
        <f>IF(Source!BI159&lt;=1,H419+H420+H421+H422+H423, 0)</f>
        <v>1814.1699999999998</v>
      </c>
      <c r="X425">
        <f>IF(Source!BI159=2,H419+H420+H421+H422+H423, 0)</f>
        <v>0</v>
      </c>
      <c r="Y425">
        <f>IF(Source!BI159=3,H419+H420+H421+H422+H423, 0)</f>
        <v>0</v>
      </c>
      <c r="Z425">
        <f>IF(Source!BI159=4,H419+H420+H421+H422+H423, 0)</f>
        <v>0</v>
      </c>
    </row>
    <row r="426" spans="1:26" ht="28.5" x14ac:dyDescent="0.2">
      <c r="A426" s="52">
        <v>72</v>
      </c>
      <c r="B426" s="52" t="s">
        <v>1000</v>
      </c>
      <c r="C426" s="52" t="str">
        <f>Source!G160</f>
        <v>Установка радиаторов: стальных</v>
      </c>
      <c r="D426" s="36" t="str">
        <f>Source!H160</f>
        <v>100 квт</v>
      </c>
      <c r="E426" s="10">
        <f>Source!I160</f>
        <v>0.60760000000000003</v>
      </c>
      <c r="F426" s="37">
        <f>Source!AL160+Source!AM160+Source!AO160</f>
        <v>1945.4100000000003</v>
      </c>
      <c r="G426" s="38"/>
      <c r="H426" s="37"/>
      <c r="I426" s="38" t="str">
        <f>Source!BO160</f>
        <v/>
      </c>
      <c r="J426" s="38"/>
      <c r="K426" s="37"/>
      <c r="L426" s="39"/>
      <c r="S426">
        <f>ROUND((Source!FX160/100)*((ROUND(Source!AF160*Source!I160, 2)+ROUND(Source!AE160*Source!I160, 2))), 2)</f>
        <v>498.34</v>
      </c>
      <c r="T426">
        <f>Source!X160</f>
        <v>15951.79</v>
      </c>
      <c r="U426">
        <f>ROUND((Source!FY160/100)*((ROUND(Source!AF160*Source!I160, 2)+ROUND(Source!AE160*Source!I160, 2))), 2)</f>
        <v>252.05</v>
      </c>
      <c r="V426">
        <f>Source!Y160</f>
        <v>8068.18</v>
      </c>
    </row>
    <row r="427" spans="1:26" ht="14.25" x14ac:dyDescent="0.2">
      <c r="A427" s="52"/>
      <c r="B427" s="52"/>
      <c r="C427" s="52" t="s">
        <v>894</v>
      </c>
      <c r="D427" s="36"/>
      <c r="E427" s="10"/>
      <c r="F427" s="37">
        <f>Source!AO160</f>
        <v>530.13</v>
      </c>
      <c r="G427" s="38" t="str">
        <f>Source!DG160</f>
        <v>)*1,15)*1,03</v>
      </c>
      <c r="H427" s="37">
        <f>ROUND(Source!AF160*Source!I160, 2)</f>
        <v>381.54</v>
      </c>
      <c r="I427" s="38"/>
      <c r="J427" s="38">
        <f>IF(Source!BA160&lt;&gt; 0, Source!BA160, 1)</f>
        <v>32.01</v>
      </c>
      <c r="K427" s="37">
        <f>Source!S160</f>
        <v>12212.98</v>
      </c>
      <c r="L427" s="39"/>
      <c r="R427">
        <f>H427</f>
        <v>381.54</v>
      </c>
    </row>
    <row r="428" spans="1:26" ht="14.25" x14ac:dyDescent="0.2">
      <c r="A428" s="52"/>
      <c r="B428" s="52"/>
      <c r="C428" s="52" t="s">
        <v>340</v>
      </c>
      <c r="D428" s="36"/>
      <c r="E428" s="10"/>
      <c r="F428" s="37">
        <f>Source!AM160</f>
        <v>192.89</v>
      </c>
      <c r="G428" s="38" t="str">
        <f>Source!DE160</f>
        <v>)*1,25)*1,03</v>
      </c>
      <c r="H428" s="37">
        <f>ROUND((((((Source!ET160*1.25)*1.03))-(((Source!EU160*1.25)*1.03)))+Source!AE160)*Source!I160, 2)</f>
        <v>150.88999999999999</v>
      </c>
      <c r="I428" s="38"/>
      <c r="J428" s="38">
        <f>IF(Source!BB160&lt;&gt; 0, Source!BB160, 1)</f>
        <v>12.44</v>
      </c>
      <c r="K428" s="37">
        <f>Source!Q160</f>
        <v>1877.12</v>
      </c>
      <c r="L428" s="39"/>
    </row>
    <row r="429" spans="1:26" ht="14.25" x14ac:dyDescent="0.2">
      <c r="A429" s="52"/>
      <c r="B429" s="52"/>
      <c r="C429" s="52" t="s">
        <v>895</v>
      </c>
      <c r="D429" s="36"/>
      <c r="E429" s="10"/>
      <c r="F429" s="37">
        <f>Source!AN160</f>
        <v>38.75</v>
      </c>
      <c r="G429" s="38" t="str">
        <f>Source!DF160</f>
        <v>)*1,25)*1,03</v>
      </c>
      <c r="H429" s="40">
        <f>ROUND(Source!AE160*Source!I160, 2)</f>
        <v>30.31</v>
      </c>
      <c r="I429" s="38"/>
      <c r="J429" s="38">
        <f>IF(Source!BS160&lt;&gt; 0, Source!BS160, 1)</f>
        <v>32.01</v>
      </c>
      <c r="K429" s="40">
        <f>Source!R160</f>
        <v>970.32</v>
      </c>
      <c r="L429" s="39"/>
      <c r="R429">
        <f>H429</f>
        <v>30.31</v>
      </c>
    </row>
    <row r="430" spans="1:26" ht="14.25" x14ac:dyDescent="0.2">
      <c r="A430" s="52"/>
      <c r="B430" s="52"/>
      <c r="C430" s="52" t="s">
        <v>911</v>
      </c>
      <c r="D430" s="36"/>
      <c r="E430" s="10"/>
      <c r="F430" s="37">
        <f>Source!AL160</f>
        <v>1222.3900000000001</v>
      </c>
      <c r="G430" s="38" t="str">
        <f>Source!DD160</f>
        <v/>
      </c>
      <c r="H430" s="37">
        <f>ROUND(Source!AC160*Source!I160, 2)</f>
        <v>742.72</v>
      </c>
      <c r="I430" s="38"/>
      <c r="J430" s="38">
        <f>IF(Source!BC160&lt;&gt; 0, Source!BC160, 1)</f>
        <v>8.9</v>
      </c>
      <c r="K430" s="37">
        <f>Source!P160</f>
        <v>6610.25</v>
      </c>
      <c r="L430" s="39"/>
    </row>
    <row r="431" spans="1:26" ht="14.25" x14ac:dyDescent="0.2">
      <c r="A431" s="52"/>
      <c r="B431" s="52"/>
      <c r="C431" s="52" t="s">
        <v>896</v>
      </c>
      <c r="D431" s="36" t="s">
        <v>897</v>
      </c>
      <c r="E431" s="10">
        <f>Source!BZ160</f>
        <v>121</v>
      </c>
      <c r="F431" s="54"/>
      <c r="G431" s="38"/>
      <c r="H431" s="37">
        <f>SUM(S426:S433)</f>
        <v>498.34</v>
      </c>
      <c r="I431" s="41"/>
      <c r="J431" s="35">
        <f>Source!AT160</f>
        <v>121</v>
      </c>
      <c r="K431" s="37">
        <f>SUM(T426:T433)</f>
        <v>15951.79</v>
      </c>
      <c r="L431" s="39"/>
    </row>
    <row r="432" spans="1:26" ht="14.25" x14ac:dyDescent="0.2">
      <c r="A432" s="52"/>
      <c r="B432" s="52"/>
      <c r="C432" s="52" t="s">
        <v>898</v>
      </c>
      <c r="D432" s="36" t="s">
        <v>897</v>
      </c>
      <c r="E432" s="10">
        <f>Source!CA160</f>
        <v>72</v>
      </c>
      <c r="F432" s="64" t="str">
        <f>CONCATENATE(" )", Source!DM160, Source!FU160, "=", Source!FY160)</f>
        <v xml:space="preserve"> ))*0,85=61,2</v>
      </c>
      <c r="G432" s="65"/>
      <c r="H432" s="37">
        <f>SUM(U426:U433)</f>
        <v>252.05</v>
      </c>
      <c r="I432" s="41"/>
      <c r="J432" s="35">
        <f>Source!AU160</f>
        <v>61.2</v>
      </c>
      <c r="K432" s="37">
        <f>SUM(V426:V433)</f>
        <v>8068.18</v>
      </c>
      <c r="L432" s="39"/>
    </row>
    <row r="433" spans="1:26" ht="14.25" x14ac:dyDescent="0.2">
      <c r="A433" s="53"/>
      <c r="B433" s="53"/>
      <c r="C433" s="53" t="s">
        <v>899</v>
      </c>
      <c r="D433" s="42" t="s">
        <v>900</v>
      </c>
      <c r="E433" s="43">
        <f>Source!AQ160</f>
        <v>59.1</v>
      </c>
      <c r="F433" s="44"/>
      <c r="G433" s="45" t="str">
        <f>Source!DI160</f>
        <v>)*1,15)*1,03</v>
      </c>
      <c r="H433" s="44"/>
      <c r="I433" s="45"/>
      <c r="J433" s="45"/>
      <c r="K433" s="44"/>
      <c r="L433" s="46">
        <f>Source!U160</f>
        <v>42.534400020000007</v>
      </c>
    </row>
    <row r="434" spans="1:26" ht="15" x14ac:dyDescent="0.25">
      <c r="G434" s="61">
        <f>H427+H428+H430+H431+H432</f>
        <v>2025.54</v>
      </c>
      <c r="H434" s="61"/>
      <c r="J434" s="61">
        <f>K427+K428+K430+K431+K432</f>
        <v>44720.32</v>
      </c>
      <c r="K434" s="61"/>
      <c r="L434" s="47">
        <f>Source!U160</f>
        <v>42.534400020000007</v>
      </c>
      <c r="O434" s="29">
        <f>G434</f>
        <v>2025.54</v>
      </c>
      <c r="P434" s="29">
        <f>J434</f>
        <v>44720.32</v>
      </c>
      <c r="Q434" s="29">
        <f>L434</f>
        <v>42.534400020000007</v>
      </c>
      <c r="W434">
        <f>IF(Source!BI160&lt;=1,H427+H428+H430+H431+H432, 0)</f>
        <v>2025.54</v>
      </c>
      <c r="X434">
        <f>IF(Source!BI160=2,H427+H428+H430+H431+H432, 0)</f>
        <v>0</v>
      </c>
      <c r="Y434">
        <f>IF(Source!BI160=3,H427+H428+H430+H431+H432, 0)</f>
        <v>0</v>
      </c>
      <c r="Z434">
        <f>IF(Source!BI160=4,H427+H428+H430+H431+H432, 0)</f>
        <v>0</v>
      </c>
    </row>
    <row r="435" spans="1:26" ht="68.25" x14ac:dyDescent="0.2">
      <c r="A435" s="53">
        <v>73</v>
      </c>
      <c r="B435" s="53" t="s">
        <v>29</v>
      </c>
      <c r="C435" s="53" t="s">
        <v>1001</v>
      </c>
      <c r="D435" s="42" t="str">
        <f>Source!H161</f>
        <v>шт.</v>
      </c>
      <c r="E435" s="43">
        <f>Source!I161</f>
        <v>49</v>
      </c>
      <c r="F435" s="44">
        <f>Source!AL161</f>
        <v>577.63000000000011</v>
      </c>
      <c r="G435" s="45" t="str">
        <f>Source!DD161</f>
        <v/>
      </c>
      <c r="H435" s="44">
        <f>ROUND(Source!AC161*Source!I161, 2)</f>
        <v>28303.87</v>
      </c>
      <c r="I435" s="45" t="str">
        <f>Source!BO161</f>
        <v/>
      </c>
      <c r="J435" s="45">
        <f>IF(Source!BC161&lt;&gt; 0, Source!BC161, 1)</f>
        <v>8.9</v>
      </c>
      <c r="K435" s="44">
        <f>Source!P161</f>
        <v>251904.44</v>
      </c>
      <c r="L435" s="48"/>
      <c r="S435">
        <f>ROUND((Source!FX161/100)*((ROUND(Source!AF161*Source!I161, 2)+ROUND(Source!AE161*Source!I161, 2))), 2)</f>
        <v>0</v>
      </c>
      <c r="T435">
        <f>Source!X161</f>
        <v>0</v>
      </c>
      <c r="U435">
        <f>ROUND((Source!FY161/100)*((ROUND(Source!AF161*Source!I161, 2)+ROUND(Source!AE161*Source!I161, 2))), 2)</f>
        <v>0</v>
      </c>
      <c r="V435">
        <f>Source!Y161</f>
        <v>0</v>
      </c>
    </row>
    <row r="436" spans="1:26" ht="15" x14ac:dyDescent="0.25">
      <c r="G436" s="61">
        <f>H435</f>
        <v>28303.87</v>
      </c>
      <c r="H436" s="61"/>
      <c r="J436" s="61">
        <f>K435</f>
        <v>251904.44</v>
      </c>
      <c r="K436" s="61"/>
      <c r="L436" s="47">
        <f>Source!U161</f>
        <v>0</v>
      </c>
      <c r="O436" s="29">
        <f>G436</f>
        <v>28303.87</v>
      </c>
      <c r="P436" s="29">
        <f>J436</f>
        <v>251904.44</v>
      </c>
      <c r="Q436" s="29">
        <f>L436</f>
        <v>0</v>
      </c>
      <c r="W436">
        <f>IF(Source!BI161&lt;=1,H435, 0)</f>
        <v>28303.87</v>
      </c>
      <c r="X436">
        <f>IF(Source!BI161=2,H435, 0)</f>
        <v>0</v>
      </c>
      <c r="Y436">
        <f>IF(Source!BI161=3,H435, 0)</f>
        <v>0</v>
      </c>
      <c r="Z436">
        <f>IF(Source!BI161=4,H435, 0)</f>
        <v>0</v>
      </c>
    </row>
    <row r="437" spans="1:26" ht="54" x14ac:dyDescent="0.2">
      <c r="A437" s="53">
        <v>74</v>
      </c>
      <c r="B437" s="53" t="s">
        <v>29</v>
      </c>
      <c r="C437" s="53" t="s">
        <v>1002</v>
      </c>
      <c r="D437" s="42" t="str">
        <f>Source!H162</f>
        <v>шт.</v>
      </c>
      <c r="E437" s="43">
        <f>Source!I162</f>
        <v>49</v>
      </c>
      <c r="F437" s="44">
        <f>Source!AL162</f>
        <v>27.61</v>
      </c>
      <c r="G437" s="45" t="str">
        <f>Source!DD162</f>
        <v/>
      </c>
      <c r="H437" s="44">
        <f>ROUND(Source!AC162*Source!I162, 2)</f>
        <v>1352.89</v>
      </c>
      <c r="I437" s="45" t="str">
        <f>Source!BO162</f>
        <v/>
      </c>
      <c r="J437" s="45">
        <f>IF(Source!BC162&lt;&gt; 0, Source!BC162, 1)</f>
        <v>8.9</v>
      </c>
      <c r="K437" s="44">
        <f>Source!P162</f>
        <v>12040.72</v>
      </c>
      <c r="L437" s="48"/>
      <c r="S437">
        <f>ROUND((Source!FX162/100)*((ROUND(Source!AF162*Source!I162, 2)+ROUND(Source!AE162*Source!I162, 2))), 2)</f>
        <v>0</v>
      </c>
      <c r="T437">
        <f>Source!X162</f>
        <v>0</v>
      </c>
      <c r="U437">
        <f>ROUND((Source!FY162/100)*((ROUND(Source!AF162*Source!I162, 2)+ROUND(Source!AE162*Source!I162, 2))), 2)</f>
        <v>0</v>
      </c>
      <c r="V437">
        <f>Source!Y162</f>
        <v>0</v>
      </c>
    </row>
    <row r="438" spans="1:26" ht="15" x14ac:dyDescent="0.25">
      <c r="G438" s="61">
        <f>H437</f>
        <v>1352.89</v>
      </c>
      <c r="H438" s="61"/>
      <c r="J438" s="61">
        <f>K437</f>
        <v>12040.72</v>
      </c>
      <c r="K438" s="61"/>
      <c r="L438" s="47">
        <f>Source!U162</f>
        <v>0</v>
      </c>
      <c r="O438" s="29">
        <f>G438</f>
        <v>1352.89</v>
      </c>
      <c r="P438" s="29">
        <f>J438</f>
        <v>12040.72</v>
      </c>
      <c r="Q438" s="29">
        <f>L438</f>
        <v>0</v>
      </c>
      <c r="W438">
        <f>IF(Source!BI162&lt;=1,H437, 0)</f>
        <v>1352.89</v>
      </c>
      <c r="X438">
        <f>IF(Source!BI162=2,H437, 0)</f>
        <v>0</v>
      </c>
      <c r="Y438">
        <f>IF(Source!BI162=3,H437, 0)</f>
        <v>0</v>
      </c>
      <c r="Z438">
        <f>IF(Source!BI162=4,H437, 0)</f>
        <v>0</v>
      </c>
    </row>
    <row r="439" spans="1:26" ht="42.75" x14ac:dyDescent="0.2">
      <c r="A439" s="52">
        <v>75</v>
      </c>
      <c r="B439" s="52" t="s">
        <v>1003</v>
      </c>
      <c r="C439" s="52" t="str">
        <f>Source!G163</f>
        <v>Установка столов, шкафов под мойки, холодильных шкафов и др./прим. экран для радиаторов</v>
      </c>
      <c r="D439" s="36" t="str">
        <f>Source!H163</f>
        <v>100 ШТ</v>
      </c>
      <c r="E439" s="10">
        <f>Source!I163</f>
        <v>0.43</v>
      </c>
      <c r="F439" s="37">
        <f>Source!AL163+Source!AM163+Source!AO163</f>
        <v>2392.6899999999996</v>
      </c>
      <c r="G439" s="38"/>
      <c r="H439" s="37"/>
      <c r="I439" s="38" t="str">
        <f>Source!BO163</f>
        <v/>
      </c>
      <c r="J439" s="38"/>
      <c r="K439" s="37"/>
      <c r="L439" s="39"/>
      <c r="S439">
        <f>ROUND((Source!FX163/100)*((ROUND(Source!AF163*Source!I163, 2)+ROUND(Source!AE163*Source!I163, 2))), 2)</f>
        <v>320.16000000000003</v>
      </c>
      <c r="T439">
        <f>Source!X163</f>
        <v>10248.24</v>
      </c>
      <c r="U439">
        <f>ROUND((Source!FY163/100)*((ROUND(Source!AF163*Source!I163, 2)+ROUND(Source!AE163*Source!I163, 2))), 2)</f>
        <v>138.59</v>
      </c>
      <c r="V439">
        <f>Source!Y163</f>
        <v>4436.16</v>
      </c>
    </row>
    <row r="440" spans="1:26" x14ac:dyDescent="0.2">
      <c r="C440" s="28" t="str">
        <f>"Объем: "&amp;Source!I163&amp;"=43/"&amp;"100"</f>
        <v>Объем: 0,43=43/100</v>
      </c>
    </row>
    <row r="441" spans="1:26" ht="14.25" x14ac:dyDescent="0.2">
      <c r="A441" s="52"/>
      <c r="B441" s="52"/>
      <c r="C441" s="52" t="s">
        <v>894</v>
      </c>
      <c r="D441" s="36"/>
      <c r="E441" s="10"/>
      <c r="F441" s="37">
        <f>Source!AO163</f>
        <v>542.95000000000005</v>
      </c>
      <c r="G441" s="38" t="str">
        <f>Source!DG163</f>
        <v>)*1,15</v>
      </c>
      <c r="H441" s="37">
        <f>ROUND(Source!AF163*Source!I163, 2)</f>
        <v>268.49</v>
      </c>
      <c r="I441" s="38"/>
      <c r="J441" s="38">
        <f>IF(Source!BA163&lt;&gt; 0, Source!BA163, 1)</f>
        <v>32.01</v>
      </c>
      <c r="K441" s="37">
        <f>Source!S163</f>
        <v>8594.2900000000009</v>
      </c>
      <c r="L441" s="39"/>
      <c r="R441">
        <f>H441</f>
        <v>268.49</v>
      </c>
    </row>
    <row r="442" spans="1:26" ht="14.25" x14ac:dyDescent="0.2">
      <c r="A442" s="52"/>
      <c r="B442" s="52"/>
      <c r="C442" s="52" t="s">
        <v>340</v>
      </c>
      <c r="D442" s="36"/>
      <c r="E442" s="10"/>
      <c r="F442" s="37">
        <f>Source!AM163</f>
        <v>216.38</v>
      </c>
      <c r="G442" s="38" t="str">
        <f>Source!DE163</f>
        <v>)*1,25</v>
      </c>
      <c r="H442" s="37">
        <f>ROUND(((((Source!ET163*1.25))-((Source!EU163*1.25)))+Source!AE163)*Source!I163, 2)</f>
        <v>116.3</v>
      </c>
      <c r="I442" s="38"/>
      <c r="J442" s="38">
        <f>IF(Source!BB163&lt;&gt; 0, Source!BB163, 1)</f>
        <v>12.44</v>
      </c>
      <c r="K442" s="37">
        <f>Source!Q163</f>
        <v>1446.79</v>
      </c>
      <c r="L442" s="39"/>
    </row>
    <row r="443" spans="1:26" ht="14.25" x14ac:dyDescent="0.2">
      <c r="A443" s="52"/>
      <c r="B443" s="52"/>
      <c r="C443" s="52" t="s">
        <v>895</v>
      </c>
      <c r="D443" s="36"/>
      <c r="E443" s="10"/>
      <c r="F443" s="37">
        <f>Source!AN163</f>
        <v>52.01</v>
      </c>
      <c r="G443" s="38" t="str">
        <f>Source!DF163</f>
        <v>)*1,25</v>
      </c>
      <c r="H443" s="40">
        <f>ROUND(Source!AE163*Source!I163, 2)</f>
        <v>27.95</v>
      </c>
      <c r="I443" s="38"/>
      <c r="J443" s="38">
        <f>IF(Source!BS163&lt;&gt; 0, Source!BS163, 1)</f>
        <v>32.01</v>
      </c>
      <c r="K443" s="40">
        <f>Source!R163</f>
        <v>894.82</v>
      </c>
      <c r="L443" s="39"/>
      <c r="R443">
        <f>H443</f>
        <v>27.95</v>
      </c>
    </row>
    <row r="444" spans="1:26" ht="14.25" x14ac:dyDescent="0.2">
      <c r="A444" s="52"/>
      <c r="B444" s="52"/>
      <c r="C444" s="52" t="s">
        <v>911</v>
      </c>
      <c r="D444" s="36"/>
      <c r="E444" s="10"/>
      <c r="F444" s="37">
        <f>Source!AL163</f>
        <v>1633.36</v>
      </c>
      <c r="G444" s="38" t="str">
        <f>Source!DD163</f>
        <v/>
      </c>
      <c r="H444" s="37">
        <f>ROUND(Source!AC163*Source!I163, 2)</f>
        <v>702.34</v>
      </c>
      <c r="I444" s="38"/>
      <c r="J444" s="38">
        <f>IF(Source!BC163&lt;&gt; 0, Source!BC163, 1)</f>
        <v>8.9</v>
      </c>
      <c r="K444" s="37">
        <f>Source!P163</f>
        <v>6250.87</v>
      </c>
      <c r="L444" s="39"/>
    </row>
    <row r="445" spans="1:26" ht="14.25" x14ac:dyDescent="0.2">
      <c r="A445" s="52"/>
      <c r="B445" s="52"/>
      <c r="C445" s="52" t="s">
        <v>896</v>
      </c>
      <c r="D445" s="36" t="s">
        <v>897</v>
      </c>
      <c r="E445" s="10">
        <f>Source!BZ163</f>
        <v>108</v>
      </c>
      <c r="F445" s="54"/>
      <c r="G445" s="38"/>
      <c r="H445" s="37">
        <f>SUM(S439:S448)</f>
        <v>320.16000000000003</v>
      </c>
      <c r="I445" s="41"/>
      <c r="J445" s="35">
        <f>Source!AT163</f>
        <v>108</v>
      </c>
      <c r="K445" s="37">
        <f>SUM(T439:T448)</f>
        <v>10248.24</v>
      </c>
      <c r="L445" s="39"/>
    </row>
    <row r="446" spans="1:26" ht="14.25" x14ac:dyDescent="0.2">
      <c r="A446" s="52"/>
      <c r="B446" s="52"/>
      <c r="C446" s="52" t="s">
        <v>898</v>
      </c>
      <c r="D446" s="36" t="s">
        <v>897</v>
      </c>
      <c r="E446" s="10">
        <f>Source!CA163</f>
        <v>55</v>
      </c>
      <c r="F446" s="64" t="str">
        <f>CONCATENATE(" )", Source!DM163, Source!FU163, "=", Source!FY163)</f>
        <v xml:space="preserve"> ))*0,85=46,75</v>
      </c>
      <c r="G446" s="65"/>
      <c r="H446" s="37">
        <f>SUM(U439:U448)</f>
        <v>138.59</v>
      </c>
      <c r="I446" s="41"/>
      <c r="J446" s="35">
        <f>Source!AU163</f>
        <v>46.75</v>
      </c>
      <c r="K446" s="37">
        <f>SUM(V439:V448)</f>
        <v>4436.16</v>
      </c>
      <c r="L446" s="39"/>
    </row>
    <row r="447" spans="1:26" ht="14.25" x14ac:dyDescent="0.2">
      <c r="A447" s="52"/>
      <c r="B447" s="52"/>
      <c r="C447" s="52" t="s">
        <v>899</v>
      </c>
      <c r="D447" s="36" t="s">
        <v>900</v>
      </c>
      <c r="E447" s="10">
        <f>Source!AQ163</f>
        <v>67.7</v>
      </c>
      <c r="F447" s="37"/>
      <c r="G447" s="38" t="str">
        <f>Source!DI163</f>
        <v>)*1,15</v>
      </c>
      <c r="H447" s="37"/>
      <c r="I447" s="38"/>
      <c r="J447" s="38"/>
      <c r="K447" s="37"/>
      <c r="L447" s="49">
        <f>Source!U163</f>
        <v>33.477650000000004</v>
      </c>
    </row>
    <row r="448" spans="1:26" ht="42.75" x14ac:dyDescent="0.2">
      <c r="A448" s="53">
        <v>75.099999999999994</v>
      </c>
      <c r="B448" s="53" t="s">
        <v>1004</v>
      </c>
      <c r="C448" s="53" t="s">
        <v>1005</v>
      </c>
      <c r="D448" s="42" t="str">
        <f>Source!H164</f>
        <v>м</v>
      </c>
      <c r="E448" s="43">
        <f>Source!I164</f>
        <v>-172</v>
      </c>
      <c r="F448" s="44">
        <f>Source!AL164+Source!AM164+Source!AO164</f>
        <v>3.2</v>
      </c>
      <c r="G448" s="50" t="s">
        <v>3</v>
      </c>
      <c r="H448" s="44">
        <f>ROUND(Source!AC164*Source!I164, 2)+ROUND((((Source!ET164)-(Source!EU164))+Source!AE164)*Source!I164, 2)+ROUND(Source!AF164*Source!I164, 2)</f>
        <v>-550.4</v>
      </c>
      <c r="I448" s="45"/>
      <c r="J448" s="45">
        <f>IF(Source!BC164&lt;&gt; 0, Source!BC164, 1)</f>
        <v>8.9</v>
      </c>
      <c r="K448" s="44">
        <f>Source!O164</f>
        <v>-4898.5600000000004</v>
      </c>
      <c r="L448" s="48"/>
      <c r="S448">
        <f>ROUND((Source!FX164/100)*((ROUND(Source!AF164*Source!I164, 2)+ROUND(Source!AE164*Source!I164, 2))), 2)</f>
        <v>0</v>
      </c>
      <c r="T448">
        <f>Source!X164</f>
        <v>0</v>
      </c>
      <c r="U448">
        <f>ROUND((Source!FY164/100)*((ROUND(Source!AF164*Source!I164, 2)+ROUND(Source!AE164*Source!I164, 2))), 2)</f>
        <v>0</v>
      </c>
      <c r="V448">
        <f>Source!Y164</f>
        <v>0</v>
      </c>
      <c r="W448">
        <f>IF(Source!BI164&lt;=1,H448, 0)</f>
        <v>-550.4</v>
      </c>
      <c r="X448">
        <f>IF(Source!BI164=2,H448, 0)</f>
        <v>0</v>
      </c>
      <c r="Y448">
        <f>IF(Source!BI164=3,H448, 0)</f>
        <v>0</v>
      </c>
      <c r="Z448">
        <f>IF(Source!BI164=4,H448, 0)</f>
        <v>0</v>
      </c>
    </row>
    <row r="449" spans="1:26" ht="15" x14ac:dyDescent="0.25">
      <c r="G449" s="61">
        <f>H441+H442+H444+H445+H446+SUM(H448:H448)</f>
        <v>995.48000000000013</v>
      </c>
      <c r="H449" s="61"/>
      <c r="J449" s="61">
        <f>K441+K442+K444+K445+K446+SUM(K448:K448)</f>
        <v>26077.79</v>
      </c>
      <c r="K449" s="61"/>
      <c r="L449" s="47">
        <f>Source!U163</f>
        <v>33.477650000000004</v>
      </c>
      <c r="O449" s="29">
        <f>G449</f>
        <v>995.48000000000013</v>
      </c>
      <c r="P449" s="29">
        <f>J449</f>
        <v>26077.79</v>
      </c>
      <c r="Q449" s="29">
        <f>L449</f>
        <v>33.477650000000004</v>
      </c>
      <c r="W449">
        <f>IF(Source!BI163&lt;=1,H441+H442+H444+H445+H446, 0)</f>
        <v>1545.88</v>
      </c>
      <c r="X449">
        <f>IF(Source!BI163=2,H441+H442+H444+H445+H446, 0)</f>
        <v>0</v>
      </c>
      <c r="Y449">
        <f>IF(Source!BI163=3,H441+H442+H444+H445+H446, 0)</f>
        <v>0</v>
      </c>
      <c r="Z449">
        <f>IF(Source!BI163=4,H441+H442+H444+H445+H446, 0)</f>
        <v>0</v>
      </c>
    </row>
    <row r="450" spans="1:26" ht="54" x14ac:dyDescent="0.2">
      <c r="A450" s="53">
        <v>76</v>
      </c>
      <c r="B450" s="53" t="s">
        <v>29</v>
      </c>
      <c r="C450" s="53" t="s">
        <v>1006</v>
      </c>
      <c r="D450" s="42" t="str">
        <f>Source!H165</f>
        <v>шт.</v>
      </c>
      <c r="E450" s="43">
        <f>Source!I165</f>
        <v>43</v>
      </c>
      <c r="F450" s="44">
        <f>Source!AL165</f>
        <v>106.28999999999999</v>
      </c>
      <c r="G450" s="45" t="str">
        <f>Source!DD165</f>
        <v/>
      </c>
      <c r="H450" s="44">
        <f>ROUND(Source!AC165*Source!I165, 2)</f>
        <v>4570.47</v>
      </c>
      <c r="I450" s="45" t="str">
        <f>Source!BO165</f>
        <v/>
      </c>
      <c r="J450" s="45">
        <f>IF(Source!BC165&lt;&gt; 0, Source!BC165, 1)</f>
        <v>8.9</v>
      </c>
      <c r="K450" s="44">
        <f>Source!P165</f>
        <v>40677.18</v>
      </c>
      <c r="L450" s="48"/>
      <c r="S450">
        <f>ROUND((Source!FX165/100)*((ROUND(Source!AF165*Source!I165, 2)+ROUND(Source!AE165*Source!I165, 2))), 2)</f>
        <v>0</v>
      </c>
      <c r="T450">
        <f>Source!X165</f>
        <v>0</v>
      </c>
      <c r="U450">
        <f>ROUND((Source!FY165/100)*((ROUND(Source!AF165*Source!I165, 2)+ROUND(Source!AE165*Source!I165, 2))), 2)</f>
        <v>0</v>
      </c>
      <c r="V450">
        <f>Source!Y165</f>
        <v>0</v>
      </c>
    </row>
    <row r="451" spans="1:26" ht="15" x14ac:dyDescent="0.25">
      <c r="G451" s="61">
        <f>H450</f>
        <v>4570.47</v>
      </c>
      <c r="H451" s="61"/>
      <c r="J451" s="61">
        <f>K450</f>
        <v>40677.18</v>
      </c>
      <c r="K451" s="61"/>
      <c r="L451" s="47">
        <f>Source!U165</f>
        <v>0</v>
      </c>
      <c r="O451" s="29">
        <f>G451</f>
        <v>4570.47</v>
      </c>
      <c r="P451" s="29">
        <f>J451</f>
        <v>40677.18</v>
      </c>
      <c r="Q451" s="29">
        <f>L451</f>
        <v>0</v>
      </c>
      <c r="W451">
        <f>IF(Source!BI165&lt;=1,H450, 0)</f>
        <v>4570.47</v>
      </c>
      <c r="X451">
        <f>IF(Source!BI165=2,H450, 0)</f>
        <v>0</v>
      </c>
      <c r="Y451">
        <f>IF(Source!BI165=3,H450, 0)</f>
        <v>0</v>
      </c>
      <c r="Z451">
        <f>IF(Source!BI165=4,H450, 0)</f>
        <v>0</v>
      </c>
    </row>
    <row r="453" spans="1:26" ht="15" x14ac:dyDescent="0.25">
      <c r="A453" s="63" t="str">
        <f>CONCATENATE("Итого по разделу: ",IF(Source!G167&lt;&gt;"Новый раздел", Source!G167, ""))</f>
        <v>Итого по разделу: Ремонт системы отопления</v>
      </c>
      <c r="B453" s="63"/>
      <c r="C453" s="63"/>
      <c r="D453" s="63"/>
      <c r="E453" s="63"/>
      <c r="F453" s="63"/>
      <c r="G453" s="62">
        <f>SUM(O338:O452)</f>
        <v>104781.47999999998</v>
      </c>
      <c r="H453" s="62"/>
      <c r="I453" s="34"/>
      <c r="J453" s="62">
        <f>SUM(P338:P452)</f>
        <v>1492665.21</v>
      </c>
      <c r="K453" s="62"/>
      <c r="L453" s="47">
        <f>SUM(Q338:Q452)</f>
        <v>983.86985002000006</v>
      </c>
    </row>
    <row r="457" spans="1:26" ht="16.5" x14ac:dyDescent="0.25">
      <c r="A457" s="66" t="str">
        <f>CONCATENATE("Раздел: ",IF(Source!G197&lt;&gt;"Новый раздел", Source!G197, ""))</f>
        <v>Раздел: Ремонт крыльца</v>
      </c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</row>
    <row r="458" spans="1:26" ht="28.5" x14ac:dyDescent="0.2">
      <c r="A458" s="52">
        <v>77</v>
      </c>
      <c r="B458" s="52" t="s">
        <v>920</v>
      </c>
      <c r="C458" s="52" t="str">
        <f>Source!G201</f>
        <v>Разборка покрытий полов: из керамических плиток</v>
      </c>
      <c r="D458" s="36" t="str">
        <f>Source!H201</f>
        <v>100 м2</v>
      </c>
      <c r="E458" s="10">
        <f>Source!I201</f>
        <v>0.18</v>
      </c>
      <c r="F458" s="37">
        <f>Source!AL201+Source!AM201+Source!AO201</f>
        <v>641</v>
      </c>
      <c r="G458" s="38"/>
      <c r="H458" s="37"/>
      <c r="I458" s="38" t="str">
        <f>Source!BO201</f>
        <v/>
      </c>
      <c r="J458" s="38"/>
      <c r="K458" s="37"/>
      <c r="L458" s="39"/>
      <c r="S458">
        <f>ROUND((Source!FX201/100)*((ROUND(Source!AF201*Source!I201, 2)+ROUND(Source!AE201*Source!I201, 2))), 2)</f>
        <v>98.59</v>
      </c>
      <c r="T458">
        <f>Source!X201</f>
        <v>3155.93</v>
      </c>
      <c r="U458">
        <f>ROUND((Source!FY201/100)*((ROUND(Source!AF201*Source!I201, 2)+ROUND(Source!AE201*Source!I201, 2))), 2)</f>
        <v>54.28</v>
      </c>
      <c r="V458">
        <f>Source!Y201</f>
        <v>1737.54</v>
      </c>
    </row>
    <row r="459" spans="1:26" x14ac:dyDescent="0.2">
      <c r="C459" s="28" t="str">
        <f>"Объем: "&amp;Source!I201&amp;"=18/"&amp;"100"</f>
        <v>Объем: 0,18=18/100</v>
      </c>
    </row>
    <row r="460" spans="1:26" ht="14.25" x14ac:dyDescent="0.2">
      <c r="A460" s="52"/>
      <c r="B460" s="52"/>
      <c r="C460" s="52" t="s">
        <v>894</v>
      </c>
      <c r="D460" s="36"/>
      <c r="E460" s="10"/>
      <c r="F460" s="37">
        <f>Source!AO201</f>
        <v>595.99</v>
      </c>
      <c r="G460" s="38" t="str">
        <f>Source!DG201</f>
        <v/>
      </c>
      <c r="H460" s="37">
        <f>ROUND(Source!AF201*Source!I201, 2)</f>
        <v>107.28</v>
      </c>
      <c r="I460" s="38"/>
      <c r="J460" s="38">
        <f>IF(Source!BA201&lt;&gt; 0, Source!BA201, 1)</f>
        <v>32.01</v>
      </c>
      <c r="K460" s="37">
        <f>Source!S201</f>
        <v>3433.98</v>
      </c>
      <c r="L460" s="39"/>
      <c r="R460">
        <f>H460</f>
        <v>107.28</v>
      </c>
    </row>
    <row r="461" spans="1:26" ht="14.25" x14ac:dyDescent="0.2">
      <c r="A461" s="52"/>
      <c r="B461" s="52"/>
      <c r="C461" s="52" t="s">
        <v>340</v>
      </c>
      <c r="D461" s="36"/>
      <c r="E461" s="10"/>
      <c r="F461" s="37">
        <f>Source!AM201</f>
        <v>45.01</v>
      </c>
      <c r="G461" s="38" t="str">
        <f>Source!DE201</f>
        <v/>
      </c>
      <c r="H461" s="37">
        <f>ROUND((((Source!ET201)-(Source!EU201))+Source!AE201)*Source!I201, 2)</f>
        <v>8.1</v>
      </c>
      <c r="I461" s="38"/>
      <c r="J461" s="38">
        <f>IF(Source!BB201&lt;&gt; 0, Source!BB201, 1)</f>
        <v>12.44</v>
      </c>
      <c r="K461" s="37">
        <f>Source!Q201</f>
        <v>100.79</v>
      </c>
      <c r="L461" s="39"/>
    </row>
    <row r="462" spans="1:26" ht="14.25" x14ac:dyDescent="0.2">
      <c r="A462" s="52"/>
      <c r="B462" s="52"/>
      <c r="C462" s="52" t="s">
        <v>895</v>
      </c>
      <c r="D462" s="36"/>
      <c r="E462" s="10"/>
      <c r="F462" s="37">
        <f>Source!AN201</f>
        <v>19.440000000000001</v>
      </c>
      <c r="G462" s="38" t="str">
        <f>Source!DF201</f>
        <v/>
      </c>
      <c r="H462" s="40">
        <f>ROUND(Source!AE201*Source!I201, 2)</f>
        <v>3.5</v>
      </c>
      <c r="I462" s="38"/>
      <c r="J462" s="38">
        <f>IF(Source!BS201&lt;&gt; 0, Source!BS201, 1)</f>
        <v>32.01</v>
      </c>
      <c r="K462" s="40">
        <f>Source!R201</f>
        <v>112.01</v>
      </c>
      <c r="L462" s="39"/>
      <c r="R462">
        <f>H462</f>
        <v>3.5</v>
      </c>
    </row>
    <row r="463" spans="1:26" ht="14.25" x14ac:dyDescent="0.2">
      <c r="A463" s="52"/>
      <c r="B463" s="52"/>
      <c r="C463" s="52" t="s">
        <v>896</v>
      </c>
      <c r="D463" s="36" t="s">
        <v>897</v>
      </c>
      <c r="E463" s="10">
        <f>Source!BZ201</f>
        <v>89</v>
      </c>
      <c r="F463" s="54"/>
      <c r="G463" s="38"/>
      <c r="H463" s="37">
        <f>SUM(S458:S466)</f>
        <v>98.59</v>
      </c>
      <c r="I463" s="41"/>
      <c r="J463" s="35">
        <f>Source!AT201</f>
        <v>89</v>
      </c>
      <c r="K463" s="37">
        <f>SUM(T458:T466)</f>
        <v>3155.93</v>
      </c>
      <c r="L463" s="39"/>
    </row>
    <row r="464" spans="1:26" ht="14.25" x14ac:dyDescent="0.2">
      <c r="A464" s="52"/>
      <c r="B464" s="52"/>
      <c r="C464" s="52" t="s">
        <v>898</v>
      </c>
      <c r="D464" s="36" t="s">
        <v>897</v>
      </c>
      <c r="E464" s="10">
        <f>Source!CA201</f>
        <v>49</v>
      </c>
      <c r="F464" s="54"/>
      <c r="G464" s="38"/>
      <c r="H464" s="37">
        <f>SUM(U458:U466)</f>
        <v>54.28</v>
      </c>
      <c r="I464" s="41"/>
      <c r="J464" s="35">
        <f>Source!AU201</f>
        <v>49</v>
      </c>
      <c r="K464" s="37">
        <f>SUM(V458:V466)</f>
        <v>1737.54</v>
      </c>
      <c r="L464" s="39"/>
    </row>
    <row r="465" spans="1:26" ht="14.25" x14ac:dyDescent="0.2">
      <c r="A465" s="52"/>
      <c r="B465" s="52"/>
      <c r="C465" s="52" t="s">
        <v>899</v>
      </c>
      <c r="D465" s="36" t="s">
        <v>900</v>
      </c>
      <c r="E465" s="10">
        <f>Source!AQ201</f>
        <v>69.87</v>
      </c>
      <c r="F465" s="37"/>
      <c r="G465" s="38" t="str">
        <f>Source!DI201</f>
        <v/>
      </c>
      <c r="H465" s="37"/>
      <c r="I465" s="38"/>
      <c r="J465" s="38"/>
      <c r="K465" s="37"/>
      <c r="L465" s="49">
        <f>Source!U201</f>
        <v>12.576600000000001</v>
      </c>
    </row>
    <row r="466" spans="1:26" ht="14.25" x14ac:dyDescent="0.2">
      <c r="A466" s="53">
        <v>77.099999999999994</v>
      </c>
      <c r="B466" s="53" t="s">
        <v>47</v>
      </c>
      <c r="C466" s="53" t="str">
        <f>Source!G202</f>
        <v>Строительный мусор</v>
      </c>
      <c r="D466" s="42" t="str">
        <f>Source!H202</f>
        <v>т</v>
      </c>
      <c r="E466" s="43">
        <f>Source!I202</f>
        <v>0.93599999999999994</v>
      </c>
      <c r="F466" s="44">
        <f>Source!AL202+Source!AM202+Source!AO202</f>
        <v>0</v>
      </c>
      <c r="G466" s="50" t="s">
        <v>3</v>
      </c>
      <c r="H466" s="44">
        <f>ROUND(Source!AC202*Source!I202, 2)+ROUND((((Source!ET202)-(Source!EU202))+Source!AE202)*Source!I202, 2)+ROUND(Source!AF202*Source!I202, 2)</f>
        <v>0</v>
      </c>
      <c r="I466" s="45"/>
      <c r="J466" s="45">
        <f>IF(Source!BC202&lt;&gt; 0, Source!BC202, 1)</f>
        <v>8.9</v>
      </c>
      <c r="K466" s="44">
        <f>Source!O202</f>
        <v>0</v>
      </c>
      <c r="L466" s="48"/>
      <c r="S466">
        <f>ROUND((Source!FX202/100)*((ROUND(Source!AF202*Source!I202, 2)+ROUND(Source!AE202*Source!I202, 2))), 2)</f>
        <v>0</v>
      </c>
      <c r="T466">
        <f>Source!X202</f>
        <v>0</v>
      </c>
      <c r="U466">
        <f>ROUND((Source!FY202/100)*((ROUND(Source!AF202*Source!I202, 2)+ROUND(Source!AE202*Source!I202, 2))), 2)</f>
        <v>0</v>
      </c>
      <c r="V466">
        <f>Source!Y202</f>
        <v>0</v>
      </c>
      <c r="W466">
        <f>IF(Source!BI202&lt;=1,H466, 0)</f>
        <v>0</v>
      </c>
      <c r="X466">
        <f>IF(Source!BI202=2,H466, 0)</f>
        <v>0</v>
      </c>
      <c r="Y466">
        <f>IF(Source!BI202=3,H466, 0)</f>
        <v>0</v>
      </c>
      <c r="Z466">
        <f>IF(Source!BI202=4,H466, 0)</f>
        <v>0</v>
      </c>
    </row>
    <row r="467" spans="1:26" ht="15" x14ac:dyDescent="0.25">
      <c r="G467" s="61">
        <f>H460+H461+H463+H464+SUM(H466:H466)</f>
        <v>268.25</v>
      </c>
      <c r="H467" s="61"/>
      <c r="J467" s="61">
        <f>K460+K461+K463+K464+SUM(K466:K466)</f>
        <v>8428.24</v>
      </c>
      <c r="K467" s="61"/>
      <c r="L467" s="47">
        <f>Source!U201</f>
        <v>12.576600000000001</v>
      </c>
      <c r="O467" s="29">
        <f>G467</f>
        <v>268.25</v>
      </c>
      <c r="P467" s="29">
        <f>J467</f>
        <v>8428.24</v>
      </c>
      <c r="Q467" s="29">
        <f>L467</f>
        <v>12.576600000000001</v>
      </c>
      <c r="W467">
        <f>IF(Source!BI201&lt;=1,H460+H461+H463+H464, 0)</f>
        <v>268.25</v>
      </c>
      <c r="X467">
        <f>IF(Source!BI201=2,H460+H461+H463+H464, 0)</f>
        <v>0</v>
      </c>
      <c r="Y467">
        <f>IF(Source!BI201=3,H460+H461+H463+H464, 0)</f>
        <v>0</v>
      </c>
      <c r="Z467">
        <f>IF(Source!BI201=4,H460+H461+H463+H464, 0)</f>
        <v>0</v>
      </c>
    </row>
    <row r="468" spans="1:26" ht="42.75" x14ac:dyDescent="0.2">
      <c r="A468" s="52">
        <v>78</v>
      </c>
      <c r="B468" s="52" t="s">
        <v>922</v>
      </c>
      <c r="C468" s="52" t="str">
        <f>Source!G203</f>
        <v>Нанесение водно-дисперсионной грунтовки на поверхности: пористые (камень, кирпич, бетон и т.д.)</v>
      </c>
      <c r="D468" s="36" t="str">
        <f>Source!H203</f>
        <v>100 м2</v>
      </c>
      <c r="E468" s="10">
        <f>Source!I203</f>
        <v>0.18</v>
      </c>
      <c r="F468" s="37">
        <f>Source!AL203+Source!AM203+Source!AO203</f>
        <v>57.849999999999994</v>
      </c>
      <c r="G468" s="38"/>
      <c r="H468" s="37"/>
      <c r="I468" s="38" t="str">
        <f>Source!BO203</f>
        <v/>
      </c>
      <c r="J468" s="38"/>
      <c r="K468" s="37"/>
      <c r="L468" s="39"/>
      <c r="S468">
        <f>ROUND((Source!FX203/100)*((ROUND(Source!AF203*Source!I203, 2)+ROUND(Source!AE203*Source!I203, 2))), 2)</f>
        <v>7.14</v>
      </c>
      <c r="T468">
        <f>Source!X203</f>
        <v>228.63</v>
      </c>
      <c r="U468">
        <f>ROUND((Source!FY203/100)*((ROUND(Source!AF203*Source!I203, 2)+ROUND(Source!AE203*Source!I203, 2))), 2)</f>
        <v>2.97</v>
      </c>
      <c r="V468">
        <f>Source!Y203</f>
        <v>95.22</v>
      </c>
    </row>
    <row r="469" spans="1:26" x14ac:dyDescent="0.2">
      <c r="C469" s="28" t="str">
        <f>"Объем: "&amp;Source!I203&amp;"=18/"&amp;"100"</f>
        <v>Объем: 0,18=18/100</v>
      </c>
    </row>
    <row r="470" spans="1:26" ht="14.25" x14ac:dyDescent="0.2">
      <c r="A470" s="52"/>
      <c r="B470" s="52"/>
      <c r="C470" s="52" t="s">
        <v>894</v>
      </c>
      <c r="D470" s="36"/>
      <c r="E470" s="10"/>
      <c r="F470" s="37">
        <f>Source!AO203</f>
        <v>33.869999999999997</v>
      </c>
      <c r="G470" s="38" t="str">
        <f>Source!DG203</f>
        <v>)*1,15</v>
      </c>
      <c r="H470" s="37">
        <f>ROUND(Source!AF203*Source!I203, 2)</f>
        <v>7.01</v>
      </c>
      <c r="I470" s="38"/>
      <c r="J470" s="38">
        <f>IF(Source!BA203&lt;&gt; 0, Source!BA203, 1)</f>
        <v>32.01</v>
      </c>
      <c r="K470" s="37">
        <f>Source!S203</f>
        <v>224.42</v>
      </c>
      <c r="L470" s="39"/>
      <c r="R470">
        <f>H470</f>
        <v>7.01</v>
      </c>
    </row>
    <row r="471" spans="1:26" ht="14.25" x14ac:dyDescent="0.2">
      <c r="A471" s="52"/>
      <c r="B471" s="52"/>
      <c r="C471" s="52" t="s">
        <v>340</v>
      </c>
      <c r="D471" s="36"/>
      <c r="E471" s="10"/>
      <c r="F471" s="37">
        <f>Source!AM203</f>
        <v>22.14</v>
      </c>
      <c r="G471" s="38" t="str">
        <f>Source!DE203</f>
        <v>)*1,25</v>
      </c>
      <c r="H471" s="37">
        <f>ROUND(((((Source!ET203*1.25))-((Source!EU203*1.25)))+Source!AE203)*Source!I203, 2)</f>
        <v>4.9800000000000004</v>
      </c>
      <c r="I471" s="38"/>
      <c r="J471" s="38">
        <f>IF(Source!BB203&lt;&gt; 0, Source!BB203, 1)</f>
        <v>12.44</v>
      </c>
      <c r="K471" s="37">
        <f>Source!Q203</f>
        <v>62</v>
      </c>
      <c r="L471" s="39"/>
    </row>
    <row r="472" spans="1:26" ht="14.25" x14ac:dyDescent="0.2">
      <c r="A472" s="52"/>
      <c r="B472" s="52"/>
      <c r="C472" s="52" t="s">
        <v>895</v>
      </c>
      <c r="D472" s="36"/>
      <c r="E472" s="10"/>
      <c r="F472" s="37">
        <f>Source!AN203</f>
        <v>0.57999999999999996</v>
      </c>
      <c r="G472" s="38" t="str">
        <f>Source!DF203</f>
        <v>)*1,25</v>
      </c>
      <c r="H472" s="40">
        <f>ROUND(Source!AE203*Source!I203, 2)</f>
        <v>0.13</v>
      </c>
      <c r="I472" s="38"/>
      <c r="J472" s="38">
        <f>IF(Source!BS203&lt;&gt; 0, Source!BS203, 1)</f>
        <v>32.01</v>
      </c>
      <c r="K472" s="40">
        <f>Source!R203</f>
        <v>4.21</v>
      </c>
      <c r="L472" s="39"/>
      <c r="R472">
        <f>H472</f>
        <v>0.13</v>
      </c>
    </row>
    <row r="473" spans="1:26" ht="14.25" x14ac:dyDescent="0.2">
      <c r="A473" s="52"/>
      <c r="B473" s="52"/>
      <c r="C473" s="52" t="s">
        <v>911</v>
      </c>
      <c r="D473" s="36"/>
      <c r="E473" s="10"/>
      <c r="F473" s="37">
        <f>Source!AL203</f>
        <v>1.84</v>
      </c>
      <c r="G473" s="38" t="str">
        <f>Source!DD203</f>
        <v/>
      </c>
      <c r="H473" s="37">
        <f>ROUND(Source!AC203*Source!I203, 2)</f>
        <v>0.33</v>
      </c>
      <c r="I473" s="38"/>
      <c r="J473" s="38">
        <f>IF(Source!BC203&lt;&gt; 0, Source!BC203, 1)</f>
        <v>8.9</v>
      </c>
      <c r="K473" s="37">
        <f>Source!P203</f>
        <v>2.95</v>
      </c>
      <c r="L473" s="39"/>
    </row>
    <row r="474" spans="1:26" ht="14.25" x14ac:dyDescent="0.2">
      <c r="A474" s="52"/>
      <c r="B474" s="52"/>
      <c r="C474" s="52" t="s">
        <v>896</v>
      </c>
      <c r="D474" s="36" t="s">
        <v>897</v>
      </c>
      <c r="E474" s="10">
        <f>Source!BZ203</f>
        <v>100</v>
      </c>
      <c r="F474" s="54"/>
      <c r="G474" s="38"/>
      <c r="H474" s="37">
        <f>SUM(S468:S476)</f>
        <v>7.14</v>
      </c>
      <c r="I474" s="41"/>
      <c r="J474" s="35">
        <f>Source!AT203</f>
        <v>100</v>
      </c>
      <c r="K474" s="37">
        <f>SUM(T468:T476)</f>
        <v>228.63</v>
      </c>
      <c r="L474" s="39"/>
    </row>
    <row r="475" spans="1:26" ht="14.25" x14ac:dyDescent="0.2">
      <c r="A475" s="52"/>
      <c r="B475" s="52"/>
      <c r="C475" s="52" t="s">
        <v>898</v>
      </c>
      <c r="D475" s="36" t="s">
        <v>897</v>
      </c>
      <c r="E475" s="10">
        <f>Source!CA203</f>
        <v>49</v>
      </c>
      <c r="F475" s="64" t="str">
        <f>CONCATENATE(" )", Source!DM203, Source!FU203, "=", Source!FY203)</f>
        <v xml:space="preserve"> ))*0,85=41,65</v>
      </c>
      <c r="G475" s="65"/>
      <c r="H475" s="37">
        <f>SUM(U468:U476)</f>
        <v>2.97</v>
      </c>
      <c r="I475" s="41"/>
      <c r="J475" s="35">
        <f>Source!AU203</f>
        <v>41.65</v>
      </c>
      <c r="K475" s="37">
        <f>SUM(V468:V476)</f>
        <v>95.22</v>
      </c>
      <c r="L475" s="39"/>
    </row>
    <row r="476" spans="1:26" ht="14.25" x14ac:dyDescent="0.2">
      <c r="A476" s="53"/>
      <c r="B476" s="53"/>
      <c r="C476" s="53" t="s">
        <v>899</v>
      </c>
      <c r="D476" s="42" t="s">
        <v>900</v>
      </c>
      <c r="E476" s="43">
        <f>Source!AQ203</f>
        <v>3.69</v>
      </c>
      <c r="F476" s="44"/>
      <c r="G476" s="45" t="str">
        <f>Source!DI203</f>
        <v>)*1,15</v>
      </c>
      <c r="H476" s="44"/>
      <c r="I476" s="45"/>
      <c r="J476" s="45"/>
      <c r="K476" s="44"/>
      <c r="L476" s="46">
        <f>Source!U203</f>
        <v>0.76383000000000001</v>
      </c>
    </row>
    <row r="477" spans="1:26" ht="15" x14ac:dyDescent="0.25">
      <c r="G477" s="61">
        <f>H470+H471+H473+H474+H475</f>
        <v>22.43</v>
      </c>
      <c r="H477" s="61"/>
      <c r="J477" s="61">
        <f>K470+K471+K473+K474+K475</f>
        <v>613.22</v>
      </c>
      <c r="K477" s="61"/>
      <c r="L477" s="47">
        <f>Source!U203</f>
        <v>0.76383000000000001</v>
      </c>
      <c r="O477" s="29">
        <f>G477</f>
        <v>22.43</v>
      </c>
      <c r="P477" s="29">
        <f>J477</f>
        <v>613.22</v>
      </c>
      <c r="Q477" s="29">
        <f>L477</f>
        <v>0.76383000000000001</v>
      </c>
      <c r="W477">
        <f>IF(Source!BI203&lt;=1,H470+H471+H473+H474+H475, 0)</f>
        <v>22.43</v>
      </c>
      <c r="X477">
        <f>IF(Source!BI203=2,H470+H471+H473+H474+H475, 0)</f>
        <v>0</v>
      </c>
      <c r="Y477">
        <f>IF(Source!BI203=3,H470+H471+H473+H474+H475, 0)</f>
        <v>0</v>
      </c>
      <c r="Z477">
        <f>IF(Source!BI203=4,H470+H471+H473+H474+H475, 0)</f>
        <v>0</v>
      </c>
    </row>
    <row r="478" spans="1:26" ht="54" x14ac:dyDescent="0.2">
      <c r="A478" s="53">
        <v>79</v>
      </c>
      <c r="B478" s="53" t="s">
        <v>29</v>
      </c>
      <c r="C478" s="53" t="s">
        <v>947</v>
      </c>
      <c r="D478" s="42" t="str">
        <f>Source!H204</f>
        <v>кг</v>
      </c>
      <c r="E478" s="43">
        <f>Source!I204</f>
        <v>2.484</v>
      </c>
      <c r="F478" s="44">
        <f>Source!AL204</f>
        <v>9.0399999999999991</v>
      </c>
      <c r="G478" s="45" t="str">
        <f>Source!DD204</f>
        <v/>
      </c>
      <c r="H478" s="44">
        <f>ROUND(Source!AC204*Source!I204, 2)</f>
        <v>22.46</v>
      </c>
      <c r="I478" s="45" t="str">
        <f>Source!BO204</f>
        <v/>
      </c>
      <c r="J478" s="45">
        <f>IF(Source!BC204&lt;&gt; 0, Source!BC204, 1)</f>
        <v>8.9</v>
      </c>
      <c r="K478" s="44">
        <f>Source!P204</f>
        <v>199.85</v>
      </c>
      <c r="L478" s="48"/>
      <c r="S478">
        <f>ROUND((Source!FX204/100)*((ROUND(Source!AF204*Source!I204, 2)+ROUND(Source!AE204*Source!I204, 2))), 2)</f>
        <v>0</v>
      </c>
      <c r="T478">
        <f>Source!X204</f>
        <v>0</v>
      </c>
      <c r="U478">
        <f>ROUND((Source!FY204/100)*((ROUND(Source!AF204*Source!I204, 2)+ROUND(Source!AE204*Source!I204, 2))), 2)</f>
        <v>0</v>
      </c>
      <c r="V478">
        <f>Source!Y204</f>
        <v>0</v>
      </c>
    </row>
    <row r="479" spans="1:26" ht="15" x14ac:dyDescent="0.25">
      <c r="G479" s="61">
        <f>H478</f>
        <v>22.46</v>
      </c>
      <c r="H479" s="61"/>
      <c r="J479" s="61">
        <f>K478</f>
        <v>199.85</v>
      </c>
      <c r="K479" s="61"/>
      <c r="L479" s="47">
        <f>Source!U204</f>
        <v>0</v>
      </c>
      <c r="O479" s="29">
        <f>G479</f>
        <v>22.46</v>
      </c>
      <c r="P479" s="29">
        <f>J479</f>
        <v>199.85</v>
      </c>
      <c r="Q479" s="29">
        <f>L479</f>
        <v>0</v>
      </c>
      <c r="W479">
        <f>IF(Source!BI204&lt;=1,H478, 0)</f>
        <v>22.46</v>
      </c>
      <c r="X479">
        <f>IF(Source!BI204=2,H478, 0)</f>
        <v>0</v>
      </c>
      <c r="Y479">
        <f>IF(Source!BI204=3,H478, 0)</f>
        <v>0</v>
      </c>
      <c r="Z479">
        <f>IF(Source!BI204=4,H478, 0)</f>
        <v>0</v>
      </c>
    </row>
    <row r="480" spans="1:26" ht="71.25" x14ac:dyDescent="0.2">
      <c r="A480" s="52">
        <v>80</v>
      </c>
      <c r="B480" s="52" t="s">
        <v>924</v>
      </c>
      <c r="C480" s="52" t="str">
        <f>Source!G205</f>
        <v>Устройство покрытий на растворе из сухой смеси с приготовлением раствора в построечных условиях из плиток: гладких неглазурованных керамических для полов одноцветных</v>
      </c>
      <c r="D480" s="36" t="str">
        <f>Source!H205</f>
        <v>100 м2</v>
      </c>
      <c r="E480" s="10">
        <f>Source!I205</f>
        <v>0.18</v>
      </c>
      <c r="F480" s="37">
        <f>Source!AL205+Source!AM205+Source!AO205</f>
        <v>9047.81</v>
      </c>
      <c r="G480" s="38"/>
      <c r="H480" s="37"/>
      <c r="I480" s="38" t="str">
        <f>Source!BO205</f>
        <v/>
      </c>
      <c r="J480" s="38"/>
      <c r="K480" s="37"/>
      <c r="L480" s="39"/>
      <c r="S480">
        <f>ROUND((Source!FX205/100)*((ROUND(Source!AF205*Source!I205, 2)+ROUND(Source!AE205*Source!I205, 2))), 2)</f>
        <v>256.20999999999998</v>
      </c>
      <c r="T480">
        <f>Source!X205</f>
        <v>8201.52</v>
      </c>
      <c r="U480">
        <f>ROUND((Source!FY205/100)*((ROUND(Source!AF205*Source!I205, 2)+ROUND(Source!AE205*Source!I205, 2))), 2)</f>
        <v>126.39</v>
      </c>
      <c r="V480">
        <f>Source!Y205</f>
        <v>4045.84</v>
      </c>
    </row>
    <row r="481" spans="1:26" x14ac:dyDescent="0.2">
      <c r="C481" s="28" t="str">
        <f>"Объем: "&amp;Source!I205&amp;"=18/"&amp;"100"</f>
        <v>Объем: 0,18=18/100</v>
      </c>
    </row>
    <row r="482" spans="1:26" ht="14.25" x14ac:dyDescent="0.2">
      <c r="A482" s="52"/>
      <c r="B482" s="52"/>
      <c r="C482" s="52" t="s">
        <v>894</v>
      </c>
      <c r="D482" s="36"/>
      <c r="E482" s="10"/>
      <c r="F482" s="37">
        <f>Source!AO205</f>
        <v>1046.8800000000001</v>
      </c>
      <c r="G482" s="38" t="str">
        <f>Source!DG205</f>
        <v>)*1,15</v>
      </c>
      <c r="H482" s="37">
        <f>ROUND(Source!AF205*Source!I205, 2)</f>
        <v>216.7</v>
      </c>
      <c r="I482" s="38"/>
      <c r="J482" s="38">
        <f>IF(Source!BA205&lt;&gt; 0, Source!BA205, 1)</f>
        <v>32.01</v>
      </c>
      <c r="K482" s="37">
        <f>Source!S205</f>
        <v>6936.69</v>
      </c>
      <c r="L482" s="39"/>
      <c r="R482">
        <f>H482</f>
        <v>216.7</v>
      </c>
    </row>
    <row r="483" spans="1:26" ht="14.25" x14ac:dyDescent="0.2">
      <c r="A483" s="52"/>
      <c r="B483" s="52"/>
      <c r="C483" s="52" t="s">
        <v>340</v>
      </c>
      <c r="D483" s="36"/>
      <c r="E483" s="10"/>
      <c r="F483" s="37">
        <f>Source!AM205</f>
        <v>142.03</v>
      </c>
      <c r="G483" s="38" t="str">
        <f>Source!DE205</f>
        <v>)*1,25</v>
      </c>
      <c r="H483" s="37">
        <f>ROUND(((((Source!ET205*1.25))-((Source!EU205*1.25)))+Source!AE205)*Source!I205, 2)</f>
        <v>31.96</v>
      </c>
      <c r="I483" s="38"/>
      <c r="J483" s="38">
        <f>IF(Source!BB205&lt;&gt; 0, Source!BB205, 1)</f>
        <v>12.44</v>
      </c>
      <c r="K483" s="37">
        <f>Source!Q205</f>
        <v>397.53</v>
      </c>
      <c r="L483" s="39"/>
    </row>
    <row r="484" spans="1:26" ht="14.25" x14ac:dyDescent="0.2">
      <c r="A484" s="52"/>
      <c r="B484" s="52"/>
      <c r="C484" s="52" t="s">
        <v>895</v>
      </c>
      <c r="D484" s="36"/>
      <c r="E484" s="10"/>
      <c r="F484" s="37">
        <f>Source!AN205</f>
        <v>53.61</v>
      </c>
      <c r="G484" s="38" t="str">
        <f>Source!DF205</f>
        <v>)*1,25</v>
      </c>
      <c r="H484" s="40">
        <f>ROUND(Source!AE205*Source!I205, 2)</f>
        <v>12.06</v>
      </c>
      <c r="I484" s="38"/>
      <c r="J484" s="38">
        <f>IF(Source!BS205&lt;&gt; 0, Source!BS205, 1)</f>
        <v>32.01</v>
      </c>
      <c r="K484" s="40">
        <f>Source!R205</f>
        <v>386.1</v>
      </c>
      <c r="L484" s="39"/>
      <c r="R484">
        <f>H484</f>
        <v>12.06</v>
      </c>
    </row>
    <row r="485" spans="1:26" ht="14.25" x14ac:dyDescent="0.2">
      <c r="A485" s="52"/>
      <c r="B485" s="52"/>
      <c r="C485" s="52" t="s">
        <v>911</v>
      </c>
      <c r="D485" s="36"/>
      <c r="E485" s="10"/>
      <c r="F485" s="37">
        <f>Source!AL205</f>
        <v>7858.9</v>
      </c>
      <c r="G485" s="38" t="str">
        <f>Source!DD205</f>
        <v/>
      </c>
      <c r="H485" s="37">
        <f>ROUND(Source!AC205*Source!I205, 2)</f>
        <v>1414.6</v>
      </c>
      <c r="I485" s="38"/>
      <c r="J485" s="38">
        <f>IF(Source!BC205&lt;&gt; 0, Source!BC205, 1)</f>
        <v>8.9</v>
      </c>
      <c r="K485" s="37">
        <f>Source!P205</f>
        <v>12589.96</v>
      </c>
      <c r="L485" s="39"/>
    </row>
    <row r="486" spans="1:26" ht="14.25" x14ac:dyDescent="0.2">
      <c r="A486" s="52"/>
      <c r="B486" s="52"/>
      <c r="C486" s="52" t="s">
        <v>896</v>
      </c>
      <c r="D486" s="36" t="s">
        <v>897</v>
      </c>
      <c r="E486" s="10">
        <f>Source!BZ205</f>
        <v>112</v>
      </c>
      <c r="F486" s="54"/>
      <c r="G486" s="38"/>
      <c r="H486" s="37">
        <f>SUM(S480:S491)</f>
        <v>256.20999999999998</v>
      </c>
      <c r="I486" s="41"/>
      <c r="J486" s="35">
        <f>Source!AT205</f>
        <v>112</v>
      </c>
      <c r="K486" s="37">
        <f>SUM(T480:T491)</f>
        <v>8201.52</v>
      </c>
      <c r="L486" s="39"/>
    </row>
    <row r="487" spans="1:26" ht="14.25" x14ac:dyDescent="0.2">
      <c r="A487" s="52"/>
      <c r="B487" s="52"/>
      <c r="C487" s="52" t="s">
        <v>898</v>
      </c>
      <c r="D487" s="36" t="s">
        <v>897</v>
      </c>
      <c r="E487" s="10">
        <f>Source!CA205</f>
        <v>65</v>
      </c>
      <c r="F487" s="64" t="str">
        <f>CONCATENATE(" )", Source!DM205, Source!FU205, "=", Source!FY205)</f>
        <v xml:space="preserve"> ))*0,85=55,25</v>
      </c>
      <c r="G487" s="65"/>
      <c r="H487" s="37">
        <f>SUM(U480:U491)</f>
        <v>126.39</v>
      </c>
      <c r="I487" s="41"/>
      <c r="J487" s="35">
        <f>Source!AU205</f>
        <v>55.25</v>
      </c>
      <c r="K487" s="37">
        <f>SUM(V480:V491)</f>
        <v>4045.84</v>
      </c>
      <c r="L487" s="39"/>
    </row>
    <row r="488" spans="1:26" ht="14.25" x14ac:dyDescent="0.2">
      <c r="A488" s="52"/>
      <c r="B488" s="52"/>
      <c r="C488" s="52" t="s">
        <v>899</v>
      </c>
      <c r="D488" s="36" t="s">
        <v>900</v>
      </c>
      <c r="E488" s="10">
        <f>Source!AQ205</f>
        <v>119.78</v>
      </c>
      <c r="F488" s="37"/>
      <c r="G488" s="38" t="str">
        <f>Source!DI205</f>
        <v>)*1,15</v>
      </c>
      <c r="H488" s="37"/>
      <c r="I488" s="38"/>
      <c r="J488" s="38"/>
      <c r="K488" s="37"/>
      <c r="L488" s="49">
        <f>Source!U205</f>
        <v>24.794459999999997</v>
      </c>
    </row>
    <row r="489" spans="1:26" ht="71.25" x14ac:dyDescent="0.2">
      <c r="A489" s="52">
        <v>80.099999999999994</v>
      </c>
      <c r="B489" s="52" t="s">
        <v>925</v>
      </c>
      <c r="C489" s="52" t="s">
        <v>926</v>
      </c>
      <c r="D489" s="36" t="str">
        <f>Source!H206</f>
        <v>м2</v>
      </c>
      <c r="E489" s="10">
        <f>Source!I206</f>
        <v>-18.36</v>
      </c>
      <c r="F489" s="37">
        <f>Source!AL206+Source!AM206+Source!AO206</f>
        <v>67.8</v>
      </c>
      <c r="G489" s="51" t="s">
        <v>3</v>
      </c>
      <c r="H489" s="37">
        <f>ROUND(Source!AC206*Source!I206, 2)+ROUND((((Source!ET206)-(Source!EU206))+Source!AE206)*Source!I206, 2)+ROUND(Source!AF206*Source!I206, 2)</f>
        <v>-1244.81</v>
      </c>
      <c r="I489" s="38"/>
      <c r="J489" s="38">
        <f>IF(Source!BC206&lt;&gt; 0, Source!BC206, 1)</f>
        <v>8.9</v>
      </c>
      <c r="K489" s="37">
        <f>Source!O206</f>
        <v>-11078.79</v>
      </c>
      <c r="L489" s="39"/>
      <c r="S489">
        <f>ROUND((Source!FX206/100)*((ROUND(Source!AF206*Source!I206, 2)+ROUND(Source!AE206*Source!I206, 2))), 2)</f>
        <v>0</v>
      </c>
      <c r="T489">
        <f>Source!X206</f>
        <v>0</v>
      </c>
      <c r="U489">
        <f>ROUND((Source!FY206/100)*((ROUND(Source!AF206*Source!I206, 2)+ROUND(Source!AE206*Source!I206, 2))), 2)</f>
        <v>0</v>
      </c>
      <c r="V489">
        <f>Source!Y206</f>
        <v>0</v>
      </c>
      <c r="W489">
        <f>IF(Source!BI206&lt;=1,H489, 0)</f>
        <v>-1244.81</v>
      </c>
      <c r="X489">
        <f>IF(Source!BI206=2,H489, 0)</f>
        <v>0</v>
      </c>
      <c r="Y489">
        <f>IF(Source!BI206=3,H489, 0)</f>
        <v>0</v>
      </c>
      <c r="Z489">
        <f>IF(Source!BI206=4,H489, 0)</f>
        <v>0</v>
      </c>
    </row>
    <row r="490" spans="1:26" ht="57" x14ac:dyDescent="0.2">
      <c r="A490" s="52">
        <v>80.2</v>
      </c>
      <c r="B490" s="52" t="s">
        <v>927</v>
      </c>
      <c r="C490" s="52" t="s">
        <v>928</v>
      </c>
      <c r="D490" s="36" t="str">
        <f>Source!H207</f>
        <v>т</v>
      </c>
      <c r="E490" s="10">
        <f>Source!I207</f>
        <v>-8.9999999999999993E-3</v>
      </c>
      <c r="F490" s="37">
        <f>Source!AL207+Source!AM207+Source!AO207</f>
        <v>6513</v>
      </c>
      <c r="G490" s="51" t="s">
        <v>3</v>
      </c>
      <c r="H490" s="37">
        <f>ROUND(Source!AC207*Source!I207, 2)+ROUND((((Source!ET207)-(Source!EU207))+Source!AE207)*Source!I207, 2)+ROUND(Source!AF207*Source!I207, 2)</f>
        <v>-58.62</v>
      </c>
      <c r="I490" s="38"/>
      <c r="J490" s="38">
        <f>IF(Source!BC207&lt;&gt; 0, Source!BC207, 1)</f>
        <v>8.9</v>
      </c>
      <c r="K490" s="37">
        <f>Source!O207</f>
        <v>-521.69000000000005</v>
      </c>
      <c r="L490" s="39"/>
      <c r="S490">
        <f>ROUND((Source!FX207/100)*((ROUND(Source!AF207*Source!I207, 2)+ROUND(Source!AE207*Source!I207, 2))), 2)</f>
        <v>0</v>
      </c>
      <c r="T490">
        <f>Source!X207</f>
        <v>0</v>
      </c>
      <c r="U490">
        <f>ROUND((Source!FY207/100)*((ROUND(Source!AF207*Source!I207, 2)+ROUND(Source!AE207*Source!I207, 2))), 2)</f>
        <v>0</v>
      </c>
      <c r="V490">
        <f>Source!Y207</f>
        <v>0</v>
      </c>
      <c r="W490">
        <f>IF(Source!BI207&lt;=1,H490, 0)</f>
        <v>-58.62</v>
      </c>
      <c r="X490">
        <f>IF(Source!BI207=2,H490, 0)</f>
        <v>0</v>
      </c>
      <c r="Y490">
        <f>IF(Source!BI207=3,H490, 0)</f>
        <v>0</v>
      </c>
      <c r="Z490">
        <f>IF(Source!BI207=4,H490, 0)</f>
        <v>0</v>
      </c>
    </row>
    <row r="491" spans="1:26" ht="42.75" x14ac:dyDescent="0.2">
      <c r="A491" s="53">
        <v>80.3</v>
      </c>
      <c r="B491" s="53" t="s">
        <v>929</v>
      </c>
      <c r="C491" s="53" t="s">
        <v>930</v>
      </c>
      <c r="D491" s="42" t="str">
        <f>Source!H208</f>
        <v>кг</v>
      </c>
      <c r="E491" s="43">
        <f>Source!I208</f>
        <v>-81</v>
      </c>
      <c r="F491" s="44">
        <f>Source!AL208+Source!AM208+Source!AO208</f>
        <v>1.37</v>
      </c>
      <c r="G491" s="50" t="s">
        <v>3</v>
      </c>
      <c r="H491" s="44">
        <f>ROUND(Source!AC208*Source!I208, 2)+ROUND((((Source!ET208)-(Source!EU208))+Source!AE208)*Source!I208, 2)+ROUND(Source!AF208*Source!I208, 2)</f>
        <v>-110.97</v>
      </c>
      <c r="I491" s="45"/>
      <c r="J491" s="45">
        <f>IF(Source!BC208&lt;&gt; 0, Source!BC208, 1)</f>
        <v>8.9</v>
      </c>
      <c r="K491" s="44">
        <f>Source!O208</f>
        <v>-987.63</v>
      </c>
      <c r="L491" s="48"/>
      <c r="S491">
        <f>ROUND((Source!FX208/100)*((ROUND(Source!AF208*Source!I208, 2)+ROUND(Source!AE208*Source!I208, 2))), 2)</f>
        <v>0</v>
      </c>
      <c r="T491">
        <f>Source!X208</f>
        <v>0</v>
      </c>
      <c r="U491">
        <f>ROUND((Source!FY208/100)*((ROUND(Source!AF208*Source!I208, 2)+ROUND(Source!AE208*Source!I208, 2))), 2)</f>
        <v>0</v>
      </c>
      <c r="V491">
        <f>Source!Y208</f>
        <v>0</v>
      </c>
      <c r="W491">
        <f>IF(Source!BI208&lt;=1,H491, 0)</f>
        <v>-110.97</v>
      </c>
      <c r="X491">
        <f>IF(Source!BI208=2,H491, 0)</f>
        <v>0</v>
      </c>
      <c r="Y491">
        <f>IF(Source!BI208=3,H491, 0)</f>
        <v>0</v>
      </c>
      <c r="Z491">
        <f>IF(Source!BI208=4,H491, 0)</f>
        <v>0</v>
      </c>
    </row>
    <row r="492" spans="1:26" ht="15" x14ac:dyDescent="0.25">
      <c r="G492" s="61">
        <f>H482+H483+H485+H486+H487+SUM(H489:H491)</f>
        <v>631.46000000000026</v>
      </c>
      <c r="H492" s="61"/>
      <c r="J492" s="61">
        <f>K482+K483+K485+K486+K487+SUM(K489:K491)</f>
        <v>19583.43</v>
      </c>
      <c r="K492" s="61"/>
      <c r="L492" s="47">
        <f>Source!U205</f>
        <v>24.794459999999997</v>
      </c>
      <c r="O492" s="29">
        <f>G492</f>
        <v>631.46000000000026</v>
      </c>
      <c r="P492" s="29">
        <f>J492</f>
        <v>19583.43</v>
      </c>
      <c r="Q492" s="29">
        <f>L492</f>
        <v>24.794459999999997</v>
      </c>
      <c r="W492">
        <f>IF(Source!BI205&lt;=1,H482+H483+H485+H486+H487, 0)</f>
        <v>2045.8600000000001</v>
      </c>
      <c r="X492">
        <f>IF(Source!BI205=2,H482+H483+H485+H486+H487, 0)</f>
        <v>0</v>
      </c>
      <c r="Y492">
        <f>IF(Source!BI205=3,H482+H483+H485+H486+H487, 0)</f>
        <v>0</v>
      </c>
      <c r="Z492">
        <f>IF(Source!BI205=4,H482+H483+H485+H486+H487, 0)</f>
        <v>0</v>
      </c>
    </row>
    <row r="493" spans="1:26" ht="68.25" x14ac:dyDescent="0.2">
      <c r="A493" s="53">
        <v>81</v>
      </c>
      <c r="B493" s="53" t="s">
        <v>29</v>
      </c>
      <c r="C493" s="53" t="s">
        <v>931</v>
      </c>
      <c r="D493" s="42" t="str">
        <f>Source!H209</f>
        <v>м2</v>
      </c>
      <c r="E493" s="43">
        <f>Source!I209</f>
        <v>18.36</v>
      </c>
      <c r="F493" s="44">
        <f>Source!AL209</f>
        <v>63.87</v>
      </c>
      <c r="G493" s="45" t="str">
        <f>Source!DD209</f>
        <v/>
      </c>
      <c r="H493" s="44">
        <f>ROUND(Source!AC209*Source!I209, 2)</f>
        <v>1172.6500000000001</v>
      </c>
      <c r="I493" s="45" t="str">
        <f>Source!BO209</f>
        <v/>
      </c>
      <c r="J493" s="45">
        <f>IF(Source!BC209&lt;&gt; 0, Source!BC209, 1)</f>
        <v>8.9</v>
      </c>
      <c r="K493" s="44">
        <f>Source!P209</f>
        <v>10436.61</v>
      </c>
      <c r="L493" s="48"/>
      <c r="S493">
        <f>ROUND((Source!FX209/100)*((ROUND(Source!AF209*Source!I209, 2)+ROUND(Source!AE209*Source!I209, 2))), 2)</f>
        <v>0</v>
      </c>
      <c r="T493">
        <f>Source!X209</f>
        <v>0</v>
      </c>
      <c r="U493">
        <f>ROUND((Source!FY209/100)*((ROUND(Source!AF209*Source!I209, 2)+ROUND(Source!AE209*Source!I209, 2))), 2)</f>
        <v>0</v>
      </c>
      <c r="V493">
        <f>Source!Y209</f>
        <v>0</v>
      </c>
    </row>
    <row r="494" spans="1:26" ht="15" x14ac:dyDescent="0.25">
      <c r="G494" s="61">
        <f>H493</f>
        <v>1172.6500000000001</v>
      </c>
      <c r="H494" s="61"/>
      <c r="J494" s="61">
        <f>K493</f>
        <v>10436.61</v>
      </c>
      <c r="K494" s="61"/>
      <c r="L494" s="47">
        <f>Source!U209</f>
        <v>0</v>
      </c>
      <c r="O494" s="29">
        <f>G494</f>
        <v>1172.6500000000001</v>
      </c>
      <c r="P494" s="29">
        <f>J494</f>
        <v>10436.61</v>
      </c>
      <c r="Q494" s="29">
        <f>L494</f>
        <v>0</v>
      </c>
      <c r="W494">
        <f>IF(Source!BI209&lt;=1,H493, 0)</f>
        <v>1172.6500000000001</v>
      </c>
      <c r="X494">
        <f>IF(Source!BI209=2,H493, 0)</f>
        <v>0</v>
      </c>
      <c r="Y494">
        <f>IF(Source!BI209=3,H493, 0)</f>
        <v>0</v>
      </c>
      <c r="Z494">
        <f>IF(Source!BI209=4,H493, 0)</f>
        <v>0</v>
      </c>
    </row>
    <row r="495" spans="1:26" ht="42.75" x14ac:dyDescent="0.2">
      <c r="A495" s="53">
        <v>82</v>
      </c>
      <c r="B495" s="53" t="s">
        <v>29</v>
      </c>
      <c r="C495" s="53" t="s">
        <v>932</v>
      </c>
      <c r="D495" s="42" t="str">
        <f>Source!H210</f>
        <v>кг</v>
      </c>
      <c r="E495" s="43">
        <f>Source!I210</f>
        <v>81</v>
      </c>
      <c r="F495" s="44">
        <f>Source!AL210</f>
        <v>2.17</v>
      </c>
      <c r="G495" s="45" t="str">
        <f>Source!DD210</f>
        <v/>
      </c>
      <c r="H495" s="44">
        <f>ROUND(Source!AC210*Source!I210, 2)</f>
        <v>175.77</v>
      </c>
      <c r="I495" s="45" t="str">
        <f>Source!BO210</f>
        <v/>
      </c>
      <c r="J495" s="45">
        <f>IF(Source!BC210&lt;&gt; 0, Source!BC210, 1)</f>
        <v>8.9</v>
      </c>
      <c r="K495" s="44">
        <f>Source!P210</f>
        <v>1564.35</v>
      </c>
      <c r="L495" s="48"/>
      <c r="S495">
        <f>ROUND((Source!FX210/100)*((ROUND(Source!AF210*Source!I210, 2)+ROUND(Source!AE210*Source!I210, 2))), 2)</f>
        <v>0</v>
      </c>
      <c r="T495">
        <f>Source!X210</f>
        <v>0</v>
      </c>
      <c r="U495">
        <f>ROUND((Source!FY210/100)*((ROUND(Source!AF210*Source!I210, 2)+ROUND(Source!AE210*Source!I210, 2))), 2)</f>
        <v>0</v>
      </c>
      <c r="V495">
        <f>Source!Y210</f>
        <v>0</v>
      </c>
    </row>
    <row r="496" spans="1:26" ht="15" x14ac:dyDescent="0.25">
      <c r="G496" s="61">
        <f>H495</f>
        <v>175.77</v>
      </c>
      <c r="H496" s="61"/>
      <c r="J496" s="61">
        <f>K495</f>
        <v>1564.35</v>
      </c>
      <c r="K496" s="61"/>
      <c r="L496" s="47">
        <f>Source!U210</f>
        <v>0</v>
      </c>
      <c r="O496" s="29">
        <f>G496</f>
        <v>175.77</v>
      </c>
      <c r="P496" s="29">
        <f>J496</f>
        <v>1564.35</v>
      </c>
      <c r="Q496" s="29">
        <f>L496</f>
        <v>0</v>
      </c>
      <c r="W496">
        <f>IF(Source!BI210&lt;=1,H495, 0)</f>
        <v>175.77</v>
      </c>
      <c r="X496">
        <f>IF(Source!BI210=2,H495, 0)</f>
        <v>0</v>
      </c>
      <c r="Y496">
        <f>IF(Source!BI210=3,H495, 0)</f>
        <v>0</v>
      </c>
      <c r="Z496">
        <f>IF(Source!BI210=4,H495, 0)</f>
        <v>0</v>
      </c>
    </row>
    <row r="497" spans="1:26" ht="54" x14ac:dyDescent="0.2">
      <c r="A497" s="53">
        <v>83</v>
      </c>
      <c r="B497" s="53" t="s">
        <v>29</v>
      </c>
      <c r="C497" s="53" t="s">
        <v>933</v>
      </c>
      <c r="D497" s="42" t="str">
        <f>Source!H211</f>
        <v>кг</v>
      </c>
      <c r="E497" s="43">
        <f>Source!I211</f>
        <v>9</v>
      </c>
      <c r="F497" s="44">
        <f>Source!AL211</f>
        <v>13.540000000000001</v>
      </c>
      <c r="G497" s="45" t="str">
        <f>Source!DD211</f>
        <v/>
      </c>
      <c r="H497" s="44">
        <f>ROUND(Source!AC211*Source!I211, 2)</f>
        <v>121.86</v>
      </c>
      <c r="I497" s="45" t="str">
        <f>Source!BO211</f>
        <v/>
      </c>
      <c r="J497" s="45">
        <f>IF(Source!BC211&lt;&gt; 0, Source!BC211, 1)</f>
        <v>8.9</v>
      </c>
      <c r="K497" s="44">
        <f>Source!P211</f>
        <v>1084.55</v>
      </c>
      <c r="L497" s="48"/>
      <c r="S497">
        <f>ROUND((Source!FX211/100)*((ROUND(Source!AF211*Source!I211, 2)+ROUND(Source!AE211*Source!I211, 2))), 2)</f>
        <v>0</v>
      </c>
      <c r="T497">
        <f>Source!X211</f>
        <v>0</v>
      </c>
      <c r="U497">
        <f>ROUND((Source!FY211/100)*((ROUND(Source!AF211*Source!I211, 2)+ROUND(Source!AE211*Source!I211, 2))), 2)</f>
        <v>0</v>
      </c>
      <c r="V497">
        <f>Source!Y211</f>
        <v>0</v>
      </c>
    </row>
    <row r="498" spans="1:26" ht="15" x14ac:dyDescent="0.25">
      <c r="G498" s="61">
        <f>H497</f>
        <v>121.86</v>
      </c>
      <c r="H498" s="61"/>
      <c r="J498" s="61">
        <f>K497</f>
        <v>1084.55</v>
      </c>
      <c r="K498" s="61"/>
      <c r="L498" s="47">
        <f>Source!U211</f>
        <v>0</v>
      </c>
      <c r="O498" s="29">
        <f>G498</f>
        <v>121.86</v>
      </c>
      <c r="P498" s="29">
        <f>J498</f>
        <v>1084.55</v>
      </c>
      <c r="Q498" s="29">
        <f>L498</f>
        <v>0</v>
      </c>
      <c r="W498">
        <f>IF(Source!BI211&lt;=1,H497, 0)</f>
        <v>121.86</v>
      </c>
      <c r="X498">
        <f>IF(Source!BI211=2,H497, 0)</f>
        <v>0</v>
      </c>
      <c r="Y498">
        <f>IF(Source!BI211=3,H497, 0)</f>
        <v>0</v>
      </c>
      <c r="Z498">
        <f>IF(Source!BI211=4,H497, 0)</f>
        <v>0</v>
      </c>
    </row>
    <row r="499" spans="1:26" ht="28.5" x14ac:dyDescent="0.2">
      <c r="A499" s="52">
        <v>84</v>
      </c>
      <c r="B499" s="52" t="s">
        <v>1007</v>
      </c>
      <c r="C499" s="52" t="str">
        <f>Source!G212</f>
        <v>Укладка металлического накладного профиля (порога)//прим.</v>
      </c>
      <c r="D499" s="36" t="str">
        <f>Source!H212</f>
        <v>100 м</v>
      </c>
      <c r="E499" s="10">
        <f>Source!I212</f>
        <v>0.24</v>
      </c>
      <c r="F499" s="37">
        <f>Source!AL212+Source!AM212+Source!AO212</f>
        <v>222.34</v>
      </c>
      <c r="G499" s="38"/>
      <c r="H499" s="37"/>
      <c r="I499" s="38" t="str">
        <f>Source!BO212</f>
        <v/>
      </c>
      <c r="J499" s="38"/>
      <c r="K499" s="37"/>
      <c r="L499" s="39"/>
      <c r="S499">
        <f>ROUND((Source!FX212/100)*((ROUND(Source!AF212*Source!I212, 2)+ROUND(Source!AE212*Source!I212, 2))), 2)</f>
        <v>43.88</v>
      </c>
      <c r="T499">
        <f>Source!X212</f>
        <v>1404.48</v>
      </c>
      <c r="U499">
        <f>ROUND((Source!FY212/100)*((ROUND(Source!AF212*Source!I212, 2)+ROUND(Source!AE212*Source!I212, 2))), 2)</f>
        <v>21.65</v>
      </c>
      <c r="V499">
        <f>Source!Y212</f>
        <v>692.84</v>
      </c>
    </row>
    <row r="500" spans="1:26" x14ac:dyDescent="0.2">
      <c r="C500" s="28" t="str">
        <f>"Объем: "&amp;Source!I212&amp;"=24/"&amp;"100"</f>
        <v>Объем: 0,24=24/100</v>
      </c>
    </row>
    <row r="501" spans="1:26" ht="14.25" x14ac:dyDescent="0.2">
      <c r="A501" s="52"/>
      <c r="B501" s="52"/>
      <c r="C501" s="52" t="s">
        <v>894</v>
      </c>
      <c r="D501" s="36"/>
      <c r="E501" s="10"/>
      <c r="F501" s="37">
        <f>Source!AO212</f>
        <v>141.94</v>
      </c>
      <c r="G501" s="38" t="str">
        <f>Source!DG212</f>
        <v>)*1,15</v>
      </c>
      <c r="H501" s="37">
        <f>ROUND(Source!AF212*Source!I212, 2)</f>
        <v>39.18</v>
      </c>
      <c r="I501" s="38"/>
      <c r="J501" s="38">
        <f>IF(Source!BA212&lt;&gt; 0, Source!BA212, 1)</f>
        <v>32.01</v>
      </c>
      <c r="K501" s="37">
        <f>Source!S212</f>
        <v>1254</v>
      </c>
      <c r="L501" s="39"/>
      <c r="R501">
        <f>H501</f>
        <v>39.18</v>
      </c>
    </row>
    <row r="502" spans="1:26" ht="14.25" x14ac:dyDescent="0.2">
      <c r="A502" s="52"/>
      <c r="B502" s="52"/>
      <c r="C502" s="52" t="s">
        <v>911</v>
      </c>
      <c r="D502" s="36"/>
      <c r="E502" s="10"/>
      <c r="F502" s="37">
        <f>Source!AL212</f>
        <v>80.400000000000006</v>
      </c>
      <c r="G502" s="38" t="str">
        <f>Source!DD212</f>
        <v/>
      </c>
      <c r="H502" s="37">
        <f>ROUND(Source!AC212*Source!I212, 2)</f>
        <v>19.3</v>
      </c>
      <c r="I502" s="38"/>
      <c r="J502" s="38">
        <f>IF(Source!BC212&lt;&gt; 0, Source!BC212, 1)</f>
        <v>8.9</v>
      </c>
      <c r="K502" s="37">
        <f>Source!P212</f>
        <v>171.73</v>
      </c>
      <c r="L502" s="39"/>
    </row>
    <row r="503" spans="1:26" ht="14.25" x14ac:dyDescent="0.2">
      <c r="A503" s="52"/>
      <c r="B503" s="52"/>
      <c r="C503" s="52" t="s">
        <v>896</v>
      </c>
      <c r="D503" s="36" t="s">
        <v>897</v>
      </c>
      <c r="E503" s="10">
        <f>Source!BZ212</f>
        <v>112</v>
      </c>
      <c r="F503" s="54"/>
      <c r="G503" s="38"/>
      <c r="H503" s="37">
        <f>SUM(S499:S505)</f>
        <v>43.88</v>
      </c>
      <c r="I503" s="41"/>
      <c r="J503" s="35">
        <f>Source!AT212</f>
        <v>112</v>
      </c>
      <c r="K503" s="37">
        <f>SUM(T499:T505)</f>
        <v>1404.48</v>
      </c>
      <c r="L503" s="39"/>
    </row>
    <row r="504" spans="1:26" ht="14.25" x14ac:dyDescent="0.2">
      <c r="A504" s="52"/>
      <c r="B504" s="52"/>
      <c r="C504" s="52" t="s">
        <v>898</v>
      </c>
      <c r="D504" s="36" t="s">
        <v>897</v>
      </c>
      <c r="E504" s="10">
        <f>Source!CA212</f>
        <v>65</v>
      </c>
      <c r="F504" s="64" t="str">
        <f>CONCATENATE(" )", Source!DM212, Source!FU212, "=", Source!FY212)</f>
        <v xml:space="preserve"> ))*0,85=55,25</v>
      </c>
      <c r="G504" s="65"/>
      <c r="H504" s="37">
        <f>SUM(U499:U505)</f>
        <v>21.65</v>
      </c>
      <c r="I504" s="41"/>
      <c r="J504" s="35">
        <f>Source!AU212</f>
        <v>55.25</v>
      </c>
      <c r="K504" s="37">
        <f>SUM(V499:V505)</f>
        <v>692.84</v>
      </c>
      <c r="L504" s="39"/>
    </row>
    <row r="505" spans="1:26" ht="14.25" x14ac:dyDescent="0.2">
      <c r="A505" s="53"/>
      <c r="B505" s="53"/>
      <c r="C505" s="53" t="s">
        <v>899</v>
      </c>
      <c r="D505" s="42" t="s">
        <v>900</v>
      </c>
      <c r="E505" s="43">
        <f>Source!AQ212</f>
        <v>16.64</v>
      </c>
      <c r="F505" s="44"/>
      <c r="G505" s="45" t="str">
        <f>Source!DI212</f>
        <v>)*1,15</v>
      </c>
      <c r="H505" s="44"/>
      <c r="I505" s="45"/>
      <c r="J505" s="45"/>
      <c r="K505" s="44"/>
      <c r="L505" s="46">
        <f>Source!U212</f>
        <v>4.5926399999999994</v>
      </c>
    </row>
    <row r="506" spans="1:26" ht="15" x14ac:dyDescent="0.25">
      <c r="G506" s="61">
        <f>H501+H502+H503+H504</f>
        <v>124.01000000000002</v>
      </c>
      <c r="H506" s="61"/>
      <c r="J506" s="61">
        <f>K501+K502+K503+K504</f>
        <v>3523.05</v>
      </c>
      <c r="K506" s="61"/>
      <c r="L506" s="47">
        <f>Source!U212</f>
        <v>4.5926399999999994</v>
      </c>
      <c r="O506" s="29">
        <f>G506</f>
        <v>124.01000000000002</v>
      </c>
      <c r="P506" s="29">
        <f>J506</f>
        <v>3523.05</v>
      </c>
      <c r="Q506" s="29">
        <f>L506</f>
        <v>4.5926399999999994</v>
      </c>
      <c r="W506">
        <f>IF(Source!BI212&lt;=1,H501+H502+H503+H504, 0)</f>
        <v>124.01000000000002</v>
      </c>
      <c r="X506">
        <f>IF(Source!BI212=2,H501+H502+H503+H504, 0)</f>
        <v>0</v>
      </c>
      <c r="Y506">
        <f>IF(Source!BI212=3,H501+H502+H503+H504, 0)</f>
        <v>0</v>
      </c>
      <c r="Z506">
        <f>IF(Source!BI212=4,H501+H502+H503+H504, 0)</f>
        <v>0</v>
      </c>
    </row>
    <row r="507" spans="1:26" ht="54" x14ac:dyDescent="0.2">
      <c r="A507" s="53">
        <v>85</v>
      </c>
      <c r="B507" s="53" t="s">
        <v>29</v>
      </c>
      <c r="C507" s="53" t="s">
        <v>1008</v>
      </c>
      <c r="D507" s="42" t="str">
        <f>Source!H213</f>
        <v>ШТ</v>
      </c>
      <c r="E507" s="43">
        <f>Source!I213</f>
        <v>12</v>
      </c>
      <c r="F507" s="44">
        <f>Source!AL213</f>
        <v>120.14</v>
      </c>
      <c r="G507" s="45" t="str">
        <f>Source!DD213</f>
        <v/>
      </c>
      <c r="H507" s="44">
        <f>ROUND(Source!AC213*Source!I213, 2)</f>
        <v>1441.68</v>
      </c>
      <c r="I507" s="45" t="str">
        <f>Source!BO213</f>
        <v/>
      </c>
      <c r="J507" s="45">
        <f>IF(Source!BC213&lt;&gt; 0, Source!BC213, 1)</f>
        <v>8.9</v>
      </c>
      <c r="K507" s="44">
        <f>Source!P213</f>
        <v>12830.95</v>
      </c>
      <c r="L507" s="48"/>
      <c r="S507">
        <f>ROUND((Source!FX213/100)*((ROUND(Source!AF213*Source!I213, 2)+ROUND(Source!AE213*Source!I213, 2))), 2)</f>
        <v>0</v>
      </c>
      <c r="T507">
        <f>Source!X213</f>
        <v>0</v>
      </c>
      <c r="U507">
        <f>ROUND((Source!FY213/100)*((ROUND(Source!AF213*Source!I213, 2)+ROUND(Source!AE213*Source!I213, 2))), 2)</f>
        <v>0</v>
      </c>
      <c r="V507">
        <f>Source!Y213</f>
        <v>0</v>
      </c>
    </row>
    <row r="508" spans="1:26" ht="15" x14ac:dyDescent="0.25">
      <c r="G508" s="61">
        <f>H507</f>
        <v>1441.68</v>
      </c>
      <c r="H508" s="61"/>
      <c r="J508" s="61">
        <f>K507</f>
        <v>12830.95</v>
      </c>
      <c r="K508" s="61"/>
      <c r="L508" s="47">
        <f>Source!U213</f>
        <v>0</v>
      </c>
      <c r="O508" s="29">
        <f>G508</f>
        <v>1441.68</v>
      </c>
      <c r="P508" s="29">
        <f>J508</f>
        <v>12830.95</v>
      </c>
      <c r="Q508" s="29">
        <f>L508</f>
        <v>0</v>
      </c>
      <c r="W508">
        <f>IF(Source!BI213&lt;=1,H507, 0)</f>
        <v>1441.68</v>
      </c>
      <c r="X508">
        <f>IF(Source!BI213=2,H507, 0)</f>
        <v>0</v>
      </c>
      <c r="Y508">
        <f>IF(Source!BI213=3,H507, 0)</f>
        <v>0</v>
      </c>
      <c r="Z508">
        <f>IF(Source!BI213=4,H507, 0)</f>
        <v>0</v>
      </c>
    </row>
    <row r="509" spans="1:26" ht="28.5" x14ac:dyDescent="0.2">
      <c r="A509" s="52">
        <v>86</v>
      </c>
      <c r="B509" s="52" t="s">
        <v>906</v>
      </c>
      <c r="C509" s="52" t="str">
        <f>Source!G214</f>
        <v>Расчистка поверхностей шпателем, щетками от старых покрасок</v>
      </c>
      <c r="D509" s="36" t="str">
        <f>Source!H214</f>
        <v>м2</v>
      </c>
      <c r="E509" s="10">
        <f>Source!I214</f>
        <v>20</v>
      </c>
      <c r="F509" s="37">
        <f>Source!AL214+Source!AM214+Source!AO214</f>
        <v>4.38</v>
      </c>
      <c r="G509" s="38"/>
      <c r="H509" s="37"/>
      <c r="I509" s="38" t="str">
        <f>Source!BO214</f>
        <v/>
      </c>
      <c r="J509" s="38"/>
      <c r="K509" s="37"/>
      <c r="L509" s="39"/>
      <c r="S509">
        <f>ROUND((Source!FX214/100)*((ROUND(Source!AF214*Source!I214, 2)+ROUND(Source!AE214*Source!I214, 2))), 2)</f>
        <v>78.84</v>
      </c>
      <c r="T509">
        <f>Source!X214</f>
        <v>2523.67</v>
      </c>
      <c r="U509">
        <f>ROUND((Source!FY214/100)*((ROUND(Source!AF214*Source!I214, 2)+ROUND(Source!AE214*Source!I214, 2))), 2)</f>
        <v>40.299999999999997</v>
      </c>
      <c r="V509">
        <f>Source!Y214</f>
        <v>1289.8800000000001</v>
      </c>
    </row>
    <row r="510" spans="1:26" ht="14.25" x14ac:dyDescent="0.2">
      <c r="A510" s="52"/>
      <c r="B510" s="52"/>
      <c r="C510" s="52" t="s">
        <v>894</v>
      </c>
      <c r="D510" s="36"/>
      <c r="E510" s="10"/>
      <c r="F510" s="37">
        <f>Source!AO214</f>
        <v>4.38</v>
      </c>
      <c r="G510" s="38" t="str">
        <f>Source!DG214</f>
        <v/>
      </c>
      <c r="H510" s="37">
        <f>ROUND(Source!AF214*Source!I214, 2)</f>
        <v>87.6</v>
      </c>
      <c r="I510" s="38"/>
      <c r="J510" s="38">
        <f>IF(Source!BA214&lt;&gt; 0, Source!BA214, 1)</f>
        <v>32.01</v>
      </c>
      <c r="K510" s="37">
        <f>Source!S214</f>
        <v>2804.08</v>
      </c>
      <c r="L510" s="39"/>
      <c r="R510">
        <f>H510</f>
        <v>87.6</v>
      </c>
    </row>
    <row r="511" spans="1:26" ht="14.25" x14ac:dyDescent="0.2">
      <c r="A511" s="52"/>
      <c r="B511" s="52"/>
      <c r="C511" s="52" t="s">
        <v>896</v>
      </c>
      <c r="D511" s="36" t="s">
        <v>897</v>
      </c>
      <c r="E511" s="10">
        <f>Source!BZ214</f>
        <v>90</v>
      </c>
      <c r="F511" s="54"/>
      <c r="G511" s="38"/>
      <c r="H511" s="37">
        <f>SUM(S509:S513)</f>
        <v>78.84</v>
      </c>
      <c r="I511" s="41"/>
      <c r="J511" s="35">
        <f>Source!AT214</f>
        <v>90</v>
      </c>
      <c r="K511" s="37">
        <f>SUM(T509:T513)</f>
        <v>2523.67</v>
      </c>
      <c r="L511" s="39"/>
    </row>
    <row r="512" spans="1:26" ht="14.25" x14ac:dyDescent="0.2">
      <c r="A512" s="52"/>
      <c r="B512" s="52"/>
      <c r="C512" s="52" t="s">
        <v>898</v>
      </c>
      <c r="D512" s="36" t="s">
        <v>897</v>
      </c>
      <c r="E512" s="10">
        <f>Source!CA214</f>
        <v>46</v>
      </c>
      <c r="F512" s="54"/>
      <c r="G512" s="38"/>
      <c r="H512" s="37">
        <f>SUM(U509:U513)</f>
        <v>40.299999999999997</v>
      </c>
      <c r="I512" s="41"/>
      <c r="J512" s="35">
        <f>Source!AU214</f>
        <v>46</v>
      </c>
      <c r="K512" s="37">
        <f>SUM(V509:V513)</f>
        <v>1289.8800000000001</v>
      </c>
      <c r="L512" s="39"/>
    </row>
    <row r="513" spans="1:26" ht="14.25" x14ac:dyDescent="0.2">
      <c r="A513" s="53"/>
      <c r="B513" s="53"/>
      <c r="C513" s="53" t="s">
        <v>899</v>
      </c>
      <c r="D513" s="42" t="s">
        <v>900</v>
      </c>
      <c r="E513" s="43">
        <f>Source!AQ214</f>
        <v>0.57999999999999996</v>
      </c>
      <c r="F513" s="44"/>
      <c r="G513" s="45" t="str">
        <f>Source!DI214</f>
        <v/>
      </c>
      <c r="H513" s="44"/>
      <c r="I513" s="45"/>
      <c r="J513" s="45"/>
      <c r="K513" s="44"/>
      <c r="L513" s="46">
        <f>Source!U214</f>
        <v>11.6</v>
      </c>
    </row>
    <row r="514" spans="1:26" ht="15" x14ac:dyDescent="0.25">
      <c r="G514" s="61">
        <f>H510+H511+H512</f>
        <v>206.74</v>
      </c>
      <c r="H514" s="61"/>
      <c r="J514" s="61">
        <f>K510+K511+K512</f>
        <v>6617.63</v>
      </c>
      <c r="K514" s="61"/>
      <c r="L514" s="47">
        <f>Source!U214</f>
        <v>11.6</v>
      </c>
      <c r="O514" s="29">
        <f>G514</f>
        <v>206.74</v>
      </c>
      <c r="P514" s="29">
        <f>J514</f>
        <v>6617.63</v>
      </c>
      <c r="Q514" s="29">
        <f>L514</f>
        <v>11.6</v>
      </c>
      <c r="W514">
        <f>IF(Source!BI214&lt;=1,H510+H511+H512, 0)</f>
        <v>206.74</v>
      </c>
      <c r="X514">
        <f>IF(Source!BI214=2,H510+H511+H512, 0)</f>
        <v>0</v>
      </c>
      <c r="Y514">
        <f>IF(Source!BI214=3,H510+H511+H512, 0)</f>
        <v>0</v>
      </c>
      <c r="Z514">
        <f>IF(Source!BI214=4,H510+H511+H512, 0)</f>
        <v>0</v>
      </c>
    </row>
    <row r="515" spans="1:26" ht="42.75" x14ac:dyDescent="0.2">
      <c r="A515" s="52">
        <v>87</v>
      </c>
      <c r="B515" s="52" t="s">
        <v>1009</v>
      </c>
      <c r="C515" s="52" t="str">
        <f>Source!G215</f>
        <v>Огрунтовка металлических поверхностей за один раз: грунтовкой ГФ-021</v>
      </c>
      <c r="D515" s="36" t="str">
        <f>Source!H215</f>
        <v>100 м2</v>
      </c>
      <c r="E515" s="10">
        <f>Source!I215</f>
        <v>0.2</v>
      </c>
      <c r="F515" s="37">
        <f>Source!AL215+Source!AM215+Source!AO215</f>
        <v>217.81</v>
      </c>
      <c r="G515" s="38"/>
      <c r="H515" s="37"/>
      <c r="I515" s="38" t="str">
        <f>Source!BO215</f>
        <v/>
      </c>
      <c r="J515" s="38"/>
      <c r="K515" s="37"/>
      <c r="L515" s="39"/>
      <c r="S515">
        <f>ROUND((Source!FX215/100)*((ROUND(Source!AF215*Source!I215, 2)+ROUND(Source!AE215*Source!I215, 2))), 2)</f>
        <v>24.55</v>
      </c>
      <c r="T515">
        <f>Source!X215</f>
        <v>786.06</v>
      </c>
      <c r="U515">
        <f>ROUND((Source!FY215/100)*((ROUND(Source!AF215*Source!I215, 2)+ROUND(Source!AE215*Source!I215, 2))), 2)</f>
        <v>11.32</v>
      </c>
      <c r="V515">
        <f>Source!Y215</f>
        <v>362.51</v>
      </c>
    </row>
    <row r="516" spans="1:26" x14ac:dyDescent="0.2">
      <c r="C516" s="28" t="str">
        <f>"Объем: "&amp;Source!I215&amp;"=20/"&amp;"100"</f>
        <v>Объем: 0,2=20/100</v>
      </c>
    </row>
    <row r="517" spans="1:26" ht="14.25" x14ac:dyDescent="0.2">
      <c r="A517" s="52"/>
      <c r="B517" s="52"/>
      <c r="C517" s="52" t="s">
        <v>894</v>
      </c>
      <c r="D517" s="36"/>
      <c r="E517" s="10"/>
      <c r="F517" s="37">
        <f>Source!AO215</f>
        <v>56.55</v>
      </c>
      <c r="G517" s="38" t="str">
        <f>Source!DG215</f>
        <v>)*1,15*2</v>
      </c>
      <c r="H517" s="37">
        <f>ROUND(Source!AF215*Source!I215, 2)</f>
        <v>26.01</v>
      </c>
      <c r="I517" s="38"/>
      <c r="J517" s="38">
        <f>IF(Source!BA215&lt;&gt; 0, Source!BA215, 1)</f>
        <v>32.01</v>
      </c>
      <c r="K517" s="37">
        <f>Source!S215</f>
        <v>832.71</v>
      </c>
      <c r="L517" s="39"/>
      <c r="R517">
        <f>H517</f>
        <v>26.01</v>
      </c>
    </row>
    <row r="518" spans="1:26" ht="14.25" x14ac:dyDescent="0.2">
      <c r="A518" s="52"/>
      <c r="B518" s="52"/>
      <c r="C518" s="52" t="s">
        <v>340</v>
      </c>
      <c r="D518" s="36"/>
      <c r="E518" s="10"/>
      <c r="F518" s="37">
        <f>Source!AM215</f>
        <v>9.2200000000000006</v>
      </c>
      <c r="G518" s="38" t="str">
        <f>Source!DE215</f>
        <v>)*1,25*2</v>
      </c>
      <c r="H518" s="37">
        <f>ROUND(((((Source!ET215*1.25*2))-((Source!EU215*1.25*2)))+Source!AE215)*Source!I215, 2)</f>
        <v>4.6100000000000003</v>
      </c>
      <c r="I518" s="38"/>
      <c r="J518" s="38">
        <f>IF(Source!BB215&lt;&gt; 0, Source!BB215, 1)</f>
        <v>12.44</v>
      </c>
      <c r="K518" s="37">
        <f>Source!Q215</f>
        <v>57.35</v>
      </c>
      <c r="L518" s="39"/>
    </row>
    <row r="519" spans="1:26" ht="14.25" x14ac:dyDescent="0.2">
      <c r="A519" s="52"/>
      <c r="B519" s="52"/>
      <c r="C519" s="52" t="s">
        <v>895</v>
      </c>
      <c r="D519" s="36"/>
      <c r="E519" s="10"/>
      <c r="F519" s="37">
        <f>Source!AN215</f>
        <v>0.22</v>
      </c>
      <c r="G519" s="38" t="str">
        <f>Source!DF215</f>
        <v>)*1,25*2</v>
      </c>
      <c r="H519" s="40">
        <f>ROUND(Source!AE215*Source!I215, 2)</f>
        <v>0.11</v>
      </c>
      <c r="I519" s="38"/>
      <c r="J519" s="38">
        <f>IF(Source!BS215&lt;&gt; 0, Source!BS215, 1)</f>
        <v>32.01</v>
      </c>
      <c r="K519" s="40">
        <f>Source!R215</f>
        <v>3.52</v>
      </c>
      <c r="L519" s="39"/>
      <c r="R519">
        <f>H519</f>
        <v>0.11</v>
      </c>
    </row>
    <row r="520" spans="1:26" ht="14.25" x14ac:dyDescent="0.2">
      <c r="A520" s="52"/>
      <c r="B520" s="52"/>
      <c r="C520" s="52" t="s">
        <v>911</v>
      </c>
      <c r="D520" s="36"/>
      <c r="E520" s="10"/>
      <c r="F520" s="37">
        <f>Source!AL215</f>
        <v>152.04</v>
      </c>
      <c r="G520" s="38" t="str">
        <f>Source!DD215</f>
        <v>*2</v>
      </c>
      <c r="H520" s="37">
        <f>ROUND(Source!AC215*Source!I215, 2)</f>
        <v>60.82</v>
      </c>
      <c r="I520" s="38"/>
      <c r="J520" s="38">
        <f>IF(Source!BC215&lt;&gt; 0, Source!BC215, 1)</f>
        <v>8.9</v>
      </c>
      <c r="K520" s="37">
        <f>Source!P215</f>
        <v>541.26</v>
      </c>
      <c r="L520" s="39"/>
    </row>
    <row r="521" spans="1:26" ht="14.25" x14ac:dyDescent="0.2">
      <c r="A521" s="52"/>
      <c r="B521" s="52"/>
      <c r="C521" s="52" t="s">
        <v>896</v>
      </c>
      <c r="D521" s="36" t="s">
        <v>897</v>
      </c>
      <c r="E521" s="10">
        <f>Source!BZ215</f>
        <v>94</v>
      </c>
      <c r="F521" s="54"/>
      <c r="G521" s="38"/>
      <c r="H521" s="37">
        <f>SUM(S515:S523)</f>
        <v>24.55</v>
      </c>
      <c r="I521" s="41"/>
      <c r="J521" s="35">
        <f>Source!AT215</f>
        <v>94</v>
      </c>
      <c r="K521" s="37">
        <f>SUM(T515:T523)</f>
        <v>786.06</v>
      </c>
      <c r="L521" s="39"/>
    </row>
    <row r="522" spans="1:26" ht="14.25" x14ac:dyDescent="0.2">
      <c r="A522" s="52"/>
      <c r="B522" s="52"/>
      <c r="C522" s="52" t="s">
        <v>898</v>
      </c>
      <c r="D522" s="36" t="s">
        <v>897</v>
      </c>
      <c r="E522" s="10">
        <f>Source!CA215</f>
        <v>51</v>
      </c>
      <c r="F522" s="64" t="str">
        <f>CONCATENATE(" )", Source!DM215, Source!FU215, "=", Source!FY215)</f>
        <v xml:space="preserve"> ))*0,85=43,35</v>
      </c>
      <c r="G522" s="65"/>
      <c r="H522" s="37">
        <f>SUM(U515:U523)</f>
        <v>11.32</v>
      </c>
      <c r="I522" s="41"/>
      <c r="J522" s="35">
        <f>Source!AU215</f>
        <v>43.35</v>
      </c>
      <c r="K522" s="37">
        <f>SUM(V515:V523)</f>
        <v>362.51</v>
      </c>
      <c r="L522" s="39"/>
    </row>
    <row r="523" spans="1:26" ht="14.25" x14ac:dyDescent="0.2">
      <c r="A523" s="53"/>
      <c r="B523" s="53"/>
      <c r="C523" s="53" t="s">
        <v>899</v>
      </c>
      <c r="D523" s="42" t="s">
        <v>900</v>
      </c>
      <c r="E523" s="43">
        <f>Source!AQ215</f>
        <v>5.31</v>
      </c>
      <c r="F523" s="44"/>
      <c r="G523" s="45" t="str">
        <f>Source!DI215</f>
        <v>)*1,15*2</v>
      </c>
      <c r="H523" s="44"/>
      <c r="I523" s="45"/>
      <c r="J523" s="45"/>
      <c r="K523" s="44"/>
      <c r="L523" s="46">
        <f>Source!U215</f>
        <v>2.4425999999999997</v>
      </c>
    </row>
    <row r="524" spans="1:26" ht="15" x14ac:dyDescent="0.25">
      <c r="G524" s="61">
        <f>H517+H518+H520+H521+H522</f>
        <v>127.31</v>
      </c>
      <c r="H524" s="61"/>
      <c r="J524" s="61">
        <f>K517+K518+K520+K521+K522</f>
        <v>2579.8900000000003</v>
      </c>
      <c r="K524" s="61"/>
      <c r="L524" s="47">
        <f>Source!U215</f>
        <v>2.4425999999999997</v>
      </c>
      <c r="O524" s="29">
        <f>G524</f>
        <v>127.31</v>
      </c>
      <c r="P524" s="29">
        <f>J524</f>
        <v>2579.8900000000003</v>
      </c>
      <c r="Q524" s="29">
        <f>L524</f>
        <v>2.4425999999999997</v>
      </c>
      <c r="W524">
        <f>IF(Source!BI215&lt;=1,H517+H518+H520+H521+H522, 0)</f>
        <v>127.31</v>
      </c>
      <c r="X524">
        <f>IF(Source!BI215=2,H517+H518+H520+H521+H522, 0)</f>
        <v>0</v>
      </c>
      <c r="Y524">
        <f>IF(Source!BI215=3,H517+H518+H520+H521+H522, 0)</f>
        <v>0</v>
      </c>
      <c r="Z524">
        <f>IF(Source!BI215=4,H517+H518+H520+H521+H522, 0)</f>
        <v>0</v>
      </c>
    </row>
    <row r="525" spans="1:26" ht="28.5" x14ac:dyDescent="0.2">
      <c r="A525" s="52">
        <v>88</v>
      </c>
      <c r="B525" s="52" t="s">
        <v>1010</v>
      </c>
      <c r="C525" s="52" t="str">
        <f>Source!G216</f>
        <v>Окраска металлических огрунтованных поверхностей: эмалью ПФ-115</v>
      </c>
      <c r="D525" s="36" t="str">
        <f>Source!H216</f>
        <v>100 м2</v>
      </c>
      <c r="E525" s="10">
        <f>Source!I216</f>
        <v>0.2</v>
      </c>
      <c r="F525" s="37">
        <f>Source!AL216+Source!AM216+Source!AO216</f>
        <v>163.48999999999998</v>
      </c>
      <c r="G525" s="38"/>
      <c r="H525" s="37"/>
      <c r="I525" s="38" t="str">
        <f>Source!BO216</f>
        <v/>
      </c>
      <c r="J525" s="38"/>
      <c r="K525" s="37"/>
      <c r="L525" s="39"/>
      <c r="S525">
        <f>ROUND((Source!FX216/100)*((ROUND(Source!AF216*Source!I216, 2)+ROUND(Source!AE216*Source!I216, 2))), 2)</f>
        <v>8.4600000000000009</v>
      </c>
      <c r="T525">
        <f>Source!X216</f>
        <v>270.74</v>
      </c>
      <c r="U525">
        <f>ROUND((Source!FY216/100)*((ROUND(Source!AF216*Source!I216, 2)+ROUND(Source!AE216*Source!I216, 2))), 2)</f>
        <v>3.9</v>
      </c>
      <c r="V525">
        <f>Source!Y216</f>
        <v>124.86</v>
      </c>
    </row>
    <row r="526" spans="1:26" x14ac:dyDescent="0.2">
      <c r="C526" s="28" t="str">
        <f>"Объем: "&amp;Source!I216&amp;"=20/"&amp;"100"</f>
        <v>Объем: 0,2=20/100</v>
      </c>
    </row>
    <row r="527" spans="1:26" ht="14.25" x14ac:dyDescent="0.2">
      <c r="A527" s="52"/>
      <c r="B527" s="52"/>
      <c r="C527" s="52" t="s">
        <v>894</v>
      </c>
      <c r="D527" s="36"/>
      <c r="E527" s="10"/>
      <c r="F527" s="37">
        <f>Source!AO216</f>
        <v>19.32</v>
      </c>
      <c r="G527" s="38" t="str">
        <f>Source!DG216</f>
        <v>)*1,15*2</v>
      </c>
      <c r="H527" s="37">
        <f>ROUND(Source!AF216*Source!I216, 2)</f>
        <v>8.89</v>
      </c>
      <c r="I527" s="38"/>
      <c r="J527" s="38">
        <f>IF(Source!BA216&lt;&gt; 0, Source!BA216, 1)</f>
        <v>32.01</v>
      </c>
      <c r="K527" s="37">
        <f>Source!S216</f>
        <v>284.5</v>
      </c>
      <c r="L527" s="39"/>
      <c r="R527">
        <f>H527</f>
        <v>8.89</v>
      </c>
    </row>
    <row r="528" spans="1:26" ht="14.25" x14ac:dyDescent="0.2">
      <c r="A528" s="52"/>
      <c r="B528" s="52"/>
      <c r="C528" s="52" t="s">
        <v>340</v>
      </c>
      <c r="D528" s="36"/>
      <c r="E528" s="10"/>
      <c r="F528" s="37">
        <f>Source!AM216</f>
        <v>6.01</v>
      </c>
      <c r="G528" s="38" t="str">
        <f>Source!DE216</f>
        <v>)*1,25*2</v>
      </c>
      <c r="H528" s="37">
        <f>ROUND(((((Source!ET216*1.25*2))-((Source!EU216*1.25*2)))+Source!AE216)*Source!I216, 2)</f>
        <v>3.01</v>
      </c>
      <c r="I528" s="38"/>
      <c r="J528" s="38">
        <f>IF(Source!BB216&lt;&gt; 0, Source!BB216, 1)</f>
        <v>12.44</v>
      </c>
      <c r="K528" s="37">
        <f>Source!Q216</f>
        <v>37.380000000000003</v>
      </c>
      <c r="L528" s="39"/>
    </row>
    <row r="529" spans="1:26" ht="14.25" x14ac:dyDescent="0.2">
      <c r="A529" s="52"/>
      <c r="B529" s="52"/>
      <c r="C529" s="52" t="s">
        <v>895</v>
      </c>
      <c r="D529" s="36"/>
      <c r="E529" s="10"/>
      <c r="F529" s="37">
        <f>Source!AN216</f>
        <v>0.22</v>
      </c>
      <c r="G529" s="38" t="str">
        <f>Source!DF216</f>
        <v>)*1,25*2</v>
      </c>
      <c r="H529" s="40">
        <f>ROUND(Source!AE216*Source!I216, 2)</f>
        <v>0.11</v>
      </c>
      <c r="I529" s="38"/>
      <c r="J529" s="38">
        <f>IF(Source!BS216&lt;&gt; 0, Source!BS216, 1)</f>
        <v>32.01</v>
      </c>
      <c r="K529" s="40">
        <f>Source!R216</f>
        <v>3.52</v>
      </c>
      <c r="L529" s="39"/>
      <c r="R529">
        <f>H529</f>
        <v>0.11</v>
      </c>
    </row>
    <row r="530" spans="1:26" ht="14.25" x14ac:dyDescent="0.2">
      <c r="A530" s="52"/>
      <c r="B530" s="52"/>
      <c r="C530" s="52" t="s">
        <v>911</v>
      </c>
      <c r="D530" s="36"/>
      <c r="E530" s="10"/>
      <c r="F530" s="37">
        <f>Source!AL216</f>
        <v>138.16</v>
      </c>
      <c r="G530" s="38" t="str">
        <f>Source!DD216</f>
        <v>*2</v>
      </c>
      <c r="H530" s="37">
        <f>ROUND(Source!AC216*Source!I216, 2)</f>
        <v>55.26</v>
      </c>
      <c r="I530" s="38"/>
      <c r="J530" s="38">
        <f>IF(Source!BC216&lt;&gt; 0, Source!BC216, 1)</f>
        <v>8.9</v>
      </c>
      <c r="K530" s="37">
        <f>Source!P216</f>
        <v>491.85</v>
      </c>
      <c r="L530" s="39"/>
    </row>
    <row r="531" spans="1:26" ht="14.25" x14ac:dyDescent="0.2">
      <c r="A531" s="52"/>
      <c r="B531" s="52"/>
      <c r="C531" s="52" t="s">
        <v>896</v>
      </c>
      <c r="D531" s="36" t="s">
        <v>897</v>
      </c>
      <c r="E531" s="10">
        <f>Source!BZ216</f>
        <v>94</v>
      </c>
      <c r="F531" s="54"/>
      <c r="G531" s="38"/>
      <c r="H531" s="37">
        <f>SUM(S525:S533)</f>
        <v>8.4600000000000009</v>
      </c>
      <c r="I531" s="41"/>
      <c r="J531" s="35">
        <f>Source!AT216</f>
        <v>94</v>
      </c>
      <c r="K531" s="37">
        <f>SUM(T525:T533)</f>
        <v>270.74</v>
      </c>
      <c r="L531" s="39"/>
    </row>
    <row r="532" spans="1:26" ht="14.25" x14ac:dyDescent="0.2">
      <c r="A532" s="52"/>
      <c r="B532" s="52"/>
      <c r="C532" s="52" t="s">
        <v>898</v>
      </c>
      <c r="D532" s="36" t="s">
        <v>897</v>
      </c>
      <c r="E532" s="10">
        <f>Source!CA216</f>
        <v>51</v>
      </c>
      <c r="F532" s="64" t="str">
        <f>CONCATENATE(" )", Source!DM216, Source!FU216, "=", Source!FY216)</f>
        <v xml:space="preserve"> ))*0,85=43,35</v>
      </c>
      <c r="G532" s="65"/>
      <c r="H532" s="37">
        <f>SUM(U525:U533)</f>
        <v>3.9</v>
      </c>
      <c r="I532" s="41"/>
      <c r="J532" s="35">
        <f>Source!AU216</f>
        <v>43.35</v>
      </c>
      <c r="K532" s="37">
        <f>SUM(V525:V533)</f>
        <v>124.86</v>
      </c>
      <c r="L532" s="39"/>
    </row>
    <row r="533" spans="1:26" ht="14.25" x14ac:dyDescent="0.2">
      <c r="A533" s="53"/>
      <c r="B533" s="53"/>
      <c r="C533" s="53" t="s">
        <v>899</v>
      </c>
      <c r="D533" s="42" t="s">
        <v>900</v>
      </c>
      <c r="E533" s="43">
        <f>Source!AQ216</f>
        <v>2.13</v>
      </c>
      <c r="F533" s="44"/>
      <c r="G533" s="45" t="str">
        <f>Source!DI216</f>
        <v>)*1,15*2</v>
      </c>
      <c r="H533" s="44"/>
      <c r="I533" s="45"/>
      <c r="J533" s="45"/>
      <c r="K533" s="44"/>
      <c r="L533" s="46">
        <f>Source!U216</f>
        <v>0.97979999999999989</v>
      </c>
    </row>
    <row r="534" spans="1:26" ht="15" x14ac:dyDescent="0.25">
      <c r="G534" s="61">
        <f>H527+H528+H530+H531+H532</f>
        <v>79.52000000000001</v>
      </c>
      <c r="H534" s="61"/>
      <c r="J534" s="61">
        <f>K527+K528+K530+K531+K532</f>
        <v>1209.33</v>
      </c>
      <c r="K534" s="61"/>
      <c r="L534" s="47">
        <f>Source!U216</f>
        <v>0.97979999999999989</v>
      </c>
      <c r="O534" s="29">
        <f>G534</f>
        <v>79.52000000000001</v>
      </c>
      <c r="P534" s="29">
        <f>J534</f>
        <v>1209.33</v>
      </c>
      <c r="Q534" s="29">
        <f>L534</f>
        <v>0.97979999999999989</v>
      </c>
      <c r="W534">
        <f>IF(Source!BI216&lt;=1,H527+H528+H530+H531+H532, 0)</f>
        <v>79.52000000000001</v>
      </c>
      <c r="X534">
        <f>IF(Source!BI216=2,H527+H528+H530+H531+H532, 0)</f>
        <v>0</v>
      </c>
      <c r="Y534">
        <f>IF(Source!BI216=3,H527+H528+H530+H531+H532, 0)</f>
        <v>0</v>
      </c>
      <c r="Z534">
        <f>IF(Source!BI216=4,H527+H528+H530+H531+H532, 0)</f>
        <v>0</v>
      </c>
    </row>
    <row r="535" spans="1:26" ht="57" x14ac:dyDescent="0.2">
      <c r="A535" s="53">
        <v>89</v>
      </c>
      <c r="B535" s="53" t="s">
        <v>1011</v>
      </c>
      <c r="C535" s="53" t="str">
        <f>Source!G217</f>
        <v>Погрузка при автомобильных перевозках мусора строительного с погрузкой экскаваторами емкостью ковша до 0,5 м3</v>
      </c>
      <c r="D535" s="42" t="str">
        <f>Source!H217</f>
        <v>1 т груза</v>
      </c>
      <c r="E535" s="43">
        <f>Source!I217</f>
        <v>27.73</v>
      </c>
      <c r="F535" s="44">
        <f>Source!AK217</f>
        <v>3.28</v>
      </c>
      <c r="G535" s="45" t="str">
        <f>Source!DC217</f>
        <v/>
      </c>
      <c r="H535" s="44">
        <f>ROUND(Source!AB217*Source!I217, 2)</f>
        <v>90.95</v>
      </c>
      <c r="I535" s="45" t="str">
        <f>Source!BO217</f>
        <v/>
      </c>
      <c r="J535" s="45">
        <f>Source!AZ217</f>
        <v>12.38</v>
      </c>
      <c r="K535" s="44">
        <f>Source!GM217</f>
        <v>1126.02</v>
      </c>
      <c r="L535" s="48"/>
      <c r="S535">
        <f>ROUND((Source!FX217/100)*((ROUND(0*Source!I217, 2)+ROUND(0*Source!I217, 2))), 2)</f>
        <v>0</v>
      </c>
      <c r="T535">
        <f>Source!X217</f>
        <v>0</v>
      </c>
      <c r="U535">
        <f>ROUND((Source!FY217/100)*((ROUND(0*Source!I217, 2)+ROUND(0*Source!I217, 2))), 2)</f>
        <v>0</v>
      </c>
      <c r="V535">
        <f>Source!Y217</f>
        <v>0</v>
      </c>
    </row>
    <row r="536" spans="1:26" ht="15" x14ac:dyDescent="0.25">
      <c r="G536" s="61">
        <f>H535</f>
        <v>90.95</v>
      </c>
      <c r="H536" s="61"/>
      <c r="J536" s="61">
        <f>K535</f>
        <v>1126.02</v>
      </c>
      <c r="K536" s="61"/>
      <c r="L536" s="47">
        <f>Source!U217</f>
        <v>0</v>
      </c>
      <c r="O536" s="29">
        <f>G536</f>
        <v>90.95</v>
      </c>
      <c r="P536" s="29">
        <f>J536</f>
        <v>1126.02</v>
      </c>
      <c r="Q536" s="29">
        <f>L536</f>
        <v>0</v>
      </c>
      <c r="W536">
        <f>IF(Source!BI217&lt;=1,H535, 0)</f>
        <v>90.95</v>
      </c>
      <c r="X536">
        <f>IF(Source!BI217=2,H535, 0)</f>
        <v>0</v>
      </c>
      <c r="Y536">
        <f>IF(Source!BI217=3,H535, 0)</f>
        <v>0</v>
      </c>
      <c r="Z536">
        <f>IF(Source!BI217=4,H535, 0)</f>
        <v>0</v>
      </c>
    </row>
    <row r="537" spans="1:26" ht="57" x14ac:dyDescent="0.2">
      <c r="A537" s="53">
        <v>90</v>
      </c>
      <c r="B537" s="53" t="s">
        <v>1012</v>
      </c>
      <c r="C537" s="53" t="str">
        <f>Source!G218</f>
        <v>Перевозка грузов I класса автомобилями-самосвалами грузоподъемностью 10 т работающих вне карьера на расстояние до 20 км</v>
      </c>
      <c r="D537" s="42" t="str">
        <f>Source!H218</f>
        <v>1 т груза</v>
      </c>
      <c r="E537" s="43">
        <f>Source!I218</f>
        <v>22.55</v>
      </c>
      <c r="F537" s="44">
        <f>Source!AK218</f>
        <v>15.35</v>
      </c>
      <c r="G537" s="45" t="str">
        <f>Source!DC218</f>
        <v/>
      </c>
      <c r="H537" s="44">
        <f>ROUND(Source!AB218*Source!I218, 2)</f>
        <v>346.14</v>
      </c>
      <c r="I537" s="45" t="str">
        <f>Source!BO218</f>
        <v/>
      </c>
      <c r="J537" s="45">
        <f>Source!AZ218</f>
        <v>12.38</v>
      </c>
      <c r="K537" s="44">
        <f>Source!GM218</f>
        <v>4285.24</v>
      </c>
      <c r="L537" s="48"/>
      <c r="S537">
        <f>ROUND((Source!FX218/100)*((ROUND(0*Source!I218, 2)+ROUND(0*Source!I218, 2))), 2)</f>
        <v>0</v>
      </c>
      <c r="T537">
        <f>Source!X218</f>
        <v>0</v>
      </c>
      <c r="U537">
        <f>ROUND((Source!FY218/100)*((ROUND(0*Source!I218, 2)+ROUND(0*Source!I218, 2))), 2)</f>
        <v>0</v>
      </c>
      <c r="V537">
        <f>Source!Y218</f>
        <v>0</v>
      </c>
    </row>
    <row r="538" spans="1:26" ht="15" x14ac:dyDescent="0.25">
      <c r="G538" s="61">
        <f>H537</f>
        <v>346.14</v>
      </c>
      <c r="H538" s="61"/>
      <c r="J538" s="61">
        <f>K537</f>
        <v>4285.24</v>
      </c>
      <c r="K538" s="61"/>
      <c r="L538" s="47">
        <f>Source!U218</f>
        <v>0</v>
      </c>
      <c r="O538" s="29">
        <f>G538</f>
        <v>346.14</v>
      </c>
      <c r="P538" s="29">
        <f>J538</f>
        <v>4285.24</v>
      </c>
      <c r="Q538" s="29">
        <f>L538</f>
        <v>0</v>
      </c>
      <c r="W538">
        <f>IF(Source!BI218&lt;=1,H537, 0)</f>
        <v>346.14</v>
      </c>
      <c r="X538">
        <f>IF(Source!BI218=2,H537, 0)</f>
        <v>0</v>
      </c>
      <c r="Y538">
        <f>IF(Source!BI218=3,H537, 0)</f>
        <v>0</v>
      </c>
      <c r="Z538">
        <f>IF(Source!BI218=4,H537, 0)</f>
        <v>0</v>
      </c>
    </row>
    <row r="539" spans="1:26" ht="57" x14ac:dyDescent="0.2">
      <c r="A539" s="53">
        <v>91</v>
      </c>
      <c r="B539" s="53" t="s">
        <v>1013</v>
      </c>
      <c r="C539" s="53" t="str">
        <f>Source!G219</f>
        <v>Перевозка грузов I класса автомобилями-самосвалами грузоподъемностью 10 т работающих вне карьера на расстояние до 1 км</v>
      </c>
      <c r="D539" s="42" t="str">
        <f>Source!H219</f>
        <v>1 т груза</v>
      </c>
      <c r="E539" s="43">
        <f>Source!I219</f>
        <v>5.17</v>
      </c>
      <c r="F539" s="44">
        <f>Source!AK219</f>
        <v>2.91</v>
      </c>
      <c r="G539" s="45" t="str">
        <f>Source!DC219</f>
        <v/>
      </c>
      <c r="H539" s="44">
        <f>ROUND(Source!AB219*Source!I219, 2)</f>
        <v>15.04</v>
      </c>
      <c r="I539" s="45" t="str">
        <f>Source!BO219</f>
        <v/>
      </c>
      <c r="J539" s="45">
        <f>Source!AZ219</f>
        <v>12.38</v>
      </c>
      <c r="K539" s="44">
        <f>Source!GM219</f>
        <v>186.25</v>
      </c>
      <c r="L539" s="48"/>
      <c r="S539">
        <f>ROUND((Source!FX219/100)*((ROUND(0*Source!I219, 2)+ROUND(0*Source!I219, 2))), 2)</f>
        <v>0</v>
      </c>
      <c r="T539">
        <f>Source!X219</f>
        <v>0</v>
      </c>
      <c r="U539">
        <f>ROUND((Source!FY219/100)*((ROUND(0*Source!I219, 2)+ROUND(0*Source!I219, 2))), 2)</f>
        <v>0</v>
      </c>
      <c r="V539">
        <f>Source!Y219</f>
        <v>0</v>
      </c>
    </row>
    <row r="540" spans="1:26" ht="15" x14ac:dyDescent="0.25">
      <c r="G540" s="61">
        <f>H539</f>
        <v>15.04</v>
      </c>
      <c r="H540" s="61"/>
      <c r="J540" s="61">
        <f>K539</f>
        <v>186.25</v>
      </c>
      <c r="K540" s="61"/>
      <c r="L540" s="47">
        <f>Source!U219</f>
        <v>0</v>
      </c>
      <c r="O540" s="29">
        <f>G540</f>
        <v>15.04</v>
      </c>
      <c r="P540" s="29">
        <f>J540</f>
        <v>186.25</v>
      </c>
      <c r="Q540" s="29">
        <f>L540</f>
        <v>0</v>
      </c>
      <c r="W540">
        <f>IF(Source!BI219&lt;=1,H539, 0)</f>
        <v>15.04</v>
      </c>
      <c r="X540">
        <f>IF(Source!BI219=2,H539, 0)</f>
        <v>0</v>
      </c>
      <c r="Y540">
        <f>IF(Source!BI219=3,H539, 0)</f>
        <v>0</v>
      </c>
      <c r="Z540">
        <f>IF(Source!BI219=4,H539, 0)</f>
        <v>0</v>
      </c>
    </row>
    <row r="542" spans="1:26" ht="15" x14ac:dyDescent="0.25">
      <c r="A542" s="63" t="str">
        <f>CONCATENATE("Итого по разделу: ",IF(Source!G221&lt;&gt;"Новый раздел", Source!G221, ""))</f>
        <v>Итого по разделу: Ремонт крыльца</v>
      </c>
      <c r="B542" s="63"/>
      <c r="C542" s="63"/>
      <c r="D542" s="63"/>
      <c r="E542" s="63"/>
      <c r="F542" s="63"/>
      <c r="G542" s="62">
        <f>SUM(O457:O541)</f>
        <v>4846.2700000000013</v>
      </c>
      <c r="H542" s="62"/>
      <c r="I542" s="34"/>
      <c r="J542" s="62">
        <f>SUM(P457:P541)</f>
        <v>74268.610000000015</v>
      </c>
      <c r="K542" s="62"/>
      <c r="L542" s="47">
        <f>SUM(Q457:Q541)</f>
        <v>57.749929999999999</v>
      </c>
    </row>
    <row r="544" spans="1:26" ht="15" x14ac:dyDescent="0.25">
      <c r="A544" s="63" t="str">
        <f>CONCATENATE("Итого по локальной смете: ",IF(Source!G251&lt;&gt;"Новая локальная смета", Source!G251, ""))</f>
        <v xml:space="preserve">Итого по локальной смете: </v>
      </c>
      <c r="B544" s="63"/>
      <c r="C544" s="63"/>
      <c r="D544" s="63"/>
      <c r="E544" s="63"/>
      <c r="F544" s="63"/>
      <c r="G544" s="62">
        <f>SUM(O37:O543)</f>
        <v>270163.75000000012</v>
      </c>
      <c r="H544" s="62"/>
      <c r="I544" s="34"/>
      <c r="J544" s="62">
        <f>SUM(P37:P543)</f>
        <v>4319526.4399999985</v>
      </c>
      <c r="K544" s="62"/>
      <c r="L544" s="47">
        <f>SUM(Q37:Q543)</f>
        <v>3672.2787317199991</v>
      </c>
    </row>
    <row r="546" spans="1:32" ht="30" x14ac:dyDescent="0.25">
      <c r="A546" s="63" t="str">
        <f>CONCATENATE("Итого по смете: ",IF(Source!G283&lt;&gt;"Новый объект", Source!G283, ""))</f>
        <v>Итого по смете: Ремонт помещений, системы отопления и крыльца здания столовой инв. № 10-00000050</v>
      </c>
      <c r="B546" s="63"/>
      <c r="C546" s="63"/>
      <c r="D546" s="63"/>
      <c r="E546" s="63"/>
      <c r="F546" s="63"/>
      <c r="G546" s="62">
        <f>SUM(O9:O545)</f>
        <v>270163.75000000012</v>
      </c>
      <c r="H546" s="62"/>
      <c r="I546" s="34"/>
      <c r="J546" s="62">
        <f>SUM(P9:P545)</f>
        <v>4319526.4399999985</v>
      </c>
      <c r="K546" s="62"/>
      <c r="L546" s="60">
        <f>SUM(Q9:Q545)</f>
        <v>3672.2787317199991</v>
      </c>
      <c r="AF546" s="56" t="str">
        <f>CONCATENATE("Итого по смете: ",IF(Source!G283&lt;&gt;"Новый объект", Source!G283, ""))</f>
        <v>Итого по смете: Ремонт помещений, системы отопления и крыльца здания столовой инв. № 10-00000050</v>
      </c>
    </row>
    <row r="548" spans="1:32" ht="14.25" x14ac:dyDescent="0.2">
      <c r="C548" s="68" t="str">
        <f>Source!H285</f>
        <v>Прямые затраты</v>
      </c>
      <c r="D548" s="68"/>
      <c r="E548" s="68"/>
      <c r="F548" s="68"/>
      <c r="G548" s="68"/>
      <c r="H548" s="68"/>
      <c r="I548" s="68"/>
      <c r="J548" s="69">
        <f>IF(Source!F285=0, "", Source!F285)</f>
        <v>2719594.04</v>
      </c>
      <c r="K548" s="69"/>
    </row>
    <row r="549" spans="1:32" ht="14.25" x14ac:dyDescent="0.2">
      <c r="C549" s="68" t="str">
        <f>Source!H286</f>
        <v>Стоимость материальных ресурсов (всего)</v>
      </c>
      <c r="D549" s="68"/>
      <c r="E549" s="68"/>
      <c r="F549" s="68"/>
      <c r="G549" s="68"/>
      <c r="H549" s="68"/>
      <c r="I549" s="68"/>
      <c r="J549" s="71">
        <f>IF(Source!F286=0, "", Source!F286)</f>
        <v>1647109.74</v>
      </c>
      <c r="K549" s="71"/>
    </row>
    <row r="550" spans="1:32" ht="14.25" x14ac:dyDescent="0.2">
      <c r="C550" s="68" t="str">
        <f>Source!H288</f>
        <v>Стоимость материалов и оборудования подрядчика</v>
      </c>
      <c r="D550" s="68"/>
      <c r="E550" s="68"/>
      <c r="F550" s="68"/>
      <c r="G550" s="68"/>
      <c r="H550" s="68"/>
      <c r="I550" s="68"/>
      <c r="J550" s="69">
        <f>IF(Source!F288=0, "", Source!F288)</f>
        <v>1647109.74</v>
      </c>
      <c r="K550" s="69"/>
    </row>
    <row r="551" spans="1:32" ht="14.25" x14ac:dyDescent="0.2">
      <c r="C551" s="68" t="str">
        <f>Source!H289</f>
        <v>Стоимость материалов (всего)</v>
      </c>
      <c r="D551" s="68"/>
      <c r="E551" s="68"/>
      <c r="F551" s="68"/>
      <c r="G551" s="68"/>
      <c r="H551" s="68"/>
      <c r="I551" s="68"/>
      <c r="J551" s="69">
        <f>IF(Source!F289=0, "", Source!F289)</f>
        <v>1647109.74</v>
      </c>
      <c r="K551" s="69"/>
    </row>
    <row r="552" spans="1:32" ht="14.25" x14ac:dyDescent="0.2">
      <c r="C552" s="68" t="str">
        <f>Source!H291</f>
        <v>Стоимость материалов подрядчика</v>
      </c>
      <c r="D552" s="68"/>
      <c r="E552" s="68"/>
      <c r="F552" s="68"/>
      <c r="G552" s="68"/>
      <c r="H552" s="68"/>
      <c r="I552" s="68"/>
      <c r="J552" s="69">
        <f>IF(Source!F291=0, "", Source!F291)</f>
        <v>1647109.74</v>
      </c>
      <c r="K552" s="69"/>
    </row>
    <row r="553" spans="1:32" ht="14.25" x14ac:dyDescent="0.2">
      <c r="C553" s="68" t="str">
        <f>Source!H295</f>
        <v>Эксплуатация машин</v>
      </c>
      <c r="D553" s="68"/>
      <c r="E553" s="68"/>
      <c r="F553" s="68"/>
      <c r="G553" s="68"/>
      <c r="H553" s="68"/>
      <c r="I553" s="68"/>
      <c r="J553" s="71">
        <f>IF(Source!F295=0, "", Source!F295)</f>
        <v>27086.7</v>
      </c>
      <c r="K553" s="71"/>
    </row>
    <row r="554" spans="1:32" ht="14.25" x14ac:dyDescent="0.2">
      <c r="C554" s="68" t="str">
        <f>Source!H297</f>
        <v>ЗП машинистов</v>
      </c>
      <c r="D554" s="68"/>
      <c r="E554" s="68"/>
      <c r="F554" s="68"/>
      <c r="G554" s="68"/>
      <c r="H554" s="68"/>
      <c r="I554" s="68"/>
      <c r="J554" s="69">
        <f>IF(Source!F297=0, "", Source!F297)</f>
        <v>14448.9</v>
      </c>
      <c r="K554" s="69"/>
    </row>
    <row r="555" spans="1:32" ht="14.25" x14ac:dyDescent="0.2">
      <c r="C555" s="68" t="str">
        <f>Source!H298</f>
        <v>Основная ЗП рабочих</v>
      </c>
      <c r="D555" s="68"/>
      <c r="E555" s="68"/>
      <c r="F555" s="68"/>
      <c r="G555" s="68"/>
      <c r="H555" s="68"/>
      <c r="I555" s="68"/>
      <c r="J555" s="69">
        <f>IF(Source!F298=0, "", Source!F298)</f>
        <v>1045397.6</v>
      </c>
      <c r="K555" s="69"/>
    </row>
    <row r="556" spans="1:32" ht="14.25" x14ac:dyDescent="0.2">
      <c r="C556" s="68" t="str">
        <f>Source!H300</f>
        <v>Строительные работы с НР и СП</v>
      </c>
      <c r="D556" s="68"/>
      <c r="E556" s="68"/>
      <c r="F556" s="68"/>
      <c r="G556" s="68"/>
      <c r="H556" s="68"/>
      <c r="I556" s="68"/>
      <c r="J556" s="69">
        <f>IF(Source!F300=0, "", Source!F300)</f>
        <v>4319526.4400000004</v>
      </c>
      <c r="K556" s="69"/>
    </row>
    <row r="557" spans="1:32" ht="14.25" x14ac:dyDescent="0.2">
      <c r="C557" s="68" t="str">
        <f>Source!H305</f>
        <v>Трудозатраты строителей</v>
      </c>
      <c r="D557" s="68"/>
      <c r="E557" s="68"/>
      <c r="F557" s="68"/>
      <c r="G557" s="68"/>
      <c r="H557" s="68"/>
      <c r="I557" s="68"/>
      <c r="J557" s="70">
        <f>IF(Source!F305=0, "", Source!F305)</f>
        <v>3672.27873172</v>
      </c>
      <c r="K557" s="70"/>
    </row>
    <row r="558" spans="1:32" ht="14.25" x14ac:dyDescent="0.2">
      <c r="C558" s="68" t="str">
        <f>Source!H306</f>
        <v>Трудозатраты машинистов</v>
      </c>
      <c r="D558" s="68"/>
      <c r="E558" s="68"/>
      <c r="F558" s="68"/>
      <c r="G558" s="68"/>
      <c r="H558" s="68"/>
      <c r="I558" s="68"/>
      <c r="J558" s="70">
        <f>IF(Source!F306=0, "", Source!F306)</f>
        <v>37.396863050000007</v>
      </c>
      <c r="K558" s="70"/>
    </row>
    <row r="559" spans="1:32" ht="14.25" x14ac:dyDescent="0.2">
      <c r="C559" s="68" t="str">
        <f>Source!H308</f>
        <v>Перевозка грузов</v>
      </c>
      <c r="D559" s="68"/>
      <c r="E559" s="68"/>
      <c r="F559" s="68"/>
      <c r="G559" s="68"/>
      <c r="H559" s="68"/>
      <c r="I559" s="68"/>
      <c r="J559" s="71">
        <f>IF(Source!F308=0, "", Source!F308)</f>
        <v>5597.51</v>
      </c>
      <c r="K559" s="71"/>
    </row>
    <row r="560" spans="1:32" ht="14.25" x14ac:dyDescent="0.2">
      <c r="C560" s="68" t="str">
        <f>Source!H309</f>
        <v>Накладные расходы</v>
      </c>
      <c r="D560" s="68"/>
      <c r="E560" s="68"/>
      <c r="F560" s="68"/>
      <c r="G560" s="68"/>
      <c r="H560" s="68"/>
      <c r="I560" s="68"/>
      <c r="J560" s="69">
        <f>IF(Source!F309=0, "", Source!F309)</f>
        <v>1072554.97</v>
      </c>
      <c r="K560" s="69"/>
    </row>
    <row r="561" spans="1:12" ht="14.25" x14ac:dyDescent="0.2">
      <c r="C561" s="68" t="str">
        <f>Source!H310</f>
        <v>Сметная прибыль</v>
      </c>
      <c r="D561" s="68"/>
      <c r="E561" s="68"/>
      <c r="F561" s="68"/>
      <c r="G561" s="68"/>
      <c r="H561" s="68"/>
      <c r="I561" s="68"/>
      <c r="J561" s="69">
        <f>IF(Source!F310=0, "", Source!F310)</f>
        <v>521779.92</v>
      </c>
      <c r="K561" s="69"/>
    </row>
    <row r="562" spans="1:12" ht="14.25" x14ac:dyDescent="0.2">
      <c r="C562" s="68" t="str">
        <f>Source!H311</f>
        <v>Всего с НР и СП</v>
      </c>
      <c r="D562" s="68"/>
      <c r="E562" s="68"/>
      <c r="F562" s="68"/>
      <c r="G562" s="68"/>
      <c r="H562" s="68"/>
      <c r="I562" s="68"/>
      <c r="J562" s="69">
        <f>IF(Source!F311=0, "", Source!F311)</f>
        <v>4319526.4400000004</v>
      </c>
      <c r="K562" s="69"/>
    </row>
    <row r="563" spans="1:12" ht="14.25" x14ac:dyDescent="0.2">
      <c r="C563" s="57" t="s">
        <v>1027</v>
      </c>
      <c r="D563" s="35">
        <v>0.91</v>
      </c>
      <c r="E563" s="35"/>
      <c r="F563" s="35"/>
      <c r="G563" s="35"/>
      <c r="H563" s="35"/>
      <c r="I563" s="35"/>
      <c r="J563" s="76">
        <f>D563*J562</f>
        <v>3930769.0604000003</v>
      </c>
      <c r="K563" s="76"/>
    </row>
    <row r="564" spans="1:12" ht="14.25" x14ac:dyDescent="0.2">
      <c r="C564" s="68" t="str">
        <f>Source!H312</f>
        <v>НДС, 20%</v>
      </c>
      <c r="D564" s="68"/>
      <c r="E564" s="68"/>
      <c r="F564" s="68"/>
      <c r="G564" s="68"/>
      <c r="H564" s="68"/>
      <c r="I564" s="68"/>
      <c r="J564" s="69">
        <v>786153.81</v>
      </c>
      <c r="K564" s="69"/>
    </row>
    <row r="565" spans="1:12" ht="14.25" x14ac:dyDescent="0.2">
      <c r="C565" s="68" t="str">
        <f>Source!H313</f>
        <v>Итого с НДС</v>
      </c>
      <c r="D565" s="68"/>
      <c r="E565" s="68"/>
      <c r="F565" s="68"/>
      <c r="G565" s="68"/>
      <c r="H565" s="68"/>
      <c r="I565" s="68"/>
      <c r="J565" s="69">
        <f>J564+J563</f>
        <v>4716922.8704000004</v>
      </c>
      <c r="K565" s="69"/>
    </row>
    <row r="568" spans="1:12" ht="14.25" hidden="1" x14ac:dyDescent="0.2">
      <c r="A568" s="33" t="s">
        <v>1014</v>
      </c>
      <c r="B568" s="33"/>
      <c r="C568" s="10" t="s">
        <v>1015</v>
      </c>
      <c r="D568" s="30"/>
      <c r="E568" s="30"/>
      <c r="F568" s="30"/>
      <c r="G568" s="30"/>
      <c r="H568" s="30"/>
      <c r="I568" s="11"/>
      <c r="J568" s="10"/>
      <c r="K568" s="11"/>
      <c r="L568" s="11"/>
    </row>
    <row r="569" spans="1:12" ht="14.25" hidden="1" x14ac:dyDescent="0.2">
      <c r="A569" s="11"/>
      <c r="B569" s="11"/>
      <c r="C569" s="10"/>
      <c r="D569" s="67" t="s">
        <v>1016</v>
      </c>
      <c r="E569" s="67"/>
      <c r="F569" s="67"/>
      <c r="G569" s="67"/>
      <c r="H569" s="67"/>
      <c r="I569" s="11"/>
      <c r="J569" s="10"/>
      <c r="K569" s="11"/>
      <c r="L569" s="11"/>
    </row>
    <row r="570" spans="1:12" ht="14.25" hidden="1" x14ac:dyDescent="0.2">
      <c r="A570" s="11"/>
      <c r="B570" s="11"/>
      <c r="C570" s="10"/>
      <c r="D570" s="11"/>
      <c r="E570" s="11"/>
      <c r="F570" s="11"/>
      <c r="G570" s="11"/>
      <c r="H570" s="11"/>
      <c r="I570" s="11"/>
      <c r="J570" s="10"/>
      <c r="K570" s="11"/>
      <c r="L570" s="11"/>
    </row>
    <row r="571" spans="1:12" ht="14.25" x14ac:dyDescent="0.2">
      <c r="A571" s="33" t="s">
        <v>1014</v>
      </c>
      <c r="B571" s="33"/>
      <c r="C571" s="10" t="s">
        <v>1017</v>
      </c>
      <c r="D571" s="30" t="str">
        <f>IF(Source!AC12&lt;&gt;"", Source!AC12," ")</f>
        <v xml:space="preserve"> </v>
      </c>
      <c r="E571" s="30"/>
      <c r="F571" s="30"/>
      <c r="G571" s="30"/>
      <c r="H571" s="30"/>
      <c r="I571" s="11" t="str">
        <f>IF(Source!AB12&lt;&gt;"", Source!AB12," ")</f>
        <v>Соломонова Н.В.</v>
      </c>
      <c r="J571" s="10"/>
      <c r="K571" s="11"/>
      <c r="L571" s="11"/>
    </row>
    <row r="572" spans="1:12" ht="14.25" x14ac:dyDescent="0.2">
      <c r="A572" s="11"/>
      <c r="B572" s="11"/>
      <c r="C572" s="11"/>
      <c r="D572" s="67" t="s">
        <v>1016</v>
      </c>
      <c r="E572" s="67"/>
      <c r="F572" s="67"/>
      <c r="G572" s="67"/>
      <c r="H572" s="67"/>
      <c r="I572" s="11"/>
      <c r="J572" s="11"/>
      <c r="K572" s="11"/>
      <c r="L572" s="11"/>
    </row>
    <row r="573" spans="1:12" ht="14.25" x14ac:dyDescent="0.2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</row>
    <row r="574" spans="1:12" ht="14.25" x14ac:dyDescent="0.2">
      <c r="A574" s="11"/>
      <c r="B574" s="11"/>
      <c r="C574" s="10" t="s">
        <v>1018</v>
      </c>
      <c r="D574" s="30" t="str">
        <f>IF(Source!AE12&lt;&gt;"", Source!AE12," ")</f>
        <v xml:space="preserve"> </v>
      </c>
      <c r="E574" s="30"/>
      <c r="F574" s="30"/>
      <c r="G574" s="30"/>
      <c r="H574" s="30"/>
      <c r="I574" s="11" t="str">
        <f>IF(Source!AD12&lt;&gt;"", Source!AD12," ")</f>
        <v xml:space="preserve"> </v>
      </c>
      <c r="J574" s="10"/>
      <c r="K574" s="11"/>
      <c r="L574" s="11"/>
    </row>
    <row r="575" spans="1:12" ht="14.25" x14ac:dyDescent="0.2">
      <c r="A575" s="11"/>
      <c r="B575" s="11"/>
      <c r="C575" s="11"/>
      <c r="D575" s="67" t="s">
        <v>1016</v>
      </c>
      <c r="E575" s="67"/>
      <c r="F575" s="67"/>
      <c r="G575" s="67"/>
      <c r="H575" s="67"/>
      <c r="I575" s="11"/>
      <c r="J575" s="11"/>
      <c r="K575" s="11"/>
      <c r="L575" s="11"/>
    </row>
  </sheetData>
  <mergeCells count="305">
    <mergeCell ref="J563:K563"/>
    <mergeCell ref="B13:K13"/>
    <mergeCell ref="B14:K14"/>
    <mergeCell ref="B16:K16"/>
    <mergeCell ref="B17:K17"/>
    <mergeCell ref="A19:L19"/>
    <mergeCell ref="G20:H20"/>
    <mergeCell ref="I20:J20"/>
    <mergeCell ref="B10:K10"/>
    <mergeCell ref="B11:K11"/>
    <mergeCell ref="F12:G12"/>
    <mergeCell ref="H12:K12"/>
    <mergeCell ref="C23:F23"/>
    <mergeCell ref="G23:H23"/>
    <mergeCell ref="I23:J23"/>
    <mergeCell ref="K23:L23"/>
    <mergeCell ref="C24:F24"/>
    <mergeCell ref="G24:H24"/>
    <mergeCell ref="I24:J24"/>
    <mergeCell ref="K24:L24"/>
    <mergeCell ref="C21:F21"/>
    <mergeCell ref="G21:H21"/>
    <mergeCell ref="I21:J21"/>
    <mergeCell ref="K21:L21"/>
    <mergeCell ref="C22:F22"/>
    <mergeCell ref="G22:H22"/>
    <mergeCell ref="I22:J22"/>
    <mergeCell ref="K22:L22"/>
    <mergeCell ref="C27:F27"/>
    <mergeCell ref="G27:H27"/>
    <mergeCell ref="I27:J27"/>
    <mergeCell ref="K27:L27"/>
    <mergeCell ref="C28:F28"/>
    <mergeCell ref="G28:H28"/>
    <mergeCell ref="I28:J28"/>
    <mergeCell ref="C25:F25"/>
    <mergeCell ref="G25:H25"/>
    <mergeCell ref="I25:J25"/>
    <mergeCell ref="K25:L25"/>
    <mergeCell ref="C26:F26"/>
    <mergeCell ref="G26:H26"/>
    <mergeCell ref="I26:J26"/>
    <mergeCell ref="K26:L26"/>
    <mergeCell ref="C551:I551"/>
    <mergeCell ref="J551:K551"/>
    <mergeCell ref="C552:I552"/>
    <mergeCell ref="J552:K552"/>
    <mergeCell ref="C553:I553"/>
    <mergeCell ref="J553:K553"/>
    <mergeCell ref="A33:L33"/>
    <mergeCell ref="C548:I548"/>
    <mergeCell ref="J548:K548"/>
    <mergeCell ref="C549:I549"/>
    <mergeCell ref="J549:K549"/>
    <mergeCell ref="C550:I550"/>
    <mergeCell ref="J550:K550"/>
    <mergeCell ref="J96:K96"/>
    <mergeCell ref="G96:H96"/>
    <mergeCell ref="J89:K89"/>
    <mergeCell ref="A39:L39"/>
    <mergeCell ref="A37:L37"/>
    <mergeCell ref="J179:K179"/>
    <mergeCell ref="G179:H179"/>
    <mergeCell ref="J176:K176"/>
    <mergeCell ref="G176:H176"/>
    <mergeCell ref="F171:G171"/>
    <mergeCell ref="J163:K163"/>
    <mergeCell ref="C558:I558"/>
    <mergeCell ref="J558:K558"/>
    <mergeCell ref="C559:I559"/>
    <mergeCell ref="J559:K559"/>
    <mergeCell ref="C554:I554"/>
    <mergeCell ref="J554:K554"/>
    <mergeCell ref="C555:I555"/>
    <mergeCell ref="J555:K555"/>
    <mergeCell ref="C556:I556"/>
    <mergeCell ref="J556:K556"/>
    <mergeCell ref="D575:H575"/>
    <mergeCell ref="G126:H126"/>
    <mergeCell ref="J112:K112"/>
    <mergeCell ref="G112:H112"/>
    <mergeCell ref="J104:K104"/>
    <mergeCell ref="G104:H104"/>
    <mergeCell ref="G161:H161"/>
    <mergeCell ref="F159:G159"/>
    <mergeCell ref="J151:K151"/>
    <mergeCell ref="G151:H151"/>
    <mergeCell ref="C564:I564"/>
    <mergeCell ref="J564:K564"/>
    <mergeCell ref="C565:I565"/>
    <mergeCell ref="J565:K565"/>
    <mergeCell ref="D569:H569"/>
    <mergeCell ref="D572:H572"/>
    <mergeCell ref="C560:I560"/>
    <mergeCell ref="J560:K560"/>
    <mergeCell ref="C561:I561"/>
    <mergeCell ref="J561:K561"/>
    <mergeCell ref="C562:I562"/>
    <mergeCell ref="J562:K562"/>
    <mergeCell ref="C557:I557"/>
    <mergeCell ref="J557:K557"/>
    <mergeCell ref="G163:H163"/>
    <mergeCell ref="J161:K161"/>
    <mergeCell ref="J60:K60"/>
    <mergeCell ref="G60:H60"/>
    <mergeCell ref="J50:K50"/>
    <mergeCell ref="G50:H50"/>
    <mergeCell ref="J48:K48"/>
    <mergeCell ref="G48:H48"/>
    <mergeCell ref="G89:H89"/>
    <mergeCell ref="J83:K83"/>
    <mergeCell ref="G83:H83"/>
    <mergeCell ref="J76:K76"/>
    <mergeCell ref="G76:H76"/>
    <mergeCell ref="J67:K67"/>
    <mergeCell ref="G67:H67"/>
    <mergeCell ref="J126:K126"/>
    <mergeCell ref="J142:K142"/>
    <mergeCell ref="G142:H142"/>
    <mergeCell ref="J132:K132"/>
    <mergeCell ref="G132:H132"/>
    <mergeCell ref="J129:K129"/>
    <mergeCell ref="G129:H129"/>
    <mergeCell ref="J215:K215"/>
    <mergeCell ref="G215:H215"/>
    <mergeCell ref="F213:G213"/>
    <mergeCell ref="J206:K206"/>
    <mergeCell ref="G206:H206"/>
    <mergeCell ref="J204:K204"/>
    <mergeCell ref="G204:H204"/>
    <mergeCell ref="J202:K202"/>
    <mergeCell ref="G202:H202"/>
    <mergeCell ref="F190:G190"/>
    <mergeCell ref="J183:K183"/>
    <mergeCell ref="G183:H183"/>
    <mergeCell ref="J181:K181"/>
    <mergeCell ref="G181:H181"/>
    <mergeCell ref="J262:K262"/>
    <mergeCell ref="G262:H262"/>
    <mergeCell ref="F255:G255"/>
    <mergeCell ref="J248:K248"/>
    <mergeCell ref="G248:H248"/>
    <mergeCell ref="J200:K200"/>
    <mergeCell ref="G200:H200"/>
    <mergeCell ref="J198:K198"/>
    <mergeCell ref="G198:H198"/>
    <mergeCell ref="J196:K196"/>
    <mergeCell ref="G196:H196"/>
    <mergeCell ref="J229:K229"/>
    <mergeCell ref="G229:H229"/>
    <mergeCell ref="J226:K226"/>
    <mergeCell ref="G226:H226"/>
    <mergeCell ref="F224:G224"/>
    <mergeCell ref="J217:K217"/>
    <mergeCell ref="G217:H217"/>
    <mergeCell ref="J245:K245"/>
    <mergeCell ref="G245:H245"/>
    <mergeCell ref="F243:G243"/>
    <mergeCell ref="J235:K235"/>
    <mergeCell ref="G235:H235"/>
    <mergeCell ref="J232:K232"/>
    <mergeCell ref="G232:H232"/>
    <mergeCell ref="G334:H334"/>
    <mergeCell ref="J334:K334"/>
    <mergeCell ref="J275:K275"/>
    <mergeCell ref="G275:H275"/>
    <mergeCell ref="F273:G273"/>
    <mergeCell ref="J266:K266"/>
    <mergeCell ref="G266:H266"/>
    <mergeCell ref="J264:K264"/>
    <mergeCell ref="G264:H264"/>
    <mergeCell ref="J281:K281"/>
    <mergeCell ref="G281:H281"/>
    <mergeCell ref="J279:K279"/>
    <mergeCell ref="G279:H279"/>
    <mergeCell ref="J277:K277"/>
    <mergeCell ref="G277:H277"/>
    <mergeCell ref="J295:K295"/>
    <mergeCell ref="G295:H295"/>
    <mergeCell ref="F293:G293"/>
    <mergeCell ref="J285:K285"/>
    <mergeCell ref="G285:H285"/>
    <mergeCell ref="J283:K283"/>
    <mergeCell ref="G283:H283"/>
    <mergeCell ref="J308:K308"/>
    <mergeCell ref="G308:H308"/>
    <mergeCell ref="F305:G305"/>
    <mergeCell ref="J298:K298"/>
    <mergeCell ref="G298:H298"/>
    <mergeCell ref="J378:K378"/>
    <mergeCell ref="G378:H378"/>
    <mergeCell ref="J376:K376"/>
    <mergeCell ref="G376:H376"/>
    <mergeCell ref="J374:K374"/>
    <mergeCell ref="J323:K323"/>
    <mergeCell ref="G323:H323"/>
    <mergeCell ref="F320:G320"/>
    <mergeCell ref="J312:K312"/>
    <mergeCell ref="G312:H312"/>
    <mergeCell ref="F366:G366"/>
    <mergeCell ref="J358:K358"/>
    <mergeCell ref="G358:H358"/>
    <mergeCell ref="J347:K347"/>
    <mergeCell ref="G347:H347"/>
    <mergeCell ref="A338:L338"/>
    <mergeCell ref="G374:H374"/>
    <mergeCell ref="J372:K372"/>
    <mergeCell ref="G372:H372"/>
    <mergeCell ref="J370:K370"/>
    <mergeCell ref="G370:H370"/>
    <mergeCell ref="J368:K368"/>
    <mergeCell ref="G368:H368"/>
    <mergeCell ref="J310:K310"/>
    <mergeCell ref="G310:H310"/>
    <mergeCell ref="A334:F334"/>
    <mergeCell ref="J332:K332"/>
    <mergeCell ref="G332:H332"/>
    <mergeCell ref="J329:K329"/>
    <mergeCell ref="G329:H329"/>
    <mergeCell ref="J326:K326"/>
    <mergeCell ref="G326:H326"/>
    <mergeCell ref="G438:H438"/>
    <mergeCell ref="F389:G389"/>
    <mergeCell ref="J382:K382"/>
    <mergeCell ref="G382:H382"/>
    <mergeCell ref="J380:K380"/>
    <mergeCell ref="G380:H380"/>
    <mergeCell ref="J408:K408"/>
    <mergeCell ref="G408:H408"/>
    <mergeCell ref="F406:G406"/>
    <mergeCell ref="J401:K401"/>
    <mergeCell ref="G401:H401"/>
    <mergeCell ref="F399:G399"/>
    <mergeCell ref="J496:K496"/>
    <mergeCell ref="G453:H453"/>
    <mergeCell ref="J453:K453"/>
    <mergeCell ref="A453:F453"/>
    <mergeCell ref="J451:K451"/>
    <mergeCell ref="G451:H451"/>
    <mergeCell ref="J449:K449"/>
    <mergeCell ref="G449:H449"/>
    <mergeCell ref="J391:K391"/>
    <mergeCell ref="G391:H391"/>
    <mergeCell ref="J414:K414"/>
    <mergeCell ref="G414:H414"/>
    <mergeCell ref="J412:K412"/>
    <mergeCell ref="G412:H412"/>
    <mergeCell ref="J410:K410"/>
    <mergeCell ref="G410:H410"/>
    <mergeCell ref="F432:G432"/>
    <mergeCell ref="J425:K425"/>
    <mergeCell ref="G425:H425"/>
    <mergeCell ref="F423:G423"/>
    <mergeCell ref="J416:K416"/>
    <mergeCell ref="G416:H416"/>
    <mergeCell ref="F446:G446"/>
    <mergeCell ref="J438:K438"/>
    <mergeCell ref="A542:F542"/>
    <mergeCell ref="J436:K436"/>
    <mergeCell ref="G436:H436"/>
    <mergeCell ref="J434:K434"/>
    <mergeCell ref="G434:H434"/>
    <mergeCell ref="G540:H540"/>
    <mergeCell ref="J477:K477"/>
    <mergeCell ref="G477:H477"/>
    <mergeCell ref="F475:G475"/>
    <mergeCell ref="J467:K467"/>
    <mergeCell ref="G467:H467"/>
    <mergeCell ref="A457:L457"/>
    <mergeCell ref="J494:K494"/>
    <mergeCell ref="G494:H494"/>
    <mergeCell ref="J492:K492"/>
    <mergeCell ref="G492:H492"/>
    <mergeCell ref="F487:G487"/>
    <mergeCell ref="J479:K479"/>
    <mergeCell ref="G479:H479"/>
    <mergeCell ref="J506:K506"/>
    <mergeCell ref="G506:H506"/>
    <mergeCell ref="F504:G504"/>
    <mergeCell ref="J498:K498"/>
    <mergeCell ref="G498:H498"/>
    <mergeCell ref="J540:K540"/>
    <mergeCell ref="G496:H496"/>
    <mergeCell ref="J508:K508"/>
    <mergeCell ref="G508:H508"/>
    <mergeCell ref="G546:H546"/>
    <mergeCell ref="J546:K546"/>
    <mergeCell ref="A546:F546"/>
    <mergeCell ref="G544:H544"/>
    <mergeCell ref="J544:K544"/>
    <mergeCell ref="F532:G532"/>
    <mergeCell ref="J524:K524"/>
    <mergeCell ref="G524:H524"/>
    <mergeCell ref="F522:G522"/>
    <mergeCell ref="J514:K514"/>
    <mergeCell ref="G514:H514"/>
    <mergeCell ref="J538:K538"/>
    <mergeCell ref="G538:H538"/>
    <mergeCell ref="J536:K536"/>
    <mergeCell ref="G536:H536"/>
    <mergeCell ref="J534:K534"/>
    <mergeCell ref="G534:H534"/>
    <mergeCell ref="A544:F544"/>
    <mergeCell ref="G542:H542"/>
    <mergeCell ref="J542:K542"/>
  </mergeCells>
  <pageMargins left="0.25" right="0.25" top="0.75" bottom="0.75" header="0.3" footer="0.3"/>
  <pageSetup paperSize="9" scale="60" fitToHeight="0" orientation="portrait" horizontalDpi="4294967292" verticalDpi="0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K350"/>
  <sheetViews>
    <sheetView workbookViewId="0">
      <selection activeCell="J6" sqref="J6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0</v>
      </c>
      <c r="L1">
        <v>31883</v>
      </c>
      <c r="M1">
        <v>144896284</v>
      </c>
      <c r="N1">
        <v>11</v>
      </c>
      <c r="O1">
        <v>6</v>
      </c>
      <c r="P1">
        <v>5</v>
      </c>
      <c r="Q1">
        <v>6</v>
      </c>
    </row>
    <row r="4" spans="1:133" x14ac:dyDescent="0.2">
      <c r="A4" s="1">
        <v>1</v>
      </c>
      <c r="B4" s="1">
        <v>1</v>
      </c>
      <c r="C4" s="1">
        <v>-1</v>
      </c>
      <c r="D4" s="1"/>
      <c r="E4" s="1"/>
      <c r="F4" s="1"/>
      <c r="G4" s="1" t="s">
        <v>4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>
        <v>0</v>
      </c>
    </row>
    <row r="12" spans="1:133" x14ac:dyDescent="0.2">
      <c r="A12" s="1">
        <v>1</v>
      </c>
      <c r="B12" s="1">
        <v>345</v>
      </c>
      <c r="C12" s="1">
        <v>0</v>
      </c>
      <c r="D12" s="1">
        <f>ROW(A283)</f>
        <v>283</v>
      </c>
      <c r="E12" s="1">
        <v>0</v>
      </c>
      <c r="F12" s="1" t="s">
        <v>5</v>
      </c>
      <c r="G12" s="1" t="s">
        <v>1019</v>
      </c>
      <c r="H12" s="1" t="s">
        <v>3</v>
      </c>
      <c r="I12" s="1">
        <v>0</v>
      </c>
      <c r="J12" s="1" t="s">
        <v>1026</v>
      </c>
      <c r="K12" s="1">
        <v>0</v>
      </c>
      <c r="L12" s="1">
        <v>0</v>
      </c>
      <c r="M12" s="1">
        <v>2</v>
      </c>
      <c r="N12" s="1"/>
      <c r="O12" s="1">
        <v>0</v>
      </c>
      <c r="P12" s="1">
        <v>0</v>
      </c>
      <c r="Q12" s="1">
        <v>0</v>
      </c>
      <c r="R12" s="1">
        <v>0</v>
      </c>
      <c r="S12" s="1"/>
      <c r="T12" s="1">
        <v>1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8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>
        <v>0</v>
      </c>
      <c r="BC12" s="1"/>
      <c r="BD12" s="1"/>
      <c r="BE12" s="1"/>
      <c r="BF12" s="1"/>
      <c r="BG12" s="1"/>
      <c r="BH12" s="1" t="s">
        <v>9</v>
      </c>
      <c r="BI12" s="1" t="s">
        <v>10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2</v>
      </c>
      <c r="BQ12" s="1">
        <v>2</v>
      </c>
      <c r="BR12" s="1">
        <v>1</v>
      </c>
      <c r="BS12" s="1">
        <v>0</v>
      </c>
      <c r="BT12" s="1">
        <v>0</v>
      </c>
      <c r="BU12" s="1">
        <v>1</v>
      </c>
      <c r="BV12" s="1">
        <v>1</v>
      </c>
      <c r="BW12" s="1">
        <v>0</v>
      </c>
      <c r="BX12" s="1">
        <v>0</v>
      </c>
      <c r="BY12" s="1" t="s">
        <v>11</v>
      </c>
      <c r="BZ12" s="1" t="s">
        <v>12</v>
      </c>
      <c r="CA12" s="1" t="s">
        <v>13</v>
      </c>
      <c r="CB12" s="1" t="s">
        <v>13</v>
      </c>
      <c r="CC12" s="1" t="s">
        <v>13</v>
      </c>
      <c r="CD12" s="1" t="s">
        <v>13</v>
      </c>
      <c r="CE12" s="1" t="s">
        <v>14</v>
      </c>
      <c r="CF12" s="1">
        <v>0</v>
      </c>
      <c r="CG12" s="1">
        <v>0</v>
      </c>
      <c r="CH12" s="1">
        <v>2621448</v>
      </c>
      <c r="CI12" s="1" t="s">
        <v>3</v>
      </c>
      <c r="CJ12" s="1" t="s">
        <v>3</v>
      </c>
      <c r="CK12" s="1">
        <v>9</v>
      </c>
      <c r="CL12" s="1"/>
      <c r="CM12" s="1"/>
      <c r="CN12" s="1"/>
      <c r="CO12" s="1"/>
      <c r="CP12" s="1"/>
      <c r="CQ12" s="1" t="s">
        <v>862</v>
      </c>
      <c r="CR12" s="1" t="s">
        <v>15</v>
      </c>
      <c r="CS12" s="1">
        <v>44551</v>
      </c>
      <c r="CT12" s="1">
        <v>395</v>
      </c>
      <c r="CU12" s="1"/>
      <c r="CV12" s="1"/>
      <c r="CW12" s="1"/>
      <c r="CX12" s="1"/>
      <c r="CY12" s="1">
        <v>0</v>
      </c>
      <c r="CZ12" s="1" t="s">
        <v>3</v>
      </c>
      <c r="DA12" s="1" t="s">
        <v>3</v>
      </c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45" x14ac:dyDescent="0.2">
      <c r="A18" s="2">
        <v>52</v>
      </c>
      <c r="B18" s="2">
        <f t="shared" ref="B18:G18" si="0">B283</f>
        <v>345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1</v>
      </c>
      <c r="G18" s="2" t="str">
        <f t="shared" si="0"/>
        <v>Ремонт помещений, системы отопления и крыльца здания столовой инв. № 10-00000050</v>
      </c>
      <c r="H18" s="2"/>
      <c r="I18" s="2"/>
      <c r="J18" s="2"/>
      <c r="K18" s="2"/>
      <c r="L18" s="2"/>
      <c r="M18" s="2"/>
      <c r="N18" s="2"/>
      <c r="O18" s="2">
        <f t="shared" ref="O18:AT18" si="1">O283</f>
        <v>2719594.04</v>
      </c>
      <c r="P18" s="2">
        <f t="shared" si="1"/>
        <v>1647109.74</v>
      </c>
      <c r="Q18" s="2">
        <f t="shared" si="1"/>
        <v>27086.7</v>
      </c>
      <c r="R18" s="2">
        <f t="shared" si="1"/>
        <v>14448.9</v>
      </c>
      <c r="S18" s="2">
        <f t="shared" si="1"/>
        <v>1045397.6</v>
      </c>
      <c r="T18" s="2">
        <f t="shared" si="1"/>
        <v>0</v>
      </c>
      <c r="U18" s="2">
        <f t="shared" si="1"/>
        <v>3672.27873172</v>
      </c>
      <c r="V18" s="2">
        <f t="shared" si="1"/>
        <v>37.396863050000007</v>
      </c>
      <c r="W18" s="2">
        <f t="shared" si="1"/>
        <v>0</v>
      </c>
      <c r="X18" s="2">
        <f t="shared" si="1"/>
        <v>1072554.97</v>
      </c>
      <c r="Y18" s="2">
        <f t="shared" si="1"/>
        <v>521779.92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0</v>
      </c>
      <c r="AQ18" s="2">
        <f t="shared" si="1"/>
        <v>0</v>
      </c>
      <c r="AR18" s="2">
        <f t="shared" si="1"/>
        <v>4319526.4400000004</v>
      </c>
      <c r="AS18" s="2">
        <f t="shared" si="1"/>
        <v>4319526.4400000004</v>
      </c>
      <c r="AT18" s="2">
        <f t="shared" si="1"/>
        <v>0</v>
      </c>
      <c r="AU18" s="2">
        <f t="shared" ref="AU18:BZ18" si="2">AU283</f>
        <v>0</v>
      </c>
      <c r="AV18" s="2">
        <f t="shared" si="2"/>
        <v>1647109.74</v>
      </c>
      <c r="AW18" s="2">
        <f t="shared" si="2"/>
        <v>1647109.74</v>
      </c>
      <c r="AX18" s="2">
        <f t="shared" si="2"/>
        <v>0</v>
      </c>
      <c r="AY18" s="2">
        <f t="shared" si="2"/>
        <v>1647109.74</v>
      </c>
      <c r="AZ18" s="2">
        <f t="shared" si="2"/>
        <v>0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5597.51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2">
        <f t="shared" si="2"/>
        <v>0</v>
      </c>
      <c r="BP18" s="2">
        <f t="shared" si="2"/>
        <v>0</v>
      </c>
      <c r="BQ18" s="2">
        <f t="shared" si="2"/>
        <v>0</v>
      </c>
      <c r="BR18" s="2">
        <f t="shared" si="2"/>
        <v>0</v>
      </c>
      <c r="BS18" s="2">
        <f t="shared" si="2"/>
        <v>0</v>
      </c>
      <c r="BT18" s="2">
        <f t="shared" si="2"/>
        <v>0</v>
      </c>
      <c r="BU18" s="2">
        <f t="shared" si="2"/>
        <v>0</v>
      </c>
      <c r="BV18" s="2">
        <f t="shared" si="2"/>
        <v>0</v>
      </c>
      <c r="BW18" s="2">
        <f t="shared" si="2"/>
        <v>0</v>
      </c>
      <c r="BX18" s="2">
        <f t="shared" si="2"/>
        <v>0</v>
      </c>
      <c r="BY18" s="2">
        <f t="shared" si="2"/>
        <v>0</v>
      </c>
      <c r="BZ18" s="2">
        <f t="shared" si="2"/>
        <v>0</v>
      </c>
      <c r="CA18" s="2">
        <f t="shared" ref="CA18:DF18" si="3">CA283</f>
        <v>0</v>
      </c>
      <c r="CB18" s="2">
        <f t="shared" si="3"/>
        <v>0</v>
      </c>
      <c r="CC18" s="2">
        <f t="shared" si="3"/>
        <v>0</v>
      </c>
      <c r="CD18" s="2">
        <f t="shared" si="3"/>
        <v>0</v>
      </c>
      <c r="CE18" s="2">
        <f t="shared" si="3"/>
        <v>0</v>
      </c>
      <c r="CF18" s="2">
        <f t="shared" si="3"/>
        <v>0</v>
      </c>
      <c r="CG18" s="2">
        <f t="shared" si="3"/>
        <v>0</v>
      </c>
      <c r="CH18" s="2">
        <f t="shared" si="3"/>
        <v>0</v>
      </c>
      <c r="CI18" s="2">
        <f t="shared" si="3"/>
        <v>0</v>
      </c>
      <c r="CJ18" s="2">
        <f t="shared" si="3"/>
        <v>0</v>
      </c>
      <c r="CK18" s="2">
        <f t="shared" si="3"/>
        <v>0</v>
      </c>
      <c r="CL18" s="2">
        <f t="shared" si="3"/>
        <v>0</v>
      </c>
      <c r="CM18" s="2">
        <f t="shared" si="3"/>
        <v>0</v>
      </c>
      <c r="CN18" s="2">
        <f t="shared" si="3"/>
        <v>0</v>
      </c>
      <c r="CO18" s="2">
        <f t="shared" si="3"/>
        <v>0</v>
      </c>
      <c r="CP18" s="2">
        <f t="shared" si="3"/>
        <v>0</v>
      </c>
      <c r="CQ18" s="2">
        <f t="shared" si="3"/>
        <v>0</v>
      </c>
      <c r="CR18" s="2">
        <f t="shared" si="3"/>
        <v>0</v>
      </c>
      <c r="CS18" s="2">
        <f t="shared" si="3"/>
        <v>0</v>
      </c>
      <c r="CT18" s="2">
        <f t="shared" si="3"/>
        <v>0</v>
      </c>
      <c r="CU18" s="2">
        <f t="shared" si="3"/>
        <v>0</v>
      </c>
      <c r="CV18" s="2">
        <f t="shared" si="3"/>
        <v>0</v>
      </c>
      <c r="CW18" s="2">
        <f t="shared" si="3"/>
        <v>0</v>
      </c>
      <c r="CX18" s="2">
        <f t="shared" si="3"/>
        <v>0</v>
      </c>
      <c r="CY18" s="2">
        <f t="shared" si="3"/>
        <v>0</v>
      </c>
      <c r="CZ18" s="2">
        <f t="shared" si="3"/>
        <v>0</v>
      </c>
      <c r="DA18" s="2">
        <f t="shared" si="3"/>
        <v>0</v>
      </c>
      <c r="DB18" s="2">
        <f t="shared" si="3"/>
        <v>0</v>
      </c>
      <c r="DC18" s="2">
        <f t="shared" si="3"/>
        <v>0</v>
      </c>
      <c r="DD18" s="2">
        <f t="shared" si="3"/>
        <v>0</v>
      </c>
      <c r="DE18" s="2">
        <f t="shared" si="3"/>
        <v>0</v>
      </c>
      <c r="DF18" s="2">
        <f t="shared" si="3"/>
        <v>0</v>
      </c>
      <c r="DG18" s="3">
        <f t="shared" ref="DG18:EL18" si="4">DG283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  <c r="DO18" s="3">
        <f t="shared" si="4"/>
        <v>0</v>
      </c>
      <c r="DP18" s="3">
        <f t="shared" si="4"/>
        <v>0</v>
      </c>
      <c r="DQ18" s="3">
        <f t="shared" si="4"/>
        <v>0</v>
      </c>
      <c r="DR18" s="3">
        <f t="shared" si="4"/>
        <v>0</v>
      </c>
      <c r="DS18" s="3">
        <f t="shared" si="4"/>
        <v>0</v>
      </c>
      <c r="DT18" s="3">
        <f t="shared" si="4"/>
        <v>0</v>
      </c>
      <c r="DU18" s="3">
        <f t="shared" si="4"/>
        <v>0</v>
      </c>
      <c r="DV18" s="3">
        <f t="shared" si="4"/>
        <v>0</v>
      </c>
      <c r="DW18" s="3">
        <f t="shared" si="4"/>
        <v>0</v>
      </c>
      <c r="DX18" s="3">
        <f t="shared" si="4"/>
        <v>0</v>
      </c>
      <c r="DY18" s="3">
        <f t="shared" si="4"/>
        <v>0</v>
      </c>
      <c r="DZ18" s="3">
        <f t="shared" si="4"/>
        <v>0</v>
      </c>
      <c r="EA18" s="3">
        <f t="shared" si="4"/>
        <v>0</v>
      </c>
      <c r="EB18" s="3">
        <f t="shared" si="4"/>
        <v>0</v>
      </c>
      <c r="EC18" s="3">
        <f t="shared" si="4"/>
        <v>0</v>
      </c>
      <c r="ED18" s="3">
        <f t="shared" si="4"/>
        <v>0</v>
      </c>
      <c r="EE18" s="3">
        <f t="shared" si="4"/>
        <v>0</v>
      </c>
      <c r="EF18" s="3">
        <f t="shared" si="4"/>
        <v>0</v>
      </c>
      <c r="EG18" s="3">
        <f t="shared" si="4"/>
        <v>0</v>
      </c>
      <c r="EH18" s="3">
        <f t="shared" si="4"/>
        <v>0</v>
      </c>
      <c r="EI18" s="3">
        <f t="shared" si="4"/>
        <v>0</v>
      </c>
      <c r="EJ18" s="3">
        <f t="shared" si="4"/>
        <v>0</v>
      </c>
      <c r="EK18" s="3">
        <f t="shared" si="4"/>
        <v>0</v>
      </c>
      <c r="EL18" s="3">
        <f t="shared" si="4"/>
        <v>0</v>
      </c>
      <c r="EM18" s="3">
        <f t="shared" ref="EM18:FR18" si="5">EM283</f>
        <v>0</v>
      </c>
      <c r="EN18" s="3">
        <f t="shared" si="5"/>
        <v>0</v>
      </c>
      <c r="EO18" s="3">
        <f t="shared" si="5"/>
        <v>0</v>
      </c>
      <c r="EP18" s="3">
        <f t="shared" si="5"/>
        <v>0</v>
      </c>
      <c r="EQ18" s="3">
        <f t="shared" si="5"/>
        <v>0</v>
      </c>
      <c r="ER18" s="3">
        <f t="shared" si="5"/>
        <v>0</v>
      </c>
      <c r="ES18" s="3">
        <f t="shared" si="5"/>
        <v>0</v>
      </c>
      <c r="ET18" s="3">
        <f t="shared" si="5"/>
        <v>0</v>
      </c>
      <c r="EU18" s="3">
        <f t="shared" si="5"/>
        <v>0</v>
      </c>
      <c r="EV18" s="3">
        <f t="shared" si="5"/>
        <v>0</v>
      </c>
      <c r="EW18" s="3">
        <f t="shared" si="5"/>
        <v>0</v>
      </c>
      <c r="EX18" s="3">
        <f t="shared" si="5"/>
        <v>0</v>
      </c>
      <c r="EY18" s="3">
        <f t="shared" si="5"/>
        <v>0</v>
      </c>
      <c r="EZ18" s="3">
        <f t="shared" si="5"/>
        <v>0</v>
      </c>
      <c r="FA18" s="3">
        <f t="shared" si="5"/>
        <v>0</v>
      </c>
      <c r="FB18" s="3">
        <f t="shared" si="5"/>
        <v>0</v>
      </c>
      <c r="FC18" s="3">
        <f t="shared" si="5"/>
        <v>0</v>
      </c>
      <c r="FD18" s="3">
        <f t="shared" si="5"/>
        <v>0</v>
      </c>
      <c r="FE18" s="3">
        <f t="shared" si="5"/>
        <v>0</v>
      </c>
      <c r="FF18" s="3">
        <f t="shared" si="5"/>
        <v>0</v>
      </c>
      <c r="FG18" s="3">
        <f t="shared" si="5"/>
        <v>0</v>
      </c>
      <c r="FH18" s="3">
        <f t="shared" si="5"/>
        <v>0</v>
      </c>
      <c r="FI18" s="3">
        <f t="shared" si="5"/>
        <v>0</v>
      </c>
      <c r="FJ18" s="3">
        <f t="shared" si="5"/>
        <v>0</v>
      </c>
      <c r="FK18" s="3">
        <f t="shared" si="5"/>
        <v>0</v>
      </c>
      <c r="FL18" s="3">
        <f t="shared" si="5"/>
        <v>0</v>
      </c>
      <c r="FM18" s="3">
        <f t="shared" si="5"/>
        <v>0</v>
      </c>
      <c r="FN18" s="3">
        <f t="shared" si="5"/>
        <v>0</v>
      </c>
      <c r="FO18" s="3">
        <f t="shared" si="5"/>
        <v>0</v>
      </c>
      <c r="FP18" s="3">
        <f t="shared" si="5"/>
        <v>0</v>
      </c>
      <c r="FQ18" s="3">
        <f t="shared" si="5"/>
        <v>0</v>
      </c>
      <c r="FR18" s="3">
        <f t="shared" si="5"/>
        <v>0</v>
      </c>
      <c r="FS18" s="3">
        <f t="shared" ref="FS18:GX18" si="6">FS283</f>
        <v>0</v>
      </c>
      <c r="FT18" s="3">
        <f t="shared" si="6"/>
        <v>0</v>
      </c>
      <c r="FU18" s="3">
        <f t="shared" si="6"/>
        <v>0</v>
      </c>
      <c r="FV18" s="3">
        <f t="shared" si="6"/>
        <v>0</v>
      </c>
      <c r="FW18" s="3">
        <f t="shared" si="6"/>
        <v>0</v>
      </c>
      <c r="FX18" s="3">
        <f t="shared" si="6"/>
        <v>0</v>
      </c>
      <c r="FY18" s="3">
        <f t="shared" si="6"/>
        <v>0</v>
      </c>
      <c r="FZ18" s="3">
        <f t="shared" si="6"/>
        <v>0</v>
      </c>
      <c r="GA18" s="3">
        <f t="shared" si="6"/>
        <v>0</v>
      </c>
      <c r="GB18" s="3">
        <f t="shared" si="6"/>
        <v>0</v>
      </c>
      <c r="GC18" s="3">
        <f t="shared" si="6"/>
        <v>0</v>
      </c>
      <c r="GD18" s="3">
        <f t="shared" si="6"/>
        <v>0</v>
      </c>
      <c r="GE18" s="3">
        <f t="shared" si="6"/>
        <v>0</v>
      </c>
      <c r="GF18" s="3">
        <f t="shared" si="6"/>
        <v>0</v>
      </c>
      <c r="GG18" s="3">
        <f t="shared" si="6"/>
        <v>0</v>
      </c>
      <c r="GH18" s="3">
        <f t="shared" si="6"/>
        <v>0</v>
      </c>
      <c r="GI18" s="3">
        <f t="shared" si="6"/>
        <v>0</v>
      </c>
      <c r="GJ18" s="3">
        <f t="shared" si="6"/>
        <v>0</v>
      </c>
      <c r="GK18" s="3">
        <f t="shared" si="6"/>
        <v>0</v>
      </c>
      <c r="GL18" s="3">
        <f t="shared" si="6"/>
        <v>0</v>
      </c>
      <c r="GM18" s="3">
        <f t="shared" si="6"/>
        <v>0</v>
      </c>
      <c r="GN18" s="3">
        <f t="shared" si="6"/>
        <v>0</v>
      </c>
      <c r="GO18" s="3">
        <f t="shared" si="6"/>
        <v>0</v>
      </c>
      <c r="GP18" s="3">
        <f t="shared" si="6"/>
        <v>0</v>
      </c>
      <c r="GQ18" s="3">
        <f t="shared" si="6"/>
        <v>0</v>
      </c>
      <c r="GR18" s="3">
        <f t="shared" si="6"/>
        <v>0</v>
      </c>
      <c r="GS18" s="3">
        <f t="shared" si="6"/>
        <v>0</v>
      </c>
      <c r="GT18" s="3">
        <f t="shared" si="6"/>
        <v>0</v>
      </c>
      <c r="GU18" s="3">
        <f t="shared" si="6"/>
        <v>0</v>
      </c>
      <c r="GV18" s="3">
        <f t="shared" si="6"/>
        <v>0</v>
      </c>
      <c r="GW18" s="3">
        <f t="shared" si="6"/>
        <v>0</v>
      </c>
      <c r="GX18" s="3">
        <f t="shared" si="6"/>
        <v>0</v>
      </c>
    </row>
    <row r="20" spans="1:245" x14ac:dyDescent="0.2">
      <c r="A20" s="1">
        <v>3</v>
      </c>
      <c r="B20" s="1">
        <v>1</v>
      </c>
      <c r="C20" s="1"/>
      <c r="D20" s="1">
        <f>ROW(A251)</f>
        <v>251</v>
      </c>
      <c r="E20" s="1"/>
      <c r="F20" s="1" t="s">
        <v>16</v>
      </c>
      <c r="G20" s="1" t="s">
        <v>16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 t="s">
        <v>3</v>
      </c>
      <c r="N20" s="1"/>
      <c r="O20" s="1"/>
      <c r="P20" s="1"/>
      <c r="Q20" s="1"/>
      <c r="R20" s="1"/>
      <c r="S20" s="1">
        <v>0</v>
      </c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  <c r="CK20" t="s">
        <v>3</v>
      </c>
      <c r="CL20" t="s">
        <v>3</v>
      </c>
      <c r="CM20" t="s">
        <v>3</v>
      </c>
      <c r="CN20" t="s">
        <v>3</v>
      </c>
      <c r="CO20" t="s">
        <v>3</v>
      </c>
      <c r="CP20" t="s">
        <v>3</v>
      </c>
      <c r="CQ20" t="s">
        <v>3</v>
      </c>
    </row>
    <row r="22" spans="1:245" x14ac:dyDescent="0.2">
      <c r="A22" s="2">
        <v>52</v>
      </c>
      <c r="B22" s="2">
        <f t="shared" ref="B22:G22" si="7">B251</f>
        <v>1</v>
      </c>
      <c r="C22" s="2">
        <f t="shared" si="7"/>
        <v>3</v>
      </c>
      <c r="D22" s="2">
        <f t="shared" si="7"/>
        <v>20</v>
      </c>
      <c r="E22" s="2">
        <f t="shared" si="7"/>
        <v>0</v>
      </c>
      <c r="F22" s="2" t="str">
        <f t="shared" si="7"/>
        <v>Новая локальная смета</v>
      </c>
      <c r="G22" s="2" t="str">
        <f t="shared" si="7"/>
        <v>Новая локальная смета</v>
      </c>
      <c r="H22" s="2"/>
      <c r="I22" s="2"/>
      <c r="J22" s="2"/>
      <c r="K22" s="2"/>
      <c r="L22" s="2"/>
      <c r="M22" s="2"/>
      <c r="N22" s="2"/>
      <c r="O22" s="2">
        <f t="shared" ref="O22:AT22" si="8">O251</f>
        <v>2719594.04</v>
      </c>
      <c r="P22" s="2">
        <f t="shared" si="8"/>
        <v>1647109.74</v>
      </c>
      <c r="Q22" s="2">
        <f t="shared" si="8"/>
        <v>27086.7</v>
      </c>
      <c r="R22" s="2">
        <f t="shared" si="8"/>
        <v>14448.9</v>
      </c>
      <c r="S22" s="2">
        <f t="shared" si="8"/>
        <v>1045397.6</v>
      </c>
      <c r="T22" s="2">
        <f t="shared" si="8"/>
        <v>0</v>
      </c>
      <c r="U22" s="2">
        <f t="shared" si="8"/>
        <v>3672.27873172</v>
      </c>
      <c r="V22" s="2">
        <f t="shared" si="8"/>
        <v>37.396863050000007</v>
      </c>
      <c r="W22" s="2">
        <f t="shared" si="8"/>
        <v>0</v>
      </c>
      <c r="X22" s="2">
        <f t="shared" si="8"/>
        <v>1072554.97</v>
      </c>
      <c r="Y22" s="2">
        <f t="shared" si="8"/>
        <v>521779.92</v>
      </c>
      <c r="Z22" s="2">
        <f t="shared" si="8"/>
        <v>0</v>
      </c>
      <c r="AA22" s="2">
        <f t="shared" si="8"/>
        <v>0</v>
      </c>
      <c r="AB22" s="2">
        <f t="shared" si="8"/>
        <v>0</v>
      </c>
      <c r="AC22" s="2">
        <f t="shared" si="8"/>
        <v>0</v>
      </c>
      <c r="AD22" s="2">
        <f t="shared" si="8"/>
        <v>0</v>
      </c>
      <c r="AE22" s="2">
        <f t="shared" si="8"/>
        <v>0</v>
      </c>
      <c r="AF22" s="2">
        <f t="shared" si="8"/>
        <v>0</v>
      </c>
      <c r="AG22" s="2">
        <f t="shared" si="8"/>
        <v>0</v>
      </c>
      <c r="AH22" s="2">
        <f t="shared" si="8"/>
        <v>0</v>
      </c>
      <c r="AI22" s="2">
        <f t="shared" si="8"/>
        <v>0</v>
      </c>
      <c r="AJ22" s="2">
        <f t="shared" si="8"/>
        <v>0</v>
      </c>
      <c r="AK22" s="2">
        <f t="shared" si="8"/>
        <v>0</v>
      </c>
      <c r="AL22" s="2">
        <f t="shared" si="8"/>
        <v>0</v>
      </c>
      <c r="AM22" s="2">
        <f t="shared" si="8"/>
        <v>0</v>
      </c>
      <c r="AN22" s="2">
        <f t="shared" si="8"/>
        <v>0</v>
      </c>
      <c r="AO22" s="2">
        <f t="shared" si="8"/>
        <v>0</v>
      </c>
      <c r="AP22" s="2">
        <f t="shared" si="8"/>
        <v>0</v>
      </c>
      <c r="AQ22" s="2">
        <f t="shared" si="8"/>
        <v>0</v>
      </c>
      <c r="AR22" s="2">
        <f t="shared" si="8"/>
        <v>4319526.4400000004</v>
      </c>
      <c r="AS22" s="2">
        <f t="shared" si="8"/>
        <v>4319526.4400000004</v>
      </c>
      <c r="AT22" s="2">
        <f t="shared" si="8"/>
        <v>0</v>
      </c>
      <c r="AU22" s="2">
        <f t="shared" ref="AU22:BZ22" si="9">AU251</f>
        <v>0</v>
      </c>
      <c r="AV22" s="2">
        <f t="shared" si="9"/>
        <v>1647109.74</v>
      </c>
      <c r="AW22" s="2">
        <f t="shared" si="9"/>
        <v>1647109.74</v>
      </c>
      <c r="AX22" s="2">
        <f t="shared" si="9"/>
        <v>0</v>
      </c>
      <c r="AY22" s="2">
        <f t="shared" si="9"/>
        <v>1647109.74</v>
      </c>
      <c r="AZ22" s="2">
        <f t="shared" si="9"/>
        <v>0</v>
      </c>
      <c r="BA22" s="2">
        <f t="shared" si="9"/>
        <v>0</v>
      </c>
      <c r="BB22" s="2">
        <f t="shared" si="9"/>
        <v>0</v>
      </c>
      <c r="BC22" s="2">
        <f t="shared" si="9"/>
        <v>0</v>
      </c>
      <c r="BD22" s="2">
        <f t="shared" si="9"/>
        <v>5597.51</v>
      </c>
      <c r="BE22" s="2">
        <f t="shared" si="9"/>
        <v>0</v>
      </c>
      <c r="BF22" s="2">
        <f t="shared" si="9"/>
        <v>0</v>
      </c>
      <c r="BG22" s="2">
        <f t="shared" si="9"/>
        <v>0</v>
      </c>
      <c r="BH22" s="2">
        <f t="shared" si="9"/>
        <v>0</v>
      </c>
      <c r="BI22" s="2">
        <f t="shared" si="9"/>
        <v>0</v>
      </c>
      <c r="BJ22" s="2">
        <f t="shared" si="9"/>
        <v>0</v>
      </c>
      <c r="BK22" s="2">
        <f t="shared" si="9"/>
        <v>0</v>
      </c>
      <c r="BL22" s="2">
        <f t="shared" si="9"/>
        <v>0</v>
      </c>
      <c r="BM22" s="2">
        <f t="shared" si="9"/>
        <v>0</v>
      </c>
      <c r="BN22" s="2">
        <f t="shared" si="9"/>
        <v>0</v>
      </c>
      <c r="BO22" s="2">
        <f t="shared" si="9"/>
        <v>0</v>
      </c>
      <c r="BP22" s="2">
        <f t="shared" si="9"/>
        <v>0</v>
      </c>
      <c r="BQ22" s="2">
        <f t="shared" si="9"/>
        <v>0</v>
      </c>
      <c r="BR22" s="2">
        <f t="shared" si="9"/>
        <v>0</v>
      </c>
      <c r="BS22" s="2">
        <f t="shared" si="9"/>
        <v>0</v>
      </c>
      <c r="BT22" s="2">
        <f t="shared" si="9"/>
        <v>0</v>
      </c>
      <c r="BU22" s="2">
        <f t="shared" si="9"/>
        <v>0</v>
      </c>
      <c r="BV22" s="2">
        <f t="shared" si="9"/>
        <v>0</v>
      </c>
      <c r="BW22" s="2">
        <f t="shared" si="9"/>
        <v>0</v>
      </c>
      <c r="BX22" s="2">
        <f t="shared" si="9"/>
        <v>0</v>
      </c>
      <c r="BY22" s="2">
        <f t="shared" si="9"/>
        <v>0</v>
      </c>
      <c r="BZ22" s="2">
        <f t="shared" si="9"/>
        <v>0</v>
      </c>
      <c r="CA22" s="2">
        <f t="shared" ref="CA22:DF22" si="10">CA251</f>
        <v>0</v>
      </c>
      <c r="CB22" s="2">
        <f t="shared" si="10"/>
        <v>0</v>
      </c>
      <c r="CC22" s="2">
        <f t="shared" si="10"/>
        <v>0</v>
      </c>
      <c r="CD22" s="2">
        <f t="shared" si="10"/>
        <v>0</v>
      </c>
      <c r="CE22" s="2">
        <f t="shared" si="10"/>
        <v>0</v>
      </c>
      <c r="CF22" s="2">
        <f t="shared" si="10"/>
        <v>0</v>
      </c>
      <c r="CG22" s="2">
        <f t="shared" si="10"/>
        <v>0</v>
      </c>
      <c r="CH22" s="2">
        <f t="shared" si="10"/>
        <v>0</v>
      </c>
      <c r="CI22" s="2">
        <f t="shared" si="10"/>
        <v>0</v>
      </c>
      <c r="CJ22" s="2">
        <f t="shared" si="10"/>
        <v>0</v>
      </c>
      <c r="CK22" s="2">
        <f t="shared" si="10"/>
        <v>0</v>
      </c>
      <c r="CL22" s="2">
        <f t="shared" si="10"/>
        <v>0</v>
      </c>
      <c r="CM22" s="2">
        <f t="shared" si="10"/>
        <v>0</v>
      </c>
      <c r="CN22" s="2">
        <f t="shared" si="10"/>
        <v>0</v>
      </c>
      <c r="CO22" s="2">
        <f t="shared" si="10"/>
        <v>0</v>
      </c>
      <c r="CP22" s="2">
        <f t="shared" si="10"/>
        <v>0</v>
      </c>
      <c r="CQ22" s="2">
        <f t="shared" si="10"/>
        <v>0</v>
      </c>
      <c r="CR22" s="2">
        <f t="shared" si="10"/>
        <v>0</v>
      </c>
      <c r="CS22" s="2">
        <f t="shared" si="10"/>
        <v>0</v>
      </c>
      <c r="CT22" s="2">
        <f t="shared" si="10"/>
        <v>0</v>
      </c>
      <c r="CU22" s="2">
        <f t="shared" si="10"/>
        <v>0</v>
      </c>
      <c r="CV22" s="2">
        <f t="shared" si="10"/>
        <v>0</v>
      </c>
      <c r="CW22" s="2">
        <f t="shared" si="10"/>
        <v>0</v>
      </c>
      <c r="CX22" s="2">
        <f t="shared" si="10"/>
        <v>0</v>
      </c>
      <c r="CY22" s="2">
        <f t="shared" si="10"/>
        <v>0</v>
      </c>
      <c r="CZ22" s="2">
        <f t="shared" si="10"/>
        <v>0</v>
      </c>
      <c r="DA22" s="2">
        <f t="shared" si="10"/>
        <v>0</v>
      </c>
      <c r="DB22" s="2">
        <f t="shared" si="10"/>
        <v>0</v>
      </c>
      <c r="DC22" s="2">
        <f t="shared" si="10"/>
        <v>0</v>
      </c>
      <c r="DD22" s="2">
        <f t="shared" si="10"/>
        <v>0</v>
      </c>
      <c r="DE22" s="2">
        <f t="shared" si="10"/>
        <v>0</v>
      </c>
      <c r="DF22" s="2">
        <f t="shared" si="10"/>
        <v>0</v>
      </c>
      <c r="DG22" s="3">
        <f t="shared" ref="DG22:EL22" si="11">DG251</f>
        <v>0</v>
      </c>
      <c r="DH22" s="3">
        <f t="shared" si="11"/>
        <v>0</v>
      </c>
      <c r="DI22" s="3">
        <f t="shared" si="11"/>
        <v>0</v>
      </c>
      <c r="DJ22" s="3">
        <f t="shared" si="11"/>
        <v>0</v>
      </c>
      <c r="DK22" s="3">
        <f t="shared" si="11"/>
        <v>0</v>
      </c>
      <c r="DL22" s="3">
        <f t="shared" si="11"/>
        <v>0</v>
      </c>
      <c r="DM22" s="3">
        <f t="shared" si="11"/>
        <v>0</v>
      </c>
      <c r="DN22" s="3">
        <f t="shared" si="11"/>
        <v>0</v>
      </c>
      <c r="DO22" s="3">
        <f t="shared" si="11"/>
        <v>0</v>
      </c>
      <c r="DP22" s="3">
        <f t="shared" si="11"/>
        <v>0</v>
      </c>
      <c r="DQ22" s="3">
        <f t="shared" si="11"/>
        <v>0</v>
      </c>
      <c r="DR22" s="3">
        <f t="shared" si="11"/>
        <v>0</v>
      </c>
      <c r="DS22" s="3">
        <f t="shared" si="11"/>
        <v>0</v>
      </c>
      <c r="DT22" s="3">
        <f t="shared" si="11"/>
        <v>0</v>
      </c>
      <c r="DU22" s="3">
        <f t="shared" si="11"/>
        <v>0</v>
      </c>
      <c r="DV22" s="3">
        <f t="shared" si="11"/>
        <v>0</v>
      </c>
      <c r="DW22" s="3">
        <f t="shared" si="11"/>
        <v>0</v>
      </c>
      <c r="DX22" s="3">
        <f t="shared" si="11"/>
        <v>0</v>
      </c>
      <c r="DY22" s="3">
        <f t="shared" si="11"/>
        <v>0</v>
      </c>
      <c r="DZ22" s="3">
        <f t="shared" si="11"/>
        <v>0</v>
      </c>
      <c r="EA22" s="3">
        <f t="shared" si="11"/>
        <v>0</v>
      </c>
      <c r="EB22" s="3">
        <f t="shared" si="11"/>
        <v>0</v>
      </c>
      <c r="EC22" s="3">
        <f t="shared" si="11"/>
        <v>0</v>
      </c>
      <c r="ED22" s="3">
        <f t="shared" si="11"/>
        <v>0</v>
      </c>
      <c r="EE22" s="3">
        <f t="shared" si="11"/>
        <v>0</v>
      </c>
      <c r="EF22" s="3">
        <f t="shared" si="11"/>
        <v>0</v>
      </c>
      <c r="EG22" s="3">
        <f t="shared" si="11"/>
        <v>0</v>
      </c>
      <c r="EH22" s="3">
        <f t="shared" si="11"/>
        <v>0</v>
      </c>
      <c r="EI22" s="3">
        <f t="shared" si="11"/>
        <v>0</v>
      </c>
      <c r="EJ22" s="3">
        <f t="shared" si="11"/>
        <v>0</v>
      </c>
      <c r="EK22" s="3">
        <f t="shared" si="11"/>
        <v>0</v>
      </c>
      <c r="EL22" s="3">
        <f t="shared" si="11"/>
        <v>0</v>
      </c>
      <c r="EM22" s="3">
        <f t="shared" ref="EM22:FR22" si="12">EM251</f>
        <v>0</v>
      </c>
      <c r="EN22" s="3">
        <f t="shared" si="12"/>
        <v>0</v>
      </c>
      <c r="EO22" s="3">
        <f t="shared" si="12"/>
        <v>0</v>
      </c>
      <c r="EP22" s="3">
        <f t="shared" si="12"/>
        <v>0</v>
      </c>
      <c r="EQ22" s="3">
        <f t="shared" si="12"/>
        <v>0</v>
      </c>
      <c r="ER22" s="3">
        <f t="shared" si="12"/>
        <v>0</v>
      </c>
      <c r="ES22" s="3">
        <f t="shared" si="12"/>
        <v>0</v>
      </c>
      <c r="ET22" s="3">
        <f t="shared" si="12"/>
        <v>0</v>
      </c>
      <c r="EU22" s="3">
        <f t="shared" si="12"/>
        <v>0</v>
      </c>
      <c r="EV22" s="3">
        <f t="shared" si="12"/>
        <v>0</v>
      </c>
      <c r="EW22" s="3">
        <f t="shared" si="12"/>
        <v>0</v>
      </c>
      <c r="EX22" s="3">
        <f t="shared" si="12"/>
        <v>0</v>
      </c>
      <c r="EY22" s="3">
        <f t="shared" si="12"/>
        <v>0</v>
      </c>
      <c r="EZ22" s="3">
        <f t="shared" si="12"/>
        <v>0</v>
      </c>
      <c r="FA22" s="3">
        <f t="shared" si="12"/>
        <v>0</v>
      </c>
      <c r="FB22" s="3">
        <f t="shared" si="12"/>
        <v>0</v>
      </c>
      <c r="FC22" s="3">
        <f t="shared" si="12"/>
        <v>0</v>
      </c>
      <c r="FD22" s="3">
        <f t="shared" si="12"/>
        <v>0</v>
      </c>
      <c r="FE22" s="3">
        <f t="shared" si="12"/>
        <v>0</v>
      </c>
      <c r="FF22" s="3">
        <f t="shared" si="12"/>
        <v>0</v>
      </c>
      <c r="FG22" s="3">
        <f t="shared" si="12"/>
        <v>0</v>
      </c>
      <c r="FH22" s="3">
        <f t="shared" si="12"/>
        <v>0</v>
      </c>
      <c r="FI22" s="3">
        <f t="shared" si="12"/>
        <v>0</v>
      </c>
      <c r="FJ22" s="3">
        <f t="shared" si="12"/>
        <v>0</v>
      </c>
      <c r="FK22" s="3">
        <f t="shared" si="12"/>
        <v>0</v>
      </c>
      <c r="FL22" s="3">
        <f t="shared" si="12"/>
        <v>0</v>
      </c>
      <c r="FM22" s="3">
        <f t="shared" si="12"/>
        <v>0</v>
      </c>
      <c r="FN22" s="3">
        <f t="shared" si="12"/>
        <v>0</v>
      </c>
      <c r="FO22" s="3">
        <f t="shared" si="12"/>
        <v>0</v>
      </c>
      <c r="FP22" s="3">
        <f t="shared" si="12"/>
        <v>0</v>
      </c>
      <c r="FQ22" s="3">
        <f t="shared" si="12"/>
        <v>0</v>
      </c>
      <c r="FR22" s="3">
        <f t="shared" si="12"/>
        <v>0</v>
      </c>
      <c r="FS22" s="3">
        <f t="shared" ref="FS22:GX22" si="13">FS251</f>
        <v>0</v>
      </c>
      <c r="FT22" s="3">
        <f t="shared" si="13"/>
        <v>0</v>
      </c>
      <c r="FU22" s="3">
        <f t="shared" si="13"/>
        <v>0</v>
      </c>
      <c r="FV22" s="3">
        <f t="shared" si="13"/>
        <v>0</v>
      </c>
      <c r="FW22" s="3">
        <f t="shared" si="13"/>
        <v>0</v>
      </c>
      <c r="FX22" s="3">
        <f t="shared" si="13"/>
        <v>0</v>
      </c>
      <c r="FY22" s="3">
        <f t="shared" si="13"/>
        <v>0</v>
      </c>
      <c r="FZ22" s="3">
        <f t="shared" si="13"/>
        <v>0</v>
      </c>
      <c r="GA22" s="3">
        <f t="shared" si="13"/>
        <v>0</v>
      </c>
      <c r="GB22" s="3">
        <f t="shared" si="13"/>
        <v>0</v>
      </c>
      <c r="GC22" s="3">
        <f t="shared" si="13"/>
        <v>0</v>
      </c>
      <c r="GD22" s="3">
        <f t="shared" si="13"/>
        <v>0</v>
      </c>
      <c r="GE22" s="3">
        <f t="shared" si="13"/>
        <v>0</v>
      </c>
      <c r="GF22" s="3">
        <f t="shared" si="13"/>
        <v>0</v>
      </c>
      <c r="GG22" s="3">
        <f t="shared" si="13"/>
        <v>0</v>
      </c>
      <c r="GH22" s="3">
        <f t="shared" si="13"/>
        <v>0</v>
      </c>
      <c r="GI22" s="3">
        <f t="shared" si="13"/>
        <v>0</v>
      </c>
      <c r="GJ22" s="3">
        <f t="shared" si="13"/>
        <v>0</v>
      </c>
      <c r="GK22" s="3">
        <f t="shared" si="13"/>
        <v>0</v>
      </c>
      <c r="GL22" s="3">
        <f t="shared" si="13"/>
        <v>0</v>
      </c>
      <c r="GM22" s="3">
        <f t="shared" si="13"/>
        <v>0</v>
      </c>
      <c r="GN22" s="3">
        <f t="shared" si="13"/>
        <v>0</v>
      </c>
      <c r="GO22" s="3">
        <f t="shared" si="13"/>
        <v>0</v>
      </c>
      <c r="GP22" s="3">
        <f t="shared" si="13"/>
        <v>0</v>
      </c>
      <c r="GQ22" s="3">
        <f t="shared" si="13"/>
        <v>0</v>
      </c>
      <c r="GR22" s="3">
        <f t="shared" si="13"/>
        <v>0</v>
      </c>
      <c r="GS22" s="3">
        <f t="shared" si="13"/>
        <v>0</v>
      </c>
      <c r="GT22" s="3">
        <f t="shared" si="13"/>
        <v>0</v>
      </c>
      <c r="GU22" s="3">
        <f t="shared" si="13"/>
        <v>0</v>
      </c>
      <c r="GV22" s="3">
        <f t="shared" si="13"/>
        <v>0</v>
      </c>
      <c r="GW22" s="3">
        <f t="shared" si="13"/>
        <v>0</v>
      </c>
      <c r="GX22" s="3">
        <f t="shared" si="13"/>
        <v>0</v>
      </c>
    </row>
    <row r="24" spans="1:245" x14ac:dyDescent="0.2">
      <c r="A24" s="1">
        <v>4</v>
      </c>
      <c r="B24" s="1">
        <v>1</v>
      </c>
      <c r="C24" s="1"/>
      <c r="D24" s="1">
        <f>ROW(A107)</f>
        <v>107</v>
      </c>
      <c r="E24" s="1"/>
      <c r="F24" s="1" t="s">
        <v>17</v>
      </c>
      <c r="G24" s="1" t="s">
        <v>18</v>
      </c>
      <c r="H24" s="1" t="s">
        <v>3</v>
      </c>
      <c r="I24" s="1">
        <v>0</v>
      </c>
      <c r="J24" s="1"/>
      <c r="K24" s="1">
        <v>-1</v>
      </c>
      <c r="L24" s="1"/>
      <c r="M24" s="1" t="s">
        <v>3</v>
      </c>
      <c r="N24" s="1"/>
      <c r="O24" s="1"/>
      <c r="P24" s="1"/>
      <c r="Q24" s="1"/>
      <c r="R24" s="1"/>
      <c r="S24" s="1">
        <v>0</v>
      </c>
      <c r="T24" s="1"/>
      <c r="U24" s="1" t="s">
        <v>3</v>
      </c>
      <c r="V24" s="1">
        <v>0</v>
      </c>
      <c r="W24" s="1"/>
      <c r="X24" s="1"/>
      <c r="Y24" s="1"/>
      <c r="Z24" s="1"/>
      <c r="AA24" s="1"/>
      <c r="AB24" s="1" t="s">
        <v>3</v>
      </c>
      <c r="AC24" s="1" t="s">
        <v>3</v>
      </c>
      <c r="AD24" s="1" t="s">
        <v>3</v>
      </c>
      <c r="AE24" s="1" t="s">
        <v>3</v>
      </c>
      <c r="AF24" s="1" t="s">
        <v>3</v>
      </c>
      <c r="AG24" s="1" t="s">
        <v>3</v>
      </c>
      <c r="AH24" s="1"/>
      <c r="AI24" s="1"/>
      <c r="AJ24" s="1"/>
      <c r="AK24" s="1"/>
      <c r="AL24" s="1"/>
      <c r="AM24" s="1"/>
      <c r="AN24" s="1"/>
      <c r="AO24" s="1"/>
      <c r="AP24" s="1" t="s">
        <v>3</v>
      </c>
      <c r="AQ24" s="1" t="s">
        <v>3</v>
      </c>
      <c r="AR24" s="1" t="s">
        <v>3</v>
      </c>
      <c r="AS24" s="1"/>
      <c r="AT24" s="1"/>
      <c r="AU24" s="1"/>
      <c r="AV24" s="1"/>
      <c r="AW24" s="1"/>
      <c r="AX24" s="1"/>
      <c r="AY24" s="1"/>
      <c r="AZ24" s="1" t="s">
        <v>3</v>
      </c>
      <c r="BA24" s="1"/>
      <c r="BB24" s="1" t="s">
        <v>3</v>
      </c>
      <c r="BC24" s="1" t="s">
        <v>3</v>
      </c>
      <c r="BD24" s="1" t="s">
        <v>3</v>
      </c>
      <c r="BE24" s="1" t="s">
        <v>3</v>
      </c>
      <c r="BF24" s="1" t="s">
        <v>3</v>
      </c>
      <c r="BG24" s="1" t="s">
        <v>3</v>
      </c>
      <c r="BH24" s="1" t="s">
        <v>3</v>
      </c>
      <c r="BI24" s="1" t="s">
        <v>3</v>
      </c>
      <c r="BJ24" s="1" t="s">
        <v>3</v>
      </c>
      <c r="BK24" s="1" t="s">
        <v>3</v>
      </c>
      <c r="BL24" s="1" t="s">
        <v>3</v>
      </c>
      <c r="BM24" s="1" t="s">
        <v>3</v>
      </c>
      <c r="BN24" s="1" t="s">
        <v>3</v>
      </c>
      <c r="BO24" s="1" t="s">
        <v>3</v>
      </c>
      <c r="BP24" s="1" t="s">
        <v>3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</row>
    <row r="26" spans="1:245" x14ac:dyDescent="0.2">
      <c r="A26" s="2">
        <v>52</v>
      </c>
      <c r="B26" s="2">
        <f t="shared" ref="B26:G26" si="14">B107</f>
        <v>1</v>
      </c>
      <c r="C26" s="2">
        <f t="shared" si="14"/>
        <v>4</v>
      </c>
      <c r="D26" s="2">
        <f t="shared" si="14"/>
        <v>24</v>
      </c>
      <c r="E26" s="2">
        <f t="shared" si="14"/>
        <v>0</v>
      </c>
      <c r="F26" s="2" t="str">
        <f t="shared" si="14"/>
        <v>Новый раздел</v>
      </c>
      <c r="G26" s="2" t="str">
        <f t="shared" si="14"/>
        <v>Ремонт помещений высотой 2,9 м</v>
      </c>
      <c r="H26" s="2"/>
      <c r="I26" s="2"/>
      <c r="J26" s="2"/>
      <c r="K26" s="2"/>
      <c r="L26" s="2"/>
      <c r="M26" s="2"/>
      <c r="N26" s="2"/>
      <c r="O26" s="2">
        <f t="shared" ref="O26:AT26" si="15">O107</f>
        <v>1665720.81</v>
      </c>
      <c r="P26" s="2">
        <f t="shared" si="15"/>
        <v>910732.34</v>
      </c>
      <c r="Q26" s="2">
        <f t="shared" si="15"/>
        <v>13561.93</v>
      </c>
      <c r="R26" s="2">
        <f t="shared" si="15"/>
        <v>9815.1</v>
      </c>
      <c r="S26" s="2">
        <f t="shared" si="15"/>
        <v>741426.54</v>
      </c>
      <c r="T26" s="2">
        <f t="shared" si="15"/>
        <v>0</v>
      </c>
      <c r="U26" s="2">
        <f t="shared" si="15"/>
        <v>2630.6589516999998</v>
      </c>
      <c r="V26" s="2">
        <f t="shared" si="15"/>
        <v>25.643911000000003</v>
      </c>
      <c r="W26" s="2">
        <f t="shared" si="15"/>
        <v>0</v>
      </c>
      <c r="X26" s="2">
        <f t="shared" si="15"/>
        <v>735026.01</v>
      </c>
      <c r="Y26" s="2">
        <f t="shared" si="15"/>
        <v>351845.8</v>
      </c>
      <c r="Z26" s="2">
        <f t="shared" si="15"/>
        <v>0</v>
      </c>
      <c r="AA26" s="2">
        <f t="shared" si="15"/>
        <v>0</v>
      </c>
      <c r="AB26" s="2">
        <f t="shared" si="15"/>
        <v>1665720.81</v>
      </c>
      <c r="AC26" s="2">
        <f t="shared" si="15"/>
        <v>910732.34</v>
      </c>
      <c r="AD26" s="2">
        <f t="shared" si="15"/>
        <v>13561.93</v>
      </c>
      <c r="AE26" s="2">
        <f t="shared" si="15"/>
        <v>9815.1</v>
      </c>
      <c r="AF26" s="2">
        <f t="shared" si="15"/>
        <v>741426.54</v>
      </c>
      <c r="AG26" s="2">
        <f t="shared" si="15"/>
        <v>0</v>
      </c>
      <c r="AH26" s="2">
        <f t="shared" si="15"/>
        <v>2630.6589516999998</v>
      </c>
      <c r="AI26" s="2">
        <f t="shared" si="15"/>
        <v>25.643911000000003</v>
      </c>
      <c r="AJ26" s="2">
        <f t="shared" si="15"/>
        <v>0</v>
      </c>
      <c r="AK26" s="2">
        <f t="shared" si="15"/>
        <v>735026.01</v>
      </c>
      <c r="AL26" s="2">
        <f t="shared" si="15"/>
        <v>351845.8</v>
      </c>
      <c r="AM26" s="2">
        <f t="shared" si="15"/>
        <v>0</v>
      </c>
      <c r="AN26" s="2">
        <f t="shared" si="15"/>
        <v>0</v>
      </c>
      <c r="AO26" s="2">
        <f t="shared" si="15"/>
        <v>0</v>
      </c>
      <c r="AP26" s="2">
        <f t="shared" si="15"/>
        <v>0</v>
      </c>
      <c r="AQ26" s="2">
        <f t="shared" si="15"/>
        <v>0</v>
      </c>
      <c r="AR26" s="2">
        <f t="shared" si="15"/>
        <v>2752592.62</v>
      </c>
      <c r="AS26" s="2">
        <f t="shared" si="15"/>
        <v>2752592.62</v>
      </c>
      <c r="AT26" s="2">
        <f t="shared" si="15"/>
        <v>0</v>
      </c>
      <c r="AU26" s="2">
        <f t="shared" ref="AU26:BZ26" si="16">AU107</f>
        <v>0</v>
      </c>
      <c r="AV26" s="2">
        <f t="shared" si="16"/>
        <v>910732.34</v>
      </c>
      <c r="AW26" s="2">
        <f t="shared" si="16"/>
        <v>910732.34</v>
      </c>
      <c r="AX26" s="2">
        <f t="shared" si="16"/>
        <v>0</v>
      </c>
      <c r="AY26" s="2">
        <f t="shared" si="16"/>
        <v>910732.34</v>
      </c>
      <c r="AZ26" s="2">
        <f t="shared" si="16"/>
        <v>0</v>
      </c>
      <c r="BA26" s="2">
        <f t="shared" si="16"/>
        <v>0</v>
      </c>
      <c r="BB26" s="2">
        <f t="shared" si="16"/>
        <v>0</v>
      </c>
      <c r="BC26" s="2">
        <f t="shared" si="16"/>
        <v>0</v>
      </c>
      <c r="BD26" s="2">
        <f t="shared" si="16"/>
        <v>0</v>
      </c>
      <c r="BE26" s="2">
        <f t="shared" si="16"/>
        <v>0</v>
      </c>
      <c r="BF26" s="2">
        <f t="shared" si="16"/>
        <v>0</v>
      </c>
      <c r="BG26" s="2">
        <f t="shared" si="16"/>
        <v>0</v>
      </c>
      <c r="BH26" s="2">
        <f t="shared" si="16"/>
        <v>0</v>
      </c>
      <c r="BI26" s="2">
        <f t="shared" si="16"/>
        <v>0</v>
      </c>
      <c r="BJ26" s="2">
        <f t="shared" si="16"/>
        <v>0</v>
      </c>
      <c r="BK26" s="2">
        <f t="shared" si="16"/>
        <v>0</v>
      </c>
      <c r="BL26" s="2">
        <f t="shared" si="16"/>
        <v>0</v>
      </c>
      <c r="BM26" s="2">
        <f t="shared" si="16"/>
        <v>0</v>
      </c>
      <c r="BN26" s="2">
        <f t="shared" si="16"/>
        <v>0</v>
      </c>
      <c r="BO26" s="2">
        <f t="shared" si="16"/>
        <v>0</v>
      </c>
      <c r="BP26" s="2">
        <f t="shared" si="16"/>
        <v>0</v>
      </c>
      <c r="BQ26" s="2">
        <f t="shared" si="16"/>
        <v>0</v>
      </c>
      <c r="BR26" s="2">
        <f t="shared" si="16"/>
        <v>0</v>
      </c>
      <c r="BS26" s="2">
        <f t="shared" si="16"/>
        <v>0</v>
      </c>
      <c r="BT26" s="2">
        <f t="shared" si="16"/>
        <v>0</v>
      </c>
      <c r="BU26" s="2">
        <f t="shared" si="16"/>
        <v>0</v>
      </c>
      <c r="BV26" s="2">
        <f t="shared" si="16"/>
        <v>0</v>
      </c>
      <c r="BW26" s="2">
        <f t="shared" si="16"/>
        <v>0</v>
      </c>
      <c r="BX26" s="2">
        <f t="shared" si="16"/>
        <v>0</v>
      </c>
      <c r="BY26" s="2">
        <f t="shared" si="16"/>
        <v>0</v>
      </c>
      <c r="BZ26" s="2">
        <f t="shared" si="16"/>
        <v>0</v>
      </c>
      <c r="CA26" s="2">
        <f t="shared" ref="CA26:DF26" si="17">CA107</f>
        <v>2752592.62</v>
      </c>
      <c r="CB26" s="2">
        <f t="shared" si="17"/>
        <v>2752592.62</v>
      </c>
      <c r="CC26" s="2">
        <f t="shared" si="17"/>
        <v>0</v>
      </c>
      <c r="CD26" s="2">
        <f t="shared" si="17"/>
        <v>0</v>
      </c>
      <c r="CE26" s="2">
        <f t="shared" si="17"/>
        <v>910732.34</v>
      </c>
      <c r="CF26" s="2">
        <f t="shared" si="17"/>
        <v>910732.34</v>
      </c>
      <c r="CG26" s="2">
        <f t="shared" si="17"/>
        <v>0</v>
      </c>
      <c r="CH26" s="2">
        <f t="shared" si="17"/>
        <v>910732.34</v>
      </c>
      <c r="CI26" s="2">
        <f t="shared" si="17"/>
        <v>0</v>
      </c>
      <c r="CJ26" s="2">
        <f t="shared" si="17"/>
        <v>0</v>
      </c>
      <c r="CK26" s="2">
        <f t="shared" si="17"/>
        <v>0</v>
      </c>
      <c r="CL26" s="2">
        <f t="shared" si="17"/>
        <v>0</v>
      </c>
      <c r="CM26" s="2">
        <f t="shared" si="17"/>
        <v>0</v>
      </c>
      <c r="CN26" s="2">
        <f t="shared" si="17"/>
        <v>0</v>
      </c>
      <c r="CO26" s="2">
        <f t="shared" si="17"/>
        <v>0</v>
      </c>
      <c r="CP26" s="2">
        <f t="shared" si="17"/>
        <v>0</v>
      </c>
      <c r="CQ26" s="2">
        <f t="shared" si="17"/>
        <v>0</v>
      </c>
      <c r="CR26" s="2">
        <f t="shared" si="17"/>
        <v>0</v>
      </c>
      <c r="CS26" s="2">
        <f t="shared" si="17"/>
        <v>0</v>
      </c>
      <c r="CT26" s="2">
        <f t="shared" si="17"/>
        <v>0</v>
      </c>
      <c r="CU26" s="2">
        <f t="shared" si="17"/>
        <v>0</v>
      </c>
      <c r="CV26" s="2">
        <f t="shared" si="17"/>
        <v>0</v>
      </c>
      <c r="CW26" s="2">
        <f t="shared" si="17"/>
        <v>0</v>
      </c>
      <c r="CX26" s="2">
        <f t="shared" si="17"/>
        <v>0</v>
      </c>
      <c r="CY26" s="2">
        <f t="shared" si="17"/>
        <v>0</v>
      </c>
      <c r="CZ26" s="2">
        <f t="shared" si="17"/>
        <v>0</v>
      </c>
      <c r="DA26" s="2">
        <f t="shared" si="17"/>
        <v>0</v>
      </c>
      <c r="DB26" s="2">
        <f t="shared" si="17"/>
        <v>0</v>
      </c>
      <c r="DC26" s="2">
        <f t="shared" si="17"/>
        <v>0</v>
      </c>
      <c r="DD26" s="2">
        <f t="shared" si="17"/>
        <v>0</v>
      </c>
      <c r="DE26" s="2">
        <f t="shared" si="17"/>
        <v>0</v>
      </c>
      <c r="DF26" s="2">
        <f t="shared" si="17"/>
        <v>0</v>
      </c>
      <c r="DG26" s="3">
        <f t="shared" ref="DG26:EL26" si="18">DG107</f>
        <v>0</v>
      </c>
      <c r="DH26" s="3">
        <f t="shared" si="18"/>
        <v>0</v>
      </c>
      <c r="DI26" s="3">
        <f t="shared" si="18"/>
        <v>0</v>
      </c>
      <c r="DJ26" s="3">
        <f t="shared" si="18"/>
        <v>0</v>
      </c>
      <c r="DK26" s="3">
        <f t="shared" si="18"/>
        <v>0</v>
      </c>
      <c r="DL26" s="3">
        <f t="shared" si="18"/>
        <v>0</v>
      </c>
      <c r="DM26" s="3">
        <f t="shared" si="18"/>
        <v>0</v>
      </c>
      <c r="DN26" s="3">
        <f t="shared" si="18"/>
        <v>0</v>
      </c>
      <c r="DO26" s="3">
        <f t="shared" si="18"/>
        <v>0</v>
      </c>
      <c r="DP26" s="3">
        <f t="shared" si="18"/>
        <v>0</v>
      </c>
      <c r="DQ26" s="3">
        <f t="shared" si="18"/>
        <v>0</v>
      </c>
      <c r="DR26" s="3">
        <f t="shared" si="18"/>
        <v>0</v>
      </c>
      <c r="DS26" s="3">
        <f t="shared" si="18"/>
        <v>0</v>
      </c>
      <c r="DT26" s="3">
        <f t="shared" si="18"/>
        <v>0</v>
      </c>
      <c r="DU26" s="3">
        <f t="shared" si="18"/>
        <v>0</v>
      </c>
      <c r="DV26" s="3">
        <f t="shared" si="18"/>
        <v>0</v>
      </c>
      <c r="DW26" s="3">
        <f t="shared" si="18"/>
        <v>0</v>
      </c>
      <c r="DX26" s="3">
        <f t="shared" si="18"/>
        <v>0</v>
      </c>
      <c r="DY26" s="3">
        <f t="shared" si="18"/>
        <v>0</v>
      </c>
      <c r="DZ26" s="3">
        <f t="shared" si="18"/>
        <v>0</v>
      </c>
      <c r="EA26" s="3">
        <f t="shared" si="18"/>
        <v>0</v>
      </c>
      <c r="EB26" s="3">
        <f t="shared" si="18"/>
        <v>0</v>
      </c>
      <c r="EC26" s="3">
        <f t="shared" si="18"/>
        <v>0</v>
      </c>
      <c r="ED26" s="3">
        <f t="shared" si="18"/>
        <v>0</v>
      </c>
      <c r="EE26" s="3">
        <f t="shared" si="18"/>
        <v>0</v>
      </c>
      <c r="EF26" s="3">
        <f t="shared" si="18"/>
        <v>0</v>
      </c>
      <c r="EG26" s="3">
        <f t="shared" si="18"/>
        <v>0</v>
      </c>
      <c r="EH26" s="3">
        <f t="shared" si="18"/>
        <v>0</v>
      </c>
      <c r="EI26" s="3">
        <f t="shared" si="18"/>
        <v>0</v>
      </c>
      <c r="EJ26" s="3">
        <f t="shared" si="18"/>
        <v>0</v>
      </c>
      <c r="EK26" s="3">
        <f t="shared" si="18"/>
        <v>0</v>
      </c>
      <c r="EL26" s="3">
        <f t="shared" si="18"/>
        <v>0</v>
      </c>
      <c r="EM26" s="3">
        <f t="shared" ref="EM26:FR26" si="19">EM107</f>
        <v>0</v>
      </c>
      <c r="EN26" s="3">
        <f t="shared" si="19"/>
        <v>0</v>
      </c>
      <c r="EO26" s="3">
        <f t="shared" si="19"/>
        <v>0</v>
      </c>
      <c r="EP26" s="3">
        <f t="shared" si="19"/>
        <v>0</v>
      </c>
      <c r="EQ26" s="3">
        <f t="shared" si="19"/>
        <v>0</v>
      </c>
      <c r="ER26" s="3">
        <f t="shared" si="19"/>
        <v>0</v>
      </c>
      <c r="ES26" s="3">
        <f t="shared" si="19"/>
        <v>0</v>
      </c>
      <c r="ET26" s="3">
        <f t="shared" si="19"/>
        <v>0</v>
      </c>
      <c r="EU26" s="3">
        <f t="shared" si="19"/>
        <v>0</v>
      </c>
      <c r="EV26" s="3">
        <f t="shared" si="19"/>
        <v>0</v>
      </c>
      <c r="EW26" s="3">
        <f t="shared" si="19"/>
        <v>0</v>
      </c>
      <c r="EX26" s="3">
        <f t="shared" si="19"/>
        <v>0</v>
      </c>
      <c r="EY26" s="3">
        <f t="shared" si="19"/>
        <v>0</v>
      </c>
      <c r="EZ26" s="3">
        <f t="shared" si="19"/>
        <v>0</v>
      </c>
      <c r="FA26" s="3">
        <f t="shared" si="19"/>
        <v>0</v>
      </c>
      <c r="FB26" s="3">
        <f t="shared" si="19"/>
        <v>0</v>
      </c>
      <c r="FC26" s="3">
        <f t="shared" si="19"/>
        <v>0</v>
      </c>
      <c r="FD26" s="3">
        <f t="shared" si="19"/>
        <v>0</v>
      </c>
      <c r="FE26" s="3">
        <f t="shared" si="19"/>
        <v>0</v>
      </c>
      <c r="FF26" s="3">
        <f t="shared" si="19"/>
        <v>0</v>
      </c>
      <c r="FG26" s="3">
        <f t="shared" si="19"/>
        <v>0</v>
      </c>
      <c r="FH26" s="3">
        <f t="shared" si="19"/>
        <v>0</v>
      </c>
      <c r="FI26" s="3">
        <f t="shared" si="19"/>
        <v>0</v>
      </c>
      <c r="FJ26" s="3">
        <f t="shared" si="19"/>
        <v>0</v>
      </c>
      <c r="FK26" s="3">
        <f t="shared" si="19"/>
        <v>0</v>
      </c>
      <c r="FL26" s="3">
        <f t="shared" si="19"/>
        <v>0</v>
      </c>
      <c r="FM26" s="3">
        <f t="shared" si="19"/>
        <v>0</v>
      </c>
      <c r="FN26" s="3">
        <f t="shared" si="19"/>
        <v>0</v>
      </c>
      <c r="FO26" s="3">
        <f t="shared" si="19"/>
        <v>0</v>
      </c>
      <c r="FP26" s="3">
        <f t="shared" si="19"/>
        <v>0</v>
      </c>
      <c r="FQ26" s="3">
        <f t="shared" si="19"/>
        <v>0</v>
      </c>
      <c r="FR26" s="3">
        <f t="shared" si="19"/>
        <v>0</v>
      </c>
      <c r="FS26" s="3">
        <f t="shared" ref="FS26:GX26" si="20">FS107</f>
        <v>0</v>
      </c>
      <c r="FT26" s="3">
        <f t="shared" si="20"/>
        <v>0</v>
      </c>
      <c r="FU26" s="3">
        <f t="shared" si="20"/>
        <v>0</v>
      </c>
      <c r="FV26" s="3">
        <f t="shared" si="20"/>
        <v>0</v>
      </c>
      <c r="FW26" s="3">
        <f t="shared" si="20"/>
        <v>0</v>
      </c>
      <c r="FX26" s="3">
        <f t="shared" si="20"/>
        <v>0</v>
      </c>
      <c r="FY26" s="3">
        <f t="shared" si="20"/>
        <v>0</v>
      </c>
      <c r="FZ26" s="3">
        <f t="shared" si="20"/>
        <v>0</v>
      </c>
      <c r="GA26" s="3">
        <f t="shared" si="20"/>
        <v>0</v>
      </c>
      <c r="GB26" s="3">
        <f t="shared" si="20"/>
        <v>0</v>
      </c>
      <c r="GC26" s="3">
        <f t="shared" si="20"/>
        <v>0</v>
      </c>
      <c r="GD26" s="3">
        <f t="shared" si="20"/>
        <v>0</v>
      </c>
      <c r="GE26" s="3">
        <f t="shared" si="20"/>
        <v>0</v>
      </c>
      <c r="GF26" s="3">
        <f t="shared" si="20"/>
        <v>0</v>
      </c>
      <c r="GG26" s="3">
        <f t="shared" si="20"/>
        <v>0</v>
      </c>
      <c r="GH26" s="3">
        <f t="shared" si="20"/>
        <v>0</v>
      </c>
      <c r="GI26" s="3">
        <f t="shared" si="20"/>
        <v>0</v>
      </c>
      <c r="GJ26" s="3">
        <f t="shared" si="20"/>
        <v>0</v>
      </c>
      <c r="GK26" s="3">
        <f t="shared" si="20"/>
        <v>0</v>
      </c>
      <c r="GL26" s="3">
        <f t="shared" si="20"/>
        <v>0</v>
      </c>
      <c r="GM26" s="3">
        <f t="shared" si="20"/>
        <v>0</v>
      </c>
      <c r="GN26" s="3">
        <f t="shared" si="20"/>
        <v>0</v>
      </c>
      <c r="GO26" s="3">
        <f t="shared" si="20"/>
        <v>0</v>
      </c>
      <c r="GP26" s="3">
        <f t="shared" si="20"/>
        <v>0</v>
      </c>
      <c r="GQ26" s="3">
        <f t="shared" si="20"/>
        <v>0</v>
      </c>
      <c r="GR26" s="3">
        <f t="shared" si="20"/>
        <v>0</v>
      </c>
      <c r="GS26" s="3">
        <f t="shared" si="20"/>
        <v>0</v>
      </c>
      <c r="GT26" s="3">
        <f t="shared" si="20"/>
        <v>0</v>
      </c>
      <c r="GU26" s="3">
        <f t="shared" si="20"/>
        <v>0</v>
      </c>
      <c r="GV26" s="3">
        <f t="shared" si="20"/>
        <v>0</v>
      </c>
      <c r="GW26" s="3">
        <f t="shared" si="20"/>
        <v>0</v>
      </c>
      <c r="GX26" s="3">
        <f t="shared" si="20"/>
        <v>0</v>
      </c>
    </row>
    <row r="28" spans="1:245" x14ac:dyDescent="0.2">
      <c r="A28">
        <v>17</v>
      </c>
      <c r="B28">
        <v>1</v>
      </c>
      <c r="C28">
        <f>ROW(SmtRes!A3)</f>
        <v>3</v>
      </c>
      <c r="D28">
        <f>ROW(EtalonRes!A4)</f>
        <v>4</v>
      </c>
      <c r="E28" t="s">
        <v>5</v>
      </c>
      <c r="F28" t="s">
        <v>19</v>
      </c>
      <c r="G28" t="s">
        <v>20</v>
      </c>
      <c r="H28" t="s">
        <v>21</v>
      </c>
      <c r="I28">
        <f>ROUND(153/100,9)</f>
        <v>1.53</v>
      </c>
      <c r="J28">
        <v>0</v>
      </c>
      <c r="K28">
        <f>ROUND(153/100,9)</f>
        <v>1.53</v>
      </c>
      <c r="O28">
        <f t="shared" ref="O28:O59" si="21">ROUND(CP28,2)</f>
        <v>76985.33</v>
      </c>
      <c r="P28">
        <f t="shared" ref="P28:P59" si="22">ROUND(CQ28*I28,2)</f>
        <v>0</v>
      </c>
      <c r="Q28">
        <f t="shared" ref="Q28:Q59" si="23">ROUND(CR28*I28,2)</f>
        <v>47.58</v>
      </c>
      <c r="R28">
        <f t="shared" ref="R28:R59" si="24">ROUND(CS28*I28,2)</f>
        <v>52.89</v>
      </c>
      <c r="S28">
        <f t="shared" ref="S28:S59" si="25">ROUND(CT28*I28,2)</f>
        <v>76937.75</v>
      </c>
      <c r="T28">
        <f t="shared" ref="T28:T59" si="26">ROUND(CU28*I28,2)</f>
        <v>0</v>
      </c>
      <c r="U28">
        <f t="shared" ref="U28:U59" si="27">CV28*I28</f>
        <v>249.84900000000002</v>
      </c>
      <c r="V28">
        <f t="shared" ref="V28:V59" si="28">CW28*I28</f>
        <v>0.12240000000000001</v>
      </c>
      <c r="W28">
        <f t="shared" ref="W28:W59" si="29">ROUND(CX28*I28,2)</f>
        <v>0</v>
      </c>
      <c r="X28">
        <f t="shared" ref="X28:X59" si="30">ROUND(CY28,2)</f>
        <v>70061.48</v>
      </c>
      <c r="Y28">
        <f t="shared" ref="Y28:Y59" si="31">ROUND(CZ28,2)</f>
        <v>36955.51</v>
      </c>
      <c r="AA28">
        <v>145026783</v>
      </c>
      <c r="AB28">
        <f t="shared" ref="AB28:AB59" si="32">ROUND((AC28+AD28+AF28),2)</f>
        <v>1573.45</v>
      </c>
      <c r="AC28">
        <f t="shared" ref="AC28:AC40" si="33">ROUND((ES28),2)</f>
        <v>0</v>
      </c>
      <c r="AD28">
        <f t="shared" ref="AD28:AD40" si="34">ROUND((((ET28)-(EU28))+AE28),2)</f>
        <v>2.5</v>
      </c>
      <c r="AE28">
        <f t="shared" ref="AE28:AE40" si="35">ROUND((EU28),2)</f>
        <v>1.08</v>
      </c>
      <c r="AF28">
        <f t="shared" ref="AF28:AF40" si="36">ROUND((EV28),2)</f>
        <v>1570.95</v>
      </c>
      <c r="AG28">
        <f t="shared" ref="AG28:AG59" si="37">ROUND((AP28),2)</f>
        <v>0</v>
      </c>
      <c r="AH28">
        <f t="shared" ref="AH28:AH40" si="38">(EW28)</f>
        <v>163.30000000000001</v>
      </c>
      <c r="AI28">
        <f t="shared" ref="AI28:AI40" si="39">(EX28)</f>
        <v>0.08</v>
      </c>
      <c r="AJ28">
        <f t="shared" ref="AJ28:AJ59" si="40">(AS28)</f>
        <v>0</v>
      </c>
      <c r="AK28">
        <v>1573.45</v>
      </c>
      <c r="AL28">
        <v>0</v>
      </c>
      <c r="AM28">
        <v>2.5</v>
      </c>
      <c r="AN28">
        <v>1.08</v>
      </c>
      <c r="AO28">
        <v>1570.95</v>
      </c>
      <c r="AP28">
        <v>0</v>
      </c>
      <c r="AQ28">
        <v>163.30000000000001</v>
      </c>
      <c r="AR28">
        <v>0.08</v>
      </c>
      <c r="AS28">
        <v>0</v>
      </c>
      <c r="AT28">
        <v>91</v>
      </c>
      <c r="AU28">
        <v>48</v>
      </c>
      <c r="AV28">
        <v>1</v>
      </c>
      <c r="AW28">
        <v>1</v>
      </c>
      <c r="AZ28">
        <v>1</v>
      </c>
      <c r="BA28">
        <v>32.01</v>
      </c>
      <c r="BB28">
        <v>12.44</v>
      </c>
      <c r="BC28">
        <v>8.9</v>
      </c>
      <c r="BD28" t="s">
        <v>3</v>
      </c>
      <c r="BE28" t="s">
        <v>3</v>
      </c>
      <c r="BF28" t="s">
        <v>3</v>
      </c>
      <c r="BG28" t="s">
        <v>3</v>
      </c>
      <c r="BH28">
        <v>0</v>
      </c>
      <c r="BI28">
        <v>1</v>
      </c>
      <c r="BJ28" t="s">
        <v>22</v>
      </c>
      <c r="BM28">
        <v>67001</v>
      </c>
      <c r="BN28">
        <v>0</v>
      </c>
      <c r="BO28" t="s">
        <v>3</v>
      </c>
      <c r="BP28">
        <v>0</v>
      </c>
      <c r="BQ28">
        <v>6</v>
      </c>
      <c r="BR28">
        <v>0</v>
      </c>
      <c r="BS28">
        <v>32.01</v>
      </c>
      <c r="BT28">
        <v>1</v>
      </c>
      <c r="BU28">
        <v>1</v>
      </c>
      <c r="BV28">
        <v>1</v>
      </c>
      <c r="BW28">
        <v>1</v>
      </c>
      <c r="BX28">
        <v>1</v>
      </c>
      <c r="BY28" t="s">
        <v>3</v>
      </c>
      <c r="BZ28">
        <v>91</v>
      </c>
      <c r="CA28">
        <v>48</v>
      </c>
      <c r="CB28" t="s">
        <v>3</v>
      </c>
      <c r="CE28">
        <v>0</v>
      </c>
      <c r="CF28">
        <v>0</v>
      </c>
      <c r="CG28">
        <v>0</v>
      </c>
      <c r="CM28">
        <v>0</v>
      </c>
      <c r="CN28" t="s">
        <v>3</v>
      </c>
      <c r="CO28">
        <v>0</v>
      </c>
      <c r="CP28">
        <f t="shared" ref="CP28:CP59" si="41">(P28+Q28+S28)</f>
        <v>76985.33</v>
      </c>
      <c r="CQ28">
        <f t="shared" ref="CQ28:CQ59" si="42">AC28*BC28</f>
        <v>0</v>
      </c>
      <c r="CR28">
        <f t="shared" ref="CR28:CR40" si="43">(((ET28)*BB28-(EU28)*BS28)+AE28*BS28)</f>
        <v>31.099999999999998</v>
      </c>
      <c r="CS28">
        <f t="shared" ref="CS28:CS59" si="44">AE28*BS28</f>
        <v>34.570799999999998</v>
      </c>
      <c r="CT28">
        <f t="shared" ref="CT28:CT59" si="45">AF28*BA28</f>
        <v>50286.109499999999</v>
      </c>
      <c r="CU28">
        <f t="shared" ref="CU28:CU59" si="46">AG28</f>
        <v>0</v>
      </c>
      <c r="CV28">
        <f t="shared" ref="CV28:CV59" si="47">AH28</f>
        <v>163.30000000000001</v>
      </c>
      <c r="CW28">
        <f t="shared" ref="CW28:CW59" si="48">AI28</f>
        <v>0.08</v>
      </c>
      <c r="CX28">
        <f t="shared" ref="CX28:CX59" si="49">AJ28</f>
        <v>0</v>
      </c>
      <c r="CY28">
        <f t="shared" ref="CY28:CY59" si="50">(((S28+R28)*AT28)/100)</f>
        <v>70061.482400000008</v>
      </c>
      <c r="CZ28">
        <f t="shared" ref="CZ28:CZ59" si="51">(((S28+R28)*AU28)/100)</f>
        <v>36955.5072</v>
      </c>
      <c r="DC28" t="s">
        <v>3</v>
      </c>
      <c r="DD28" t="s">
        <v>3</v>
      </c>
      <c r="DE28" t="s">
        <v>3</v>
      </c>
      <c r="DF28" t="s">
        <v>3</v>
      </c>
      <c r="DG28" t="s">
        <v>3</v>
      </c>
      <c r="DH28" t="s">
        <v>3</v>
      </c>
      <c r="DI28" t="s">
        <v>3</v>
      </c>
      <c r="DJ28" t="s">
        <v>3</v>
      </c>
      <c r="DK28" t="s">
        <v>3</v>
      </c>
      <c r="DL28" t="s">
        <v>3</v>
      </c>
      <c r="DM28" t="s">
        <v>3</v>
      </c>
      <c r="DN28">
        <v>0</v>
      </c>
      <c r="DO28">
        <v>0</v>
      </c>
      <c r="DP28">
        <v>1</v>
      </c>
      <c r="DQ28">
        <v>1</v>
      </c>
      <c r="DU28">
        <v>1013</v>
      </c>
      <c r="DV28" t="s">
        <v>21</v>
      </c>
      <c r="DW28" t="s">
        <v>21</v>
      </c>
      <c r="DX28">
        <v>1</v>
      </c>
      <c r="DZ28" t="s">
        <v>3</v>
      </c>
      <c r="EA28" t="s">
        <v>3</v>
      </c>
      <c r="EB28" t="s">
        <v>3</v>
      </c>
      <c r="EC28" t="s">
        <v>3</v>
      </c>
      <c r="EE28">
        <v>140625211</v>
      </c>
      <c r="EF28">
        <v>6</v>
      </c>
      <c r="EG28" t="s">
        <v>23</v>
      </c>
      <c r="EH28">
        <v>101</v>
      </c>
      <c r="EI28" t="s">
        <v>24</v>
      </c>
      <c r="EJ28">
        <v>1</v>
      </c>
      <c r="EK28">
        <v>67001</v>
      </c>
      <c r="EL28" t="s">
        <v>24</v>
      </c>
      <c r="EM28" t="s">
        <v>25</v>
      </c>
      <c r="EO28" t="s">
        <v>3</v>
      </c>
      <c r="EQ28">
        <v>0</v>
      </c>
      <c r="ER28">
        <v>1573.45</v>
      </c>
      <c r="ES28">
        <v>0</v>
      </c>
      <c r="ET28">
        <v>2.5</v>
      </c>
      <c r="EU28">
        <v>1.08</v>
      </c>
      <c r="EV28">
        <v>1570.95</v>
      </c>
      <c r="EW28">
        <v>163.30000000000001</v>
      </c>
      <c r="EX28">
        <v>0.08</v>
      </c>
      <c r="EY28">
        <v>0</v>
      </c>
      <c r="FQ28">
        <v>0</v>
      </c>
      <c r="FR28">
        <f t="shared" ref="FR28:FR59" si="52">ROUND(IF(BI28=3,GM28,0),2)</f>
        <v>0</v>
      </c>
      <c r="FS28">
        <v>0</v>
      </c>
      <c r="FX28">
        <v>91</v>
      </c>
      <c r="FY28">
        <v>48</v>
      </c>
      <c r="GA28" t="s">
        <v>3</v>
      </c>
      <c r="GD28">
        <v>1</v>
      </c>
      <c r="GF28">
        <v>-1997917480</v>
      </c>
      <c r="GG28">
        <v>2</v>
      </c>
      <c r="GH28">
        <v>1</v>
      </c>
      <c r="GI28">
        <v>4</v>
      </c>
      <c r="GJ28">
        <v>0</v>
      </c>
      <c r="GK28">
        <v>0</v>
      </c>
      <c r="GL28">
        <f t="shared" ref="GL28:GL59" si="53">ROUND(IF(AND(BH28=3,BI28=3,FS28&lt;&gt;0),P28,0),2)</f>
        <v>0</v>
      </c>
      <c r="GM28">
        <f t="shared" ref="GM28:GM59" si="54">ROUND(O28+X28+Y28,2)+GX28</f>
        <v>184002.32</v>
      </c>
      <c r="GN28">
        <f t="shared" ref="GN28:GN59" si="55">IF(OR(BI28=0,BI28=1),ROUND(O28+X28+Y28,2),0)</f>
        <v>184002.32</v>
      </c>
      <c r="GO28">
        <f t="shared" ref="GO28:GO59" si="56">IF(BI28=2,ROUND(O28+X28+Y28,2),0)</f>
        <v>0</v>
      </c>
      <c r="GP28">
        <f t="shared" ref="GP28:GP59" si="57">IF(BI28=4,ROUND(O28+X28+Y28,2)+GX28,0)</f>
        <v>0</v>
      </c>
      <c r="GR28">
        <v>0</v>
      </c>
      <c r="GS28">
        <v>3</v>
      </c>
      <c r="GT28">
        <v>0</v>
      </c>
      <c r="GU28" t="s">
        <v>3</v>
      </c>
      <c r="GV28">
        <f t="shared" ref="GV28:GV59" si="58">ROUND((GT28),2)</f>
        <v>0</v>
      </c>
      <c r="GW28">
        <v>1</v>
      </c>
      <c r="GX28">
        <f t="shared" ref="GX28:GX59" si="59">ROUND(HC28*I28,2)</f>
        <v>0</v>
      </c>
      <c r="HA28">
        <v>0</v>
      </c>
      <c r="HB28">
        <v>0</v>
      </c>
      <c r="HC28">
        <f t="shared" ref="HC28:HC59" si="60">GV28*GW28</f>
        <v>0</v>
      </c>
      <c r="HE28" t="s">
        <v>3</v>
      </c>
      <c r="HF28" t="s">
        <v>3</v>
      </c>
      <c r="HM28" t="s">
        <v>3</v>
      </c>
      <c r="HN28" t="s">
        <v>26</v>
      </c>
      <c r="HO28" t="s">
        <v>27</v>
      </c>
      <c r="HP28" t="s">
        <v>24</v>
      </c>
      <c r="HQ28" t="s">
        <v>24</v>
      </c>
      <c r="IK28">
        <v>0</v>
      </c>
    </row>
    <row r="29" spans="1:245" x14ac:dyDescent="0.2">
      <c r="A29">
        <v>17</v>
      </c>
      <c r="B29">
        <v>1</v>
      </c>
      <c r="E29" t="s">
        <v>28</v>
      </c>
      <c r="F29" t="s">
        <v>29</v>
      </c>
      <c r="G29" t="s">
        <v>30</v>
      </c>
      <c r="H29" t="s">
        <v>31</v>
      </c>
      <c r="I29">
        <v>153</v>
      </c>
      <c r="J29">
        <v>0</v>
      </c>
      <c r="K29">
        <v>153</v>
      </c>
      <c r="O29">
        <f t="shared" si="21"/>
        <v>227798.79</v>
      </c>
      <c r="P29">
        <f t="shared" si="22"/>
        <v>227798.79</v>
      </c>
      <c r="Q29">
        <f t="shared" si="23"/>
        <v>0</v>
      </c>
      <c r="R29">
        <f t="shared" si="24"/>
        <v>0</v>
      </c>
      <c r="S29">
        <f t="shared" si="25"/>
        <v>0</v>
      </c>
      <c r="T29">
        <f t="shared" si="26"/>
        <v>0</v>
      </c>
      <c r="U29">
        <f t="shared" si="27"/>
        <v>0</v>
      </c>
      <c r="V29">
        <f t="shared" si="28"/>
        <v>0</v>
      </c>
      <c r="W29">
        <f t="shared" si="29"/>
        <v>0</v>
      </c>
      <c r="X29">
        <f t="shared" si="30"/>
        <v>0</v>
      </c>
      <c r="Y29">
        <f t="shared" si="31"/>
        <v>0</v>
      </c>
      <c r="AA29">
        <v>145026783</v>
      </c>
      <c r="AB29">
        <f t="shared" si="32"/>
        <v>167.29</v>
      </c>
      <c r="AC29">
        <f t="shared" si="33"/>
        <v>167.29</v>
      </c>
      <c r="AD29">
        <f t="shared" si="34"/>
        <v>0</v>
      </c>
      <c r="AE29">
        <f t="shared" si="35"/>
        <v>0</v>
      </c>
      <c r="AF29">
        <f t="shared" si="36"/>
        <v>0</v>
      </c>
      <c r="AG29">
        <f t="shared" si="37"/>
        <v>0</v>
      </c>
      <c r="AH29">
        <f t="shared" si="38"/>
        <v>0</v>
      </c>
      <c r="AI29">
        <f t="shared" si="39"/>
        <v>0</v>
      </c>
      <c r="AJ29">
        <f t="shared" si="40"/>
        <v>0</v>
      </c>
      <c r="AK29">
        <v>167.29</v>
      </c>
      <c r="AL29">
        <v>167.29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1</v>
      </c>
      <c r="AW29">
        <v>1</v>
      </c>
      <c r="AZ29">
        <v>1</v>
      </c>
      <c r="BA29">
        <v>1</v>
      </c>
      <c r="BB29">
        <v>1</v>
      </c>
      <c r="BC29">
        <v>8.9</v>
      </c>
      <c r="BD29" t="s">
        <v>3</v>
      </c>
      <c r="BE29" t="s">
        <v>3</v>
      </c>
      <c r="BF29" t="s">
        <v>3</v>
      </c>
      <c r="BG29" t="s">
        <v>3</v>
      </c>
      <c r="BH29">
        <v>3</v>
      </c>
      <c r="BI29">
        <v>1</v>
      </c>
      <c r="BJ29" t="s">
        <v>3</v>
      </c>
      <c r="BM29">
        <v>1100</v>
      </c>
      <c r="BN29">
        <v>0</v>
      </c>
      <c r="BO29" t="s">
        <v>3</v>
      </c>
      <c r="BP29">
        <v>0</v>
      </c>
      <c r="BQ29">
        <v>8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0</v>
      </c>
      <c r="CA29">
        <v>0</v>
      </c>
      <c r="CB29" t="s">
        <v>3</v>
      </c>
      <c r="CE29">
        <v>0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41"/>
        <v>227798.79</v>
      </c>
      <c r="CQ29">
        <f t="shared" si="42"/>
        <v>1488.8810000000001</v>
      </c>
      <c r="CR29">
        <f t="shared" si="43"/>
        <v>0</v>
      </c>
      <c r="CS29">
        <f t="shared" si="44"/>
        <v>0</v>
      </c>
      <c r="CT29">
        <f t="shared" si="45"/>
        <v>0</v>
      </c>
      <c r="CU29">
        <f t="shared" si="46"/>
        <v>0</v>
      </c>
      <c r="CV29">
        <f t="shared" si="47"/>
        <v>0</v>
      </c>
      <c r="CW29">
        <f t="shared" si="48"/>
        <v>0</v>
      </c>
      <c r="CX29">
        <f t="shared" si="49"/>
        <v>0</v>
      </c>
      <c r="CY29">
        <f t="shared" si="50"/>
        <v>0</v>
      </c>
      <c r="CZ29">
        <f t="shared" si="51"/>
        <v>0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1010</v>
      </c>
      <c r="DV29" t="s">
        <v>31</v>
      </c>
      <c r="DW29" t="s">
        <v>31</v>
      </c>
      <c r="DX29">
        <v>1</v>
      </c>
      <c r="DZ29" t="s">
        <v>3</v>
      </c>
      <c r="EA29" t="s">
        <v>3</v>
      </c>
      <c r="EB29" t="s">
        <v>3</v>
      </c>
      <c r="EC29" t="s">
        <v>3</v>
      </c>
      <c r="EE29">
        <v>140625274</v>
      </c>
      <c r="EF29">
        <v>8</v>
      </c>
      <c r="EG29" t="s">
        <v>32</v>
      </c>
      <c r="EH29">
        <v>0</v>
      </c>
      <c r="EI29" t="s">
        <v>3</v>
      </c>
      <c r="EJ29">
        <v>1</v>
      </c>
      <c r="EK29">
        <v>1100</v>
      </c>
      <c r="EL29" t="s">
        <v>33</v>
      </c>
      <c r="EM29" t="s">
        <v>34</v>
      </c>
      <c r="EO29" t="s">
        <v>3</v>
      </c>
      <c r="EQ29">
        <v>0</v>
      </c>
      <c r="ER29">
        <v>167.29</v>
      </c>
      <c r="ES29">
        <v>167.29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5</v>
      </c>
      <c r="FC29">
        <v>1</v>
      </c>
      <c r="FD29">
        <v>18</v>
      </c>
      <c r="FF29">
        <v>1668.23</v>
      </c>
      <c r="FQ29">
        <v>0</v>
      </c>
      <c r="FR29">
        <f t="shared" si="52"/>
        <v>0</v>
      </c>
      <c r="FS29">
        <v>0</v>
      </c>
      <c r="FX29">
        <v>0</v>
      </c>
      <c r="FY29">
        <v>0</v>
      </c>
      <c r="GA29" t="s">
        <v>35</v>
      </c>
      <c r="GD29">
        <v>1</v>
      </c>
      <c r="GF29">
        <v>-1784937604</v>
      </c>
      <c r="GG29">
        <v>2</v>
      </c>
      <c r="GH29">
        <v>3</v>
      </c>
      <c r="GI29">
        <v>4</v>
      </c>
      <c r="GJ29">
        <v>0</v>
      </c>
      <c r="GK29">
        <v>0</v>
      </c>
      <c r="GL29">
        <f t="shared" si="53"/>
        <v>0</v>
      </c>
      <c r="GM29">
        <f t="shared" si="54"/>
        <v>227798.79</v>
      </c>
      <c r="GN29">
        <f t="shared" si="55"/>
        <v>227798.79</v>
      </c>
      <c r="GO29">
        <f t="shared" si="56"/>
        <v>0</v>
      </c>
      <c r="GP29">
        <f t="shared" si="57"/>
        <v>0</v>
      </c>
      <c r="GR29">
        <v>1</v>
      </c>
      <c r="GS29">
        <v>1</v>
      </c>
      <c r="GT29">
        <v>0</v>
      </c>
      <c r="GU29" t="s">
        <v>3</v>
      </c>
      <c r="GV29">
        <f t="shared" si="58"/>
        <v>0</v>
      </c>
      <c r="GW29">
        <v>1</v>
      </c>
      <c r="GX29">
        <f t="shared" si="59"/>
        <v>0</v>
      </c>
      <c r="HA29">
        <v>0</v>
      </c>
      <c r="HB29">
        <v>0</v>
      </c>
      <c r="HC29">
        <f t="shared" si="60"/>
        <v>0</v>
      </c>
      <c r="HE29" t="s">
        <v>36</v>
      </c>
      <c r="HF29" t="s">
        <v>28</v>
      </c>
      <c r="HM29" t="s">
        <v>3</v>
      </c>
      <c r="HN29" t="s">
        <v>3</v>
      </c>
      <c r="HO29" t="s">
        <v>3</v>
      </c>
      <c r="HP29" t="s">
        <v>3</v>
      </c>
      <c r="HQ29" t="s">
        <v>3</v>
      </c>
      <c r="IK29">
        <v>0</v>
      </c>
    </row>
    <row r="30" spans="1:245" x14ac:dyDescent="0.2">
      <c r="A30">
        <v>17</v>
      </c>
      <c r="B30">
        <v>1</v>
      </c>
      <c r="C30">
        <f>ROW(SmtRes!A7)</f>
        <v>7</v>
      </c>
      <c r="D30">
        <f>ROW(EtalonRes!A8)</f>
        <v>8</v>
      </c>
      <c r="E30" t="s">
        <v>37</v>
      </c>
      <c r="F30" t="s">
        <v>38</v>
      </c>
      <c r="G30" t="s">
        <v>39</v>
      </c>
      <c r="H30" t="s">
        <v>40</v>
      </c>
      <c r="I30">
        <f>ROUND(16/100,9)</f>
        <v>0.16</v>
      </c>
      <c r="J30">
        <v>0</v>
      </c>
      <c r="K30">
        <f>ROUND(16/100,9)</f>
        <v>0.16</v>
      </c>
      <c r="O30">
        <f t="shared" si="21"/>
        <v>463.08</v>
      </c>
      <c r="P30">
        <f t="shared" si="22"/>
        <v>0</v>
      </c>
      <c r="Q30">
        <f t="shared" si="23"/>
        <v>8.08</v>
      </c>
      <c r="R30">
        <f t="shared" si="24"/>
        <v>9.01</v>
      </c>
      <c r="S30">
        <f t="shared" si="25"/>
        <v>455</v>
      </c>
      <c r="T30">
        <f t="shared" si="26"/>
        <v>0</v>
      </c>
      <c r="U30">
        <f t="shared" si="27"/>
        <v>1.8224</v>
      </c>
      <c r="V30">
        <f t="shared" si="28"/>
        <v>2.0800000000000003E-2</v>
      </c>
      <c r="W30">
        <f t="shared" si="29"/>
        <v>0</v>
      </c>
      <c r="X30">
        <f t="shared" si="30"/>
        <v>412.97</v>
      </c>
      <c r="Y30">
        <f t="shared" si="31"/>
        <v>227.36</v>
      </c>
      <c r="AA30">
        <v>145026783</v>
      </c>
      <c r="AB30">
        <f t="shared" si="32"/>
        <v>92.9</v>
      </c>
      <c r="AC30">
        <f t="shared" si="33"/>
        <v>0</v>
      </c>
      <c r="AD30">
        <f t="shared" si="34"/>
        <v>4.0599999999999996</v>
      </c>
      <c r="AE30">
        <f t="shared" si="35"/>
        <v>1.76</v>
      </c>
      <c r="AF30">
        <f t="shared" si="36"/>
        <v>88.84</v>
      </c>
      <c r="AG30">
        <f t="shared" si="37"/>
        <v>0</v>
      </c>
      <c r="AH30">
        <f t="shared" si="38"/>
        <v>11.39</v>
      </c>
      <c r="AI30">
        <f t="shared" si="39"/>
        <v>0.13</v>
      </c>
      <c r="AJ30">
        <f t="shared" si="40"/>
        <v>0</v>
      </c>
      <c r="AK30">
        <v>92.9</v>
      </c>
      <c r="AL30">
        <v>0</v>
      </c>
      <c r="AM30">
        <v>4.0599999999999996</v>
      </c>
      <c r="AN30">
        <v>1.76</v>
      </c>
      <c r="AO30">
        <v>88.84</v>
      </c>
      <c r="AP30">
        <v>0</v>
      </c>
      <c r="AQ30">
        <v>11.39</v>
      </c>
      <c r="AR30">
        <v>0.13</v>
      </c>
      <c r="AS30">
        <v>0</v>
      </c>
      <c r="AT30">
        <v>89</v>
      </c>
      <c r="AU30">
        <v>49</v>
      </c>
      <c r="AV30">
        <v>1</v>
      </c>
      <c r="AW30">
        <v>1</v>
      </c>
      <c r="AZ30">
        <v>1</v>
      </c>
      <c r="BA30">
        <v>32.01</v>
      </c>
      <c r="BB30">
        <v>12.44</v>
      </c>
      <c r="BC30">
        <v>8.9</v>
      </c>
      <c r="BD30" t="s">
        <v>3</v>
      </c>
      <c r="BE30" t="s">
        <v>3</v>
      </c>
      <c r="BF30" t="s">
        <v>3</v>
      </c>
      <c r="BG30" t="s">
        <v>3</v>
      </c>
      <c r="BH30">
        <v>0</v>
      </c>
      <c r="BI30">
        <v>1</v>
      </c>
      <c r="BJ30" t="s">
        <v>41</v>
      </c>
      <c r="BM30">
        <v>57001</v>
      </c>
      <c r="BN30">
        <v>0</v>
      </c>
      <c r="BO30" t="s">
        <v>3</v>
      </c>
      <c r="BP30">
        <v>0</v>
      </c>
      <c r="BQ30">
        <v>6</v>
      </c>
      <c r="BR30">
        <v>0</v>
      </c>
      <c r="BS30">
        <v>32.01</v>
      </c>
      <c r="BT30">
        <v>1</v>
      </c>
      <c r="BU30">
        <v>1</v>
      </c>
      <c r="BV30">
        <v>1</v>
      </c>
      <c r="BW30">
        <v>1</v>
      </c>
      <c r="BX30">
        <v>1</v>
      </c>
      <c r="BY30" t="s">
        <v>3</v>
      </c>
      <c r="BZ30">
        <v>89</v>
      </c>
      <c r="CA30">
        <v>49</v>
      </c>
      <c r="CB30" t="s">
        <v>3</v>
      </c>
      <c r="CE30">
        <v>0</v>
      </c>
      <c r="CF30">
        <v>0</v>
      </c>
      <c r="CG30">
        <v>0</v>
      </c>
      <c r="CM30">
        <v>0</v>
      </c>
      <c r="CN30" t="s">
        <v>3</v>
      </c>
      <c r="CO30">
        <v>0</v>
      </c>
      <c r="CP30">
        <f t="shared" si="41"/>
        <v>463.08</v>
      </c>
      <c r="CQ30">
        <f t="shared" si="42"/>
        <v>0</v>
      </c>
      <c r="CR30">
        <f t="shared" si="43"/>
        <v>50.506399999999992</v>
      </c>
      <c r="CS30">
        <f t="shared" si="44"/>
        <v>56.337599999999995</v>
      </c>
      <c r="CT30">
        <f t="shared" si="45"/>
        <v>2843.7683999999999</v>
      </c>
      <c r="CU30">
        <f t="shared" si="46"/>
        <v>0</v>
      </c>
      <c r="CV30">
        <f t="shared" si="47"/>
        <v>11.39</v>
      </c>
      <c r="CW30">
        <f t="shared" si="48"/>
        <v>0.13</v>
      </c>
      <c r="CX30">
        <f t="shared" si="49"/>
        <v>0</v>
      </c>
      <c r="CY30">
        <f t="shared" si="50"/>
        <v>412.96890000000002</v>
      </c>
      <c r="CZ30">
        <f t="shared" si="51"/>
        <v>227.36489999999998</v>
      </c>
      <c r="DC30" t="s">
        <v>3</v>
      </c>
      <c r="DD30" t="s">
        <v>3</v>
      </c>
      <c r="DE30" t="s">
        <v>3</v>
      </c>
      <c r="DF30" t="s">
        <v>3</v>
      </c>
      <c r="DG30" t="s">
        <v>3</v>
      </c>
      <c r="DH30" t="s">
        <v>3</v>
      </c>
      <c r="DI30" t="s">
        <v>3</v>
      </c>
      <c r="DJ30" t="s">
        <v>3</v>
      </c>
      <c r="DK30" t="s">
        <v>3</v>
      </c>
      <c r="DL30" t="s">
        <v>3</v>
      </c>
      <c r="DM30" t="s">
        <v>3</v>
      </c>
      <c r="DN30">
        <v>0</v>
      </c>
      <c r="DO30">
        <v>0</v>
      </c>
      <c r="DP30">
        <v>1</v>
      </c>
      <c r="DQ30">
        <v>1</v>
      </c>
      <c r="DU30">
        <v>1005</v>
      </c>
      <c r="DV30" t="s">
        <v>40</v>
      </c>
      <c r="DW30" t="s">
        <v>40</v>
      </c>
      <c r="DX30">
        <v>100</v>
      </c>
      <c r="DZ30" t="s">
        <v>3</v>
      </c>
      <c r="EA30" t="s">
        <v>3</v>
      </c>
      <c r="EB30" t="s">
        <v>3</v>
      </c>
      <c r="EC30" t="s">
        <v>3</v>
      </c>
      <c r="EE30">
        <v>140625152</v>
      </c>
      <c r="EF30">
        <v>6</v>
      </c>
      <c r="EG30" t="s">
        <v>23</v>
      </c>
      <c r="EH30">
        <v>11</v>
      </c>
      <c r="EI30" t="s">
        <v>42</v>
      </c>
      <c r="EJ30">
        <v>1</v>
      </c>
      <c r="EK30">
        <v>57001</v>
      </c>
      <c r="EL30" t="s">
        <v>42</v>
      </c>
      <c r="EM30" t="s">
        <v>43</v>
      </c>
      <c r="EO30" t="s">
        <v>3</v>
      </c>
      <c r="EQ30">
        <v>0</v>
      </c>
      <c r="ER30">
        <v>92.9</v>
      </c>
      <c r="ES30">
        <v>0</v>
      </c>
      <c r="ET30">
        <v>4.0599999999999996</v>
      </c>
      <c r="EU30">
        <v>1.76</v>
      </c>
      <c r="EV30">
        <v>88.84</v>
      </c>
      <c r="EW30">
        <v>11.39</v>
      </c>
      <c r="EX30">
        <v>0.13</v>
      </c>
      <c r="EY30">
        <v>0</v>
      </c>
      <c r="FQ30">
        <v>0</v>
      </c>
      <c r="FR30">
        <f t="shared" si="52"/>
        <v>0</v>
      </c>
      <c r="FS30">
        <v>0</v>
      </c>
      <c r="FX30">
        <v>89</v>
      </c>
      <c r="FY30">
        <v>49</v>
      </c>
      <c r="GA30" t="s">
        <v>3</v>
      </c>
      <c r="GD30">
        <v>1</v>
      </c>
      <c r="GF30">
        <v>1082295582</v>
      </c>
      <c r="GG30">
        <v>2</v>
      </c>
      <c r="GH30">
        <v>1</v>
      </c>
      <c r="GI30">
        <v>4</v>
      </c>
      <c r="GJ30">
        <v>0</v>
      </c>
      <c r="GK30">
        <v>0</v>
      </c>
      <c r="GL30">
        <f t="shared" si="53"/>
        <v>0</v>
      </c>
      <c r="GM30">
        <f t="shared" si="54"/>
        <v>1103.4100000000001</v>
      </c>
      <c r="GN30">
        <f t="shared" si="55"/>
        <v>1103.4100000000001</v>
      </c>
      <c r="GO30">
        <f t="shared" si="56"/>
        <v>0</v>
      </c>
      <c r="GP30">
        <f t="shared" si="57"/>
        <v>0</v>
      </c>
      <c r="GR30">
        <v>0</v>
      </c>
      <c r="GS30">
        <v>3</v>
      </c>
      <c r="GT30">
        <v>0</v>
      </c>
      <c r="GU30" t="s">
        <v>3</v>
      </c>
      <c r="GV30">
        <f t="shared" si="58"/>
        <v>0</v>
      </c>
      <c r="GW30">
        <v>1</v>
      </c>
      <c r="GX30">
        <f t="shared" si="59"/>
        <v>0</v>
      </c>
      <c r="HA30">
        <v>0</v>
      </c>
      <c r="HB30">
        <v>0</v>
      </c>
      <c r="HC30">
        <f t="shared" si="60"/>
        <v>0</v>
      </c>
      <c r="HE30" t="s">
        <v>3</v>
      </c>
      <c r="HF30" t="s">
        <v>3</v>
      </c>
      <c r="HM30" t="s">
        <v>3</v>
      </c>
      <c r="HN30" t="s">
        <v>44</v>
      </c>
      <c r="HO30" t="s">
        <v>45</v>
      </c>
      <c r="HP30" t="s">
        <v>42</v>
      </c>
      <c r="HQ30" t="s">
        <v>42</v>
      </c>
      <c r="IK30">
        <v>0</v>
      </c>
    </row>
    <row r="31" spans="1:245" x14ac:dyDescent="0.2">
      <c r="A31">
        <v>18</v>
      </c>
      <c r="B31">
        <v>1</v>
      </c>
      <c r="C31">
        <v>7</v>
      </c>
      <c r="E31" t="s">
        <v>46</v>
      </c>
      <c r="F31" t="s">
        <v>47</v>
      </c>
      <c r="G31" t="s">
        <v>48</v>
      </c>
      <c r="H31" t="s">
        <v>49</v>
      </c>
      <c r="I31">
        <f>I30*J31</f>
        <v>7.5200000000000003E-2</v>
      </c>
      <c r="J31">
        <v>0.47000000000000003</v>
      </c>
      <c r="K31">
        <v>0.47</v>
      </c>
      <c r="O31">
        <f t="shared" si="21"/>
        <v>0</v>
      </c>
      <c r="P31">
        <f t="shared" si="22"/>
        <v>0</v>
      </c>
      <c r="Q31">
        <f t="shared" si="23"/>
        <v>0</v>
      </c>
      <c r="R31">
        <f t="shared" si="24"/>
        <v>0</v>
      </c>
      <c r="S31">
        <f t="shared" si="25"/>
        <v>0</v>
      </c>
      <c r="T31">
        <f t="shared" si="26"/>
        <v>0</v>
      </c>
      <c r="U31">
        <f t="shared" si="27"/>
        <v>0</v>
      </c>
      <c r="V31">
        <f t="shared" si="28"/>
        <v>0</v>
      </c>
      <c r="W31">
        <f t="shared" si="29"/>
        <v>0</v>
      </c>
      <c r="X31">
        <f t="shared" si="30"/>
        <v>0</v>
      </c>
      <c r="Y31">
        <f t="shared" si="31"/>
        <v>0</v>
      </c>
      <c r="AA31">
        <v>145026783</v>
      </c>
      <c r="AB31">
        <f t="shared" si="32"/>
        <v>0</v>
      </c>
      <c r="AC31">
        <f t="shared" si="33"/>
        <v>0</v>
      </c>
      <c r="AD31">
        <f t="shared" si="34"/>
        <v>0</v>
      </c>
      <c r="AE31">
        <f t="shared" si="35"/>
        <v>0</v>
      </c>
      <c r="AF31">
        <f t="shared" si="36"/>
        <v>0</v>
      </c>
      <c r="AG31">
        <f t="shared" si="37"/>
        <v>0</v>
      </c>
      <c r="AH31">
        <f t="shared" si="38"/>
        <v>0</v>
      </c>
      <c r="AI31">
        <f t="shared" si="39"/>
        <v>0</v>
      </c>
      <c r="AJ31">
        <f t="shared" si="40"/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89</v>
      </c>
      <c r="AU31">
        <v>49</v>
      </c>
      <c r="AV31">
        <v>1</v>
      </c>
      <c r="AW31">
        <v>1</v>
      </c>
      <c r="AZ31">
        <v>1</v>
      </c>
      <c r="BA31">
        <v>1</v>
      </c>
      <c r="BB31">
        <v>1</v>
      </c>
      <c r="BC31">
        <v>8.9</v>
      </c>
      <c r="BD31" t="s">
        <v>3</v>
      </c>
      <c r="BE31" t="s">
        <v>3</v>
      </c>
      <c r="BF31" t="s">
        <v>3</v>
      </c>
      <c r="BG31" t="s">
        <v>3</v>
      </c>
      <c r="BH31">
        <v>3</v>
      </c>
      <c r="BI31">
        <v>1</v>
      </c>
      <c r="BJ31" t="s">
        <v>3</v>
      </c>
      <c r="BM31">
        <v>57001</v>
      </c>
      <c r="BN31">
        <v>0</v>
      </c>
      <c r="BO31" t="s">
        <v>3</v>
      </c>
      <c r="BP31">
        <v>0</v>
      </c>
      <c r="BQ31">
        <v>6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89</v>
      </c>
      <c r="CA31">
        <v>49</v>
      </c>
      <c r="CB31" t="s">
        <v>3</v>
      </c>
      <c r="CE31">
        <v>0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41"/>
        <v>0</v>
      </c>
      <c r="CQ31">
        <f t="shared" si="42"/>
        <v>0</v>
      </c>
      <c r="CR31">
        <f t="shared" si="43"/>
        <v>0</v>
      </c>
      <c r="CS31">
        <f t="shared" si="44"/>
        <v>0</v>
      </c>
      <c r="CT31">
        <f t="shared" si="45"/>
        <v>0</v>
      </c>
      <c r="CU31">
        <f t="shared" si="46"/>
        <v>0</v>
      </c>
      <c r="CV31">
        <f t="shared" si="47"/>
        <v>0</v>
      </c>
      <c r="CW31">
        <f t="shared" si="48"/>
        <v>0</v>
      </c>
      <c r="CX31">
        <f t="shared" si="49"/>
        <v>0</v>
      </c>
      <c r="CY31">
        <f t="shared" si="50"/>
        <v>0</v>
      </c>
      <c r="CZ31">
        <f t="shared" si="51"/>
        <v>0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1009</v>
      </c>
      <c r="DV31" t="s">
        <v>49</v>
      </c>
      <c r="DW31" t="s">
        <v>49</v>
      </c>
      <c r="DX31">
        <v>1000</v>
      </c>
      <c r="DZ31" t="s">
        <v>3</v>
      </c>
      <c r="EA31" t="s">
        <v>3</v>
      </c>
      <c r="EB31" t="s">
        <v>3</v>
      </c>
      <c r="EC31" t="s">
        <v>3</v>
      </c>
      <c r="EE31">
        <v>140625152</v>
      </c>
      <c r="EF31">
        <v>6</v>
      </c>
      <c r="EG31" t="s">
        <v>23</v>
      </c>
      <c r="EH31">
        <v>11</v>
      </c>
      <c r="EI31" t="s">
        <v>42</v>
      </c>
      <c r="EJ31">
        <v>1</v>
      </c>
      <c r="EK31">
        <v>57001</v>
      </c>
      <c r="EL31" t="s">
        <v>42</v>
      </c>
      <c r="EM31" t="s">
        <v>43</v>
      </c>
      <c r="EO31" t="s">
        <v>3</v>
      </c>
      <c r="EQ31">
        <v>0</v>
      </c>
      <c r="ER31">
        <v>0</v>
      </c>
      <c r="ES31">
        <v>0</v>
      </c>
      <c r="ET31">
        <v>0</v>
      </c>
      <c r="EU31">
        <v>0</v>
      </c>
      <c r="EV31">
        <v>0</v>
      </c>
      <c r="EW31">
        <v>0</v>
      </c>
      <c r="EX31">
        <v>0</v>
      </c>
      <c r="FQ31">
        <v>0</v>
      </c>
      <c r="FR31">
        <f t="shared" si="52"/>
        <v>0</v>
      </c>
      <c r="FS31">
        <v>0</v>
      </c>
      <c r="FX31">
        <v>89</v>
      </c>
      <c r="FY31">
        <v>49</v>
      </c>
      <c r="GA31" t="s">
        <v>3</v>
      </c>
      <c r="GD31">
        <v>1</v>
      </c>
      <c r="GF31">
        <v>2102561428</v>
      </c>
      <c r="GG31">
        <v>2</v>
      </c>
      <c r="GH31">
        <v>1</v>
      </c>
      <c r="GI31">
        <v>4</v>
      </c>
      <c r="GJ31">
        <v>0</v>
      </c>
      <c r="GK31">
        <v>0</v>
      </c>
      <c r="GL31">
        <f t="shared" si="53"/>
        <v>0</v>
      </c>
      <c r="GM31">
        <f t="shared" si="54"/>
        <v>0</v>
      </c>
      <c r="GN31">
        <f t="shared" si="55"/>
        <v>0</v>
      </c>
      <c r="GO31">
        <f t="shared" si="56"/>
        <v>0</v>
      </c>
      <c r="GP31">
        <f t="shared" si="57"/>
        <v>0</v>
      </c>
      <c r="GR31">
        <v>0</v>
      </c>
      <c r="GS31">
        <v>3</v>
      </c>
      <c r="GT31">
        <v>0</v>
      </c>
      <c r="GU31" t="s">
        <v>3</v>
      </c>
      <c r="GV31">
        <f t="shared" si="58"/>
        <v>0</v>
      </c>
      <c r="GW31">
        <v>1</v>
      </c>
      <c r="GX31">
        <f t="shared" si="59"/>
        <v>0</v>
      </c>
      <c r="HA31">
        <v>0</v>
      </c>
      <c r="HB31">
        <v>0</v>
      </c>
      <c r="HC31">
        <f t="shared" si="60"/>
        <v>0</v>
      </c>
      <c r="HE31" t="s">
        <v>3</v>
      </c>
      <c r="HF31" t="s">
        <v>3</v>
      </c>
      <c r="HM31" t="s">
        <v>3</v>
      </c>
      <c r="HN31" t="s">
        <v>44</v>
      </c>
      <c r="HO31" t="s">
        <v>45</v>
      </c>
      <c r="HP31" t="s">
        <v>42</v>
      </c>
      <c r="HQ31" t="s">
        <v>42</v>
      </c>
      <c r="IK31">
        <v>0</v>
      </c>
    </row>
    <row r="32" spans="1:245" x14ac:dyDescent="0.2">
      <c r="A32">
        <v>17</v>
      </c>
      <c r="B32">
        <v>1</v>
      </c>
      <c r="C32">
        <f>ROW(SmtRes!A9)</f>
        <v>9</v>
      </c>
      <c r="D32">
        <f>ROW(EtalonRes!A10)</f>
        <v>10</v>
      </c>
      <c r="E32" t="s">
        <v>50</v>
      </c>
      <c r="F32" t="s">
        <v>51</v>
      </c>
      <c r="G32" t="s">
        <v>52</v>
      </c>
      <c r="H32" t="s">
        <v>53</v>
      </c>
      <c r="I32">
        <f>ROUND(143.2/100,9)</f>
        <v>1.4319999999999999</v>
      </c>
      <c r="J32">
        <v>0</v>
      </c>
      <c r="K32">
        <f>ROUND(143.2/100,9)</f>
        <v>1.4319999999999999</v>
      </c>
      <c r="O32">
        <f t="shared" si="21"/>
        <v>1348.1</v>
      </c>
      <c r="P32">
        <f t="shared" si="22"/>
        <v>0</v>
      </c>
      <c r="Q32">
        <f t="shared" si="23"/>
        <v>0</v>
      </c>
      <c r="R32">
        <f t="shared" si="24"/>
        <v>0</v>
      </c>
      <c r="S32">
        <f t="shared" si="25"/>
        <v>1348.1</v>
      </c>
      <c r="T32">
        <f t="shared" si="26"/>
        <v>0</v>
      </c>
      <c r="U32">
        <f t="shared" si="27"/>
        <v>5.3986399999999994</v>
      </c>
      <c r="V32">
        <f t="shared" si="28"/>
        <v>0</v>
      </c>
      <c r="W32">
        <f t="shared" si="29"/>
        <v>0</v>
      </c>
      <c r="X32">
        <f t="shared" si="30"/>
        <v>1199.81</v>
      </c>
      <c r="Y32">
        <f t="shared" si="31"/>
        <v>660.57</v>
      </c>
      <c r="AA32">
        <v>145026783</v>
      </c>
      <c r="AB32">
        <f t="shared" si="32"/>
        <v>29.41</v>
      </c>
      <c r="AC32">
        <f t="shared" si="33"/>
        <v>0</v>
      </c>
      <c r="AD32">
        <f t="shared" si="34"/>
        <v>0</v>
      </c>
      <c r="AE32">
        <f t="shared" si="35"/>
        <v>0</v>
      </c>
      <c r="AF32">
        <f t="shared" si="36"/>
        <v>29.41</v>
      </c>
      <c r="AG32">
        <f t="shared" si="37"/>
        <v>0</v>
      </c>
      <c r="AH32">
        <f t="shared" si="38"/>
        <v>3.77</v>
      </c>
      <c r="AI32">
        <f t="shared" si="39"/>
        <v>0</v>
      </c>
      <c r="AJ32">
        <f t="shared" si="40"/>
        <v>0</v>
      </c>
      <c r="AK32">
        <v>29.41</v>
      </c>
      <c r="AL32">
        <v>0</v>
      </c>
      <c r="AM32">
        <v>0</v>
      </c>
      <c r="AN32">
        <v>0</v>
      </c>
      <c r="AO32">
        <v>29.41</v>
      </c>
      <c r="AP32">
        <v>0</v>
      </c>
      <c r="AQ32">
        <v>3.77</v>
      </c>
      <c r="AR32">
        <v>0</v>
      </c>
      <c r="AS32">
        <v>0</v>
      </c>
      <c r="AT32">
        <v>89</v>
      </c>
      <c r="AU32">
        <v>49</v>
      </c>
      <c r="AV32">
        <v>1</v>
      </c>
      <c r="AW32">
        <v>1</v>
      </c>
      <c r="AZ32">
        <v>1</v>
      </c>
      <c r="BA32">
        <v>32.01</v>
      </c>
      <c r="BB32">
        <v>12.44</v>
      </c>
      <c r="BC32">
        <v>8.9</v>
      </c>
      <c r="BD32" t="s">
        <v>3</v>
      </c>
      <c r="BE32" t="s">
        <v>3</v>
      </c>
      <c r="BF32" t="s">
        <v>3</v>
      </c>
      <c r="BG32" t="s">
        <v>3</v>
      </c>
      <c r="BH32">
        <v>0</v>
      </c>
      <c r="BI32">
        <v>1</v>
      </c>
      <c r="BJ32" t="s">
        <v>54</v>
      </c>
      <c r="BM32">
        <v>57001</v>
      </c>
      <c r="BN32">
        <v>0</v>
      </c>
      <c r="BO32" t="s">
        <v>3</v>
      </c>
      <c r="BP32">
        <v>0</v>
      </c>
      <c r="BQ32">
        <v>6</v>
      </c>
      <c r="BR32">
        <v>0</v>
      </c>
      <c r="BS32">
        <v>32.01</v>
      </c>
      <c r="BT32">
        <v>1</v>
      </c>
      <c r="BU32">
        <v>1</v>
      </c>
      <c r="BV32">
        <v>1</v>
      </c>
      <c r="BW32">
        <v>1</v>
      </c>
      <c r="BX32">
        <v>1</v>
      </c>
      <c r="BY32" t="s">
        <v>3</v>
      </c>
      <c r="BZ32">
        <v>89</v>
      </c>
      <c r="CA32">
        <v>49</v>
      </c>
      <c r="CB32" t="s">
        <v>3</v>
      </c>
      <c r="CE32">
        <v>0</v>
      </c>
      <c r="CF32">
        <v>0</v>
      </c>
      <c r="CG32">
        <v>0</v>
      </c>
      <c r="CM32">
        <v>0</v>
      </c>
      <c r="CN32" t="s">
        <v>3</v>
      </c>
      <c r="CO32">
        <v>0</v>
      </c>
      <c r="CP32">
        <f t="shared" si="41"/>
        <v>1348.1</v>
      </c>
      <c r="CQ32">
        <f t="shared" si="42"/>
        <v>0</v>
      </c>
      <c r="CR32">
        <f t="shared" si="43"/>
        <v>0</v>
      </c>
      <c r="CS32">
        <f t="shared" si="44"/>
        <v>0</v>
      </c>
      <c r="CT32">
        <f t="shared" si="45"/>
        <v>941.41409999999996</v>
      </c>
      <c r="CU32">
        <f t="shared" si="46"/>
        <v>0</v>
      </c>
      <c r="CV32">
        <f t="shared" si="47"/>
        <v>3.77</v>
      </c>
      <c r="CW32">
        <f t="shared" si="48"/>
        <v>0</v>
      </c>
      <c r="CX32">
        <f t="shared" si="49"/>
        <v>0</v>
      </c>
      <c r="CY32">
        <f t="shared" si="50"/>
        <v>1199.809</v>
      </c>
      <c r="CZ32">
        <f t="shared" si="51"/>
        <v>660.56899999999996</v>
      </c>
      <c r="DC32" t="s">
        <v>3</v>
      </c>
      <c r="DD32" t="s">
        <v>3</v>
      </c>
      <c r="DE32" t="s">
        <v>3</v>
      </c>
      <c r="DF32" t="s">
        <v>3</v>
      </c>
      <c r="DG32" t="s">
        <v>3</v>
      </c>
      <c r="DH32" t="s">
        <v>3</v>
      </c>
      <c r="DI32" t="s">
        <v>3</v>
      </c>
      <c r="DJ32" t="s">
        <v>3</v>
      </c>
      <c r="DK32" t="s">
        <v>3</v>
      </c>
      <c r="DL32" t="s">
        <v>3</v>
      </c>
      <c r="DM32" t="s">
        <v>3</v>
      </c>
      <c r="DN32">
        <v>0</v>
      </c>
      <c r="DO32">
        <v>0</v>
      </c>
      <c r="DP32">
        <v>1</v>
      </c>
      <c r="DQ32">
        <v>1</v>
      </c>
      <c r="DU32">
        <v>1003</v>
      </c>
      <c r="DV32" t="s">
        <v>53</v>
      </c>
      <c r="DW32" t="s">
        <v>53</v>
      </c>
      <c r="DX32">
        <v>100</v>
      </c>
      <c r="DZ32" t="s">
        <v>3</v>
      </c>
      <c r="EA32" t="s">
        <v>3</v>
      </c>
      <c r="EB32" t="s">
        <v>3</v>
      </c>
      <c r="EC32" t="s">
        <v>3</v>
      </c>
      <c r="EE32">
        <v>140625152</v>
      </c>
      <c r="EF32">
        <v>6</v>
      </c>
      <c r="EG32" t="s">
        <v>23</v>
      </c>
      <c r="EH32">
        <v>11</v>
      </c>
      <c r="EI32" t="s">
        <v>42</v>
      </c>
      <c r="EJ32">
        <v>1</v>
      </c>
      <c r="EK32">
        <v>57001</v>
      </c>
      <c r="EL32" t="s">
        <v>42</v>
      </c>
      <c r="EM32" t="s">
        <v>43</v>
      </c>
      <c r="EO32" t="s">
        <v>3</v>
      </c>
      <c r="EQ32">
        <v>2097152</v>
      </c>
      <c r="ER32">
        <v>29.41</v>
      </c>
      <c r="ES32">
        <v>0</v>
      </c>
      <c r="ET32">
        <v>0</v>
      </c>
      <c r="EU32">
        <v>0</v>
      </c>
      <c r="EV32">
        <v>29.41</v>
      </c>
      <c r="EW32">
        <v>3.77</v>
      </c>
      <c r="EX32">
        <v>0</v>
      </c>
      <c r="EY32">
        <v>0</v>
      </c>
      <c r="FQ32">
        <v>0</v>
      </c>
      <c r="FR32">
        <f t="shared" si="52"/>
        <v>0</v>
      </c>
      <c r="FS32">
        <v>0</v>
      </c>
      <c r="FX32">
        <v>89</v>
      </c>
      <c r="FY32">
        <v>49</v>
      </c>
      <c r="GA32" t="s">
        <v>3</v>
      </c>
      <c r="GD32">
        <v>1</v>
      </c>
      <c r="GF32">
        <v>-1748069708</v>
      </c>
      <c r="GG32">
        <v>2</v>
      </c>
      <c r="GH32">
        <v>1</v>
      </c>
      <c r="GI32">
        <v>4</v>
      </c>
      <c r="GJ32">
        <v>0</v>
      </c>
      <c r="GK32">
        <v>0</v>
      </c>
      <c r="GL32">
        <f t="shared" si="53"/>
        <v>0</v>
      </c>
      <c r="GM32">
        <f t="shared" si="54"/>
        <v>3208.48</v>
      </c>
      <c r="GN32">
        <f t="shared" si="55"/>
        <v>3208.48</v>
      </c>
      <c r="GO32">
        <f t="shared" si="56"/>
        <v>0</v>
      </c>
      <c r="GP32">
        <f t="shared" si="57"/>
        <v>0</v>
      </c>
      <c r="GR32">
        <v>0</v>
      </c>
      <c r="GS32">
        <v>3</v>
      </c>
      <c r="GT32">
        <v>0</v>
      </c>
      <c r="GU32" t="s">
        <v>3</v>
      </c>
      <c r="GV32">
        <f t="shared" si="58"/>
        <v>0</v>
      </c>
      <c r="GW32">
        <v>1</v>
      </c>
      <c r="GX32">
        <f t="shared" si="59"/>
        <v>0</v>
      </c>
      <c r="HA32">
        <v>0</v>
      </c>
      <c r="HB32">
        <v>0</v>
      </c>
      <c r="HC32">
        <f t="shared" si="60"/>
        <v>0</v>
      </c>
      <c r="HE32" t="s">
        <v>3</v>
      </c>
      <c r="HF32" t="s">
        <v>3</v>
      </c>
      <c r="HM32" t="s">
        <v>3</v>
      </c>
      <c r="HN32" t="s">
        <v>44</v>
      </c>
      <c r="HO32" t="s">
        <v>45</v>
      </c>
      <c r="HP32" t="s">
        <v>42</v>
      </c>
      <c r="HQ32" t="s">
        <v>42</v>
      </c>
      <c r="IK32">
        <v>0</v>
      </c>
    </row>
    <row r="33" spans="1:245" x14ac:dyDescent="0.2">
      <c r="A33">
        <v>18</v>
      </c>
      <c r="B33">
        <v>1</v>
      </c>
      <c r="C33">
        <v>9</v>
      </c>
      <c r="E33" t="s">
        <v>55</v>
      </c>
      <c r="F33" t="s">
        <v>47</v>
      </c>
      <c r="G33" t="s">
        <v>48</v>
      </c>
      <c r="H33" t="s">
        <v>49</v>
      </c>
      <c r="I33">
        <f>I32*J33</f>
        <v>0.15751999999999999</v>
      </c>
      <c r="J33">
        <v>0.11</v>
      </c>
      <c r="K33">
        <v>0.11</v>
      </c>
      <c r="O33">
        <f t="shared" si="21"/>
        <v>0</v>
      </c>
      <c r="P33">
        <f t="shared" si="22"/>
        <v>0</v>
      </c>
      <c r="Q33">
        <f t="shared" si="23"/>
        <v>0</v>
      </c>
      <c r="R33">
        <f t="shared" si="24"/>
        <v>0</v>
      </c>
      <c r="S33">
        <f t="shared" si="25"/>
        <v>0</v>
      </c>
      <c r="T33">
        <f t="shared" si="26"/>
        <v>0</v>
      </c>
      <c r="U33">
        <f t="shared" si="27"/>
        <v>0</v>
      </c>
      <c r="V33">
        <f t="shared" si="28"/>
        <v>0</v>
      </c>
      <c r="W33">
        <f t="shared" si="29"/>
        <v>0</v>
      </c>
      <c r="X33">
        <f t="shared" si="30"/>
        <v>0</v>
      </c>
      <c r="Y33">
        <f t="shared" si="31"/>
        <v>0</v>
      </c>
      <c r="AA33">
        <v>145026783</v>
      </c>
      <c r="AB33">
        <f t="shared" si="32"/>
        <v>0</v>
      </c>
      <c r="AC33">
        <f t="shared" si="33"/>
        <v>0</v>
      </c>
      <c r="AD33">
        <f t="shared" si="34"/>
        <v>0</v>
      </c>
      <c r="AE33">
        <f t="shared" si="35"/>
        <v>0</v>
      </c>
      <c r="AF33">
        <f t="shared" si="36"/>
        <v>0</v>
      </c>
      <c r="AG33">
        <f t="shared" si="37"/>
        <v>0</v>
      </c>
      <c r="AH33">
        <f t="shared" si="38"/>
        <v>0</v>
      </c>
      <c r="AI33">
        <f t="shared" si="39"/>
        <v>0</v>
      </c>
      <c r="AJ33">
        <f t="shared" si="40"/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89</v>
      </c>
      <c r="AU33">
        <v>49</v>
      </c>
      <c r="AV33">
        <v>1</v>
      </c>
      <c r="AW33">
        <v>1</v>
      </c>
      <c r="AZ33">
        <v>1</v>
      </c>
      <c r="BA33">
        <v>1</v>
      </c>
      <c r="BB33">
        <v>1</v>
      </c>
      <c r="BC33">
        <v>8.9</v>
      </c>
      <c r="BD33" t="s">
        <v>3</v>
      </c>
      <c r="BE33" t="s">
        <v>3</v>
      </c>
      <c r="BF33" t="s">
        <v>3</v>
      </c>
      <c r="BG33" t="s">
        <v>3</v>
      </c>
      <c r="BH33">
        <v>3</v>
      </c>
      <c r="BI33">
        <v>1</v>
      </c>
      <c r="BJ33" t="s">
        <v>3</v>
      </c>
      <c r="BM33">
        <v>57001</v>
      </c>
      <c r="BN33">
        <v>0</v>
      </c>
      <c r="BO33" t="s">
        <v>3</v>
      </c>
      <c r="BP33">
        <v>0</v>
      </c>
      <c r="BQ33">
        <v>6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89</v>
      </c>
      <c r="CA33">
        <v>49</v>
      </c>
      <c r="CB33" t="s">
        <v>3</v>
      </c>
      <c r="CE33">
        <v>0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41"/>
        <v>0</v>
      </c>
      <c r="CQ33">
        <f t="shared" si="42"/>
        <v>0</v>
      </c>
      <c r="CR33">
        <f t="shared" si="43"/>
        <v>0</v>
      </c>
      <c r="CS33">
        <f t="shared" si="44"/>
        <v>0</v>
      </c>
      <c r="CT33">
        <f t="shared" si="45"/>
        <v>0</v>
      </c>
      <c r="CU33">
        <f t="shared" si="46"/>
        <v>0</v>
      </c>
      <c r="CV33">
        <f t="shared" si="47"/>
        <v>0</v>
      </c>
      <c r="CW33">
        <f t="shared" si="48"/>
        <v>0</v>
      </c>
      <c r="CX33">
        <f t="shared" si="49"/>
        <v>0</v>
      </c>
      <c r="CY33">
        <f t="shared" si="50"/>
        <v>0</v>
      </c>
      <c r="CZ33">
        <f t="shared" si="51"/>
        <v>0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1009</v>
      </c>
      <c r="DV33" t="s">
        <v>49</v>
      </c>
      <c r="DW33" t="s">
        <v>49</v>
      </c>
      <c r="DX33">
        <v>1000</v>
      </c>
      <c r="DZ33" t="s">
        <v>3</v>
      </c>
      <c r="EA33" t="s">
        <v>3</v>
      </c>
      <c r="EB33" t="s">
        <v>3</v>
      </c>
      <c r="EC33" t="s">
        <v>3</v>
      </c>
      <c r="EE33">
        <v>140625152</v>
      </c>
      <c r="EF33">
        <v>6</v>
      </c>
      <c r="EG33" t="s">
        <v>23</v>
      </c>
      <c r="EH33">
        <v>11</v>
      </c>
      <c r="EI33" t="s">
        <v>42</v>
      </c>
      <c r="EJ33">
        <v>1</v>
      </c>
      <c r="EK33">
        <v>57001</v>
      </c>
      <c r="EL33" t="s">
        <v>42</v>
      </c>
      <c r="EM33" t="s">
        <v>43</v>
      </c>
      <c r="EO33" t="s">
        <v>3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FQ33">
        <v>0</v>
      </c>
      <c r="FR33">
        <f t="shared" si="52"/>
        <v>0</v>
      </c>
      <c r="FS33">
        <v>0</v>
      </c>
      <c r="FX33">
        <v>89</v>
      </c>
      <c r="FY33">
        <v>49</v>
      </c>
      <c r="GA33" t="s">
        <v>3</v>
      </c>
      <c r="GD33">
        <v>1</v>
      </c>
      <c r="GF33">
        <v>2102561428</v>
      </c>
      <c r="GG33">
        <v>2</v>
      </c>
      <c r="GH33">
        <v>1</v>
      </c>
      <c r="GI33">
        <v>4</v>
      </c>
      <c r="GJ33">
        <v>0</v>
      </c>
      <c r="GK33">
        <v>0</v>
      </c>
      <c r="GL33">
        <f t="shared" si="53"/>
        <v>0</v>
      </c>
      <c r="GM33">
        <f t="shared" si="54"/>
        <v>0</v>
      </c>
      <c r="GN33">
        <f t="shared" si="55"/>
        <v>0</v>
      </c>
      <c r="GO33">
        <f t="shared" si="56"/>
        <v>0</v>
      </c>
      <c r="GP33">
        <f t="shared" si="57"/>
        <v>0</v>
      </c>
      <c r="GR33">
        <v>0</v>
      </c>
      <c r="GS33">
        <v>3</v>
      </c>
      <c r="GT33">
        <v>0</v>
      </c>
      <c r="GU33" t="s">
        <v>3</v>
      </c>
      <c r="GV33">
        <f t="shared" si="58"/>
        <v>0</v>
      </c>
      <c r="GW33">
        <v>1</v>
      </c>
      <c r="GX33">
        <f t="shared" si="59"/>
        <v>0</v>
      </c>
      <c r="HA33">
        <v>0</v>
      </c>
      <c r="HB33">
        <v>0</v>
      </c>
      <c r="HC33">
        <f t="shared" si="60"/>
        <v>0</v>
      </c>
      <c r="HE33" t="s">
        <v>3</v>
      </c>
      <c r="HF33" t="s">
        <v>3</v>
      </c>
      <c r="HM33" t="s">
        <v>3</v>
      </c>
      <c r="HN33" t="s">
        <v>44</v>
      </c>
      <c r="HO33" t="s">
        <v>45</v>
      </c>
      <c r="HP33" t="s">
        <v>42</v>
      </c>
      <c r="HQ33" t="s">
        <v>42</v>
      </c>
      <c r="IK33">
        <v>0</v>
      </c>
    </row>
    <row r="34" spans="1:245" x14ac:dyDescent="0.2">
      <c r="A34">
        <v>17</v>
      </c>
      <c r="B34">
        <v>1</v>
      </c>
      <c r="C34">
        <f>ROW(SmtRes!A13)</f>
        <v>13</v>
      </c>
      <c r="D34">
        <f>ROW(EtalonRes!A14)</f>
        <v>14</v>
      </c>
      <c r="E34" t="s">
        <v>36</v>
      </c>
      <c r="F34" t="s">
        <v>56</v>
      </c>
      <c r="G34" t="s">
        <v>57</v>
      </c>
      <c r="H34" t="s">
        <v>21</v>
      </c>
      <c r="I34">
        <f>ROUND(2/100,9)</f>
        <v>0.02</v>
      </c>
      <c r="J34">
        <v>0</v>
      </c>
      <c r="K34">
        <f>ROUND(2/100,9)</f>
        <v>0.02</v>
      </c>
      <c r="O34">
        <f t="shared" si="21"/>
        <v>971.83</v>
      </c>
      <c r="P34">
        <f t="shared" si="22"/>
        <v>0</v>
      </c>
      <c r="Q34">
        <f t="shared" si="23"/>
        <v>51.23</v>
      </c>
      <c r="R34">
        <f t="shared" si="24"/>
        <v>0</v>
      </c>
      <c r="S34">
        <f t="shared" si="25"/>
        <v>920.6</v>
      </c>
      <c r="T34">
        <f t="shared" si="26"/>
        <v>0</v>
      </c>
      <c r="U34">
        <f t="shared" si="27"/>
        <v>3.5860000000000003</v>
      </c>
      <c r="V34">
        <f t="shared" si="28"/>
        <v>0</v>
      </c>
      <c r="W34">
        <f t="shared" si="29"/>
        <v>0</v>
      </c>
      <c r="X34">
        <f t="shared" si="30"/>
        <v>828.54</v>
      </c>
      <c r="Y34">
        <f t="shared" si="31"/>
        <v>432.68</v>
      </c>
      <c r="AA34">
        <v>145026783</v>
      </c>
      <c r="AB34">
        <f t="shared" si="32"/>
        <v>1643.9</v>
      </c>
      <c r="AC34">
        <f t="shared" si="33"/>
        <v>0</v>
      </c>
      <c r="AD34">
        <f t="shared" si="34"/>
        <v>205.91</v>
      </c>
      <c r="AE34">
        <f t="shared" si="35"/>
        <v>0</v>
      </c>
      <c r="AF34">
        <f t="shared" si="36"/>
        <v>1437.99</v>
      </c>
      <c r="AG34">
        <f t="shared" si="37"/>
        <v>0</v>
      </c>
      <c r="AH34">
        <f t="shared" si="38"/>
        <v>179.3</v>
      </c>
      <c r="AI34">
        <f t="shared" si="39"/>
        <v>0</v>
      </c>
      <c r="AJ34">
        <f t="shared" si="40"/>
        <v>0</v>
      </c>
      <c r="AK34">
        <v>1643.9</v>
      </c>
      <c r="AL34">
        <v>0</v>
      </c>
      <c r="AM34">
        <v>205.91</v>
      </c>
      <c r="AN34">
        <v>0</v>
      </c>
      <c r="AO34">
        <v>1437.99</v>
      </c>
      <c r="AP34">
        <v>0</v>
      </c>
      <c r="AQ34">
        <v>179.3</v>
      </c>
      <c r="AR34">
        <v>0</v>
      </c>
      <c r="AS34">
        <v>0</v>
      </c>
      <c r="AT34">
        <v>90</v>
      </c>
      <c r="AU34">
        <v>47</v>
      </c>
      <c r="AV34">
        <v>1</v>
      </c>
      <c r="AW34">
        <v>1</v>
      </c>
      <c r="AZ34">
        <v>1</v>
      </c>
      <c r="BA34">
        <v>32.01</v>
      </c>
      <c r="BB34">
        <v>12.44</v>
      </c>
      <c r="BC34">
        <v>8.9</v>
      </c>
      <c r="BD34" t="s">
        <v>3</v>
      </c>
      <c r="BE34" t="s">
        <v>3</v>
      </c>
      <c r="BF34" t="s">
        <v>3</v>
      </c>
      <c r="BG34" t="s">
        <v>3</v>
      </c>
      <c r="BH34">
        <v>0</v>
      </c>
      <c r="BI34">
        <v>1</v>
      </c>
      <c r="BJ34" t="s">
        <v>58</v>
      </c>
      <c r="BM34">
        <v>56001</v>
      </c>
      <c r="BN34">
        <v>0</v>
      </c>
      <c r="BO34" t="s">
        <v>3</v>
      </c>
      <c r="BP34">
        <v>0</v>
      </c>
      <c r="BQ34">
        <v>6</v>
      </c>
      <c r="BR34">
        <v>0</v>
      </c>
      <c r="BS34">
        <v>32.01</v>
      </c>
      <c r="BT34">
        <v>1</v>
      </c>
      <c r="BU34">
        <v>1</v>
      </c>
      <c r="BV34">
        <v>1</v>
      </c>
      <c r="BW34">
        <v>1</v>
      </c>
      <c r="BX34">
        <v>1</v>
      </c>
      <c r="BY34" t="s">
        <v>3</v>
      </c>
      <c r="BZ34">
        <v>90</v>
      </c>
      <c r="CA34">
        <v>47</v>
      </c>
      <c r="CB34" t="s">
        <v>3</v>
      </c>
      <c r="CE34">
        <v>0</v>
      </c>
      <c r="CF34">
        <v>0</v>
      </c>
      <c r="CG34">
        <v>0</v>
      </c>
      <c r="CM34">
        <v>0</v>
      </c>
      <c r="CN34" t="s">
        <v>3</v>
      </c>
      <c r="CO34">
        <v>0</v>
      </c>
      <c r="CP34">
        <f t="shared" si="41"/>
        <v>971.83</v>
      </c>
      <c r="CQ34">
        <f t="shared" si="42"/>
        <v>0</v>
      </c>
      <c r="CR34">
        <f t="shared" si="43"/>
        <v>2561.5203999999999</v>
      </c>
      <c r="CS34">
        <f t="shared" si="44"/>
        <v>0</v>
      </c>
      <c r="CT34">
        <f t="shared" si="45"/>
        <v>46030.0599</v>
      </c>
      <c r="CU34">
        <f t="shared" si="46"/>
        <v>0</v>
      </c>
      <c r="CV34">
        <f t="shared" si="47"/>
        <v>179.3</v>
      </c>
      <c r="CW34">
        <f t="shared" si="48"/>
        <v>0</v>
      </c>
      <c r="CX34">
        <f t="shared" si="49"/>
        <v>0</v>
      </c>
      <c r="CY34">
        <f t="shared" si="50"/>
        <v>828.54</v>
      </c>
      <c r="CZ34">
        <f t="shared" si="51"/>
        <v>432.68200000000002</v>
      </c>
      <c r="DC34" t="s">
        <v>3</v>
      </c>
      <c r="DD34" t="s">
        <v>3</v>
      </c>
      <c r="DE34" t="s">
        <v>3</v>
      </c>
      <c r="DF34" t="s">
        <v>3</v>
      </c>
      <c r="DG34" t="s">
        <v>3</v>
      </c>
      <c r="DH34" t="s">
        <v>3</v>
      </c>
      <c r="DI34" t="s">
        <v>3</v>
      </c>
      <c r="DJ34" t="s">
        <v>3</v>
      </c>
      <c r="DK34" t="s">
        <v>3</v>
      </c>
      <c r="DL34" t="s">
        <v>3</v>
      </c>
      <c r="DM34" t="s">
        <v>3</v>
      </c>
      <c r="DN34">
        <v>0</v>
      </c>
      <c r="DO34">
        <v>0</v>
      </c>
      <c r="DP34">
        <v>1</v>
      </c>
      <c r="DQ34">
        <v>1</v>
      </c>
      <c r="DU34">
        <v>1013</v>
      </c>
      <c r="DV34" t="s">
        <v>21</v>
      </c>
      <c r="DW34" t="s">
        <v>21</v>
      </c>
      <c r="DX34">
        <v>1</v>
      </c>
      <c r="DZ34" t="s">
        <v>3</v>
      </c>
      <c r="EA34" t="s">
        <v>3</v>
      </c>
      <c r="EB34" t="s">
        <v>3</v>
      </c>
      <c r="EC34" t="s">
        <v>3</v>
      </c>
      <c r="EE34">
        <v>140625150</v>
      </c>
      <c r="EF34">
        <v>6</v>
      </c>
      <c r="EG34" t="s">
        <v>23</v>
      </c>
      <c r="EH34">
        <v>90</v>
      </c>
      <c r="EI34" t="s">
        <v>59</v>
      </c>
      <c r="EJ34">
        <v>1</v>
      </c>
      <c r="EK34">
        <v>56001</v>
      </c>
      <c r="EL34" t="s">
        <v>59</v>
      </c>
      <c r="EM34" t="s">
        <v>60</v>
      </c>
      <c r="EO34" t="s">
        <v>3</v>
      </c>
      <c r="EQ34">
        <v>0</v>
      </c>
      <c r="ER34">
        <v>1643.9</v>
      </c>
      <c r="ES34">
        <v>0</v>
      </c>
      <c r="ET34">
        <v>205.91</v>
      </c>
      <c r="EU34">
        <v>0</v>
      </c>
      <c r="EV34">
        <v>1437.99</v>
      </c>
      <c r="EW34">
        <v>179.3</v>
      </c>
      <c r="EX34">
        <v>0</v>
      </c>
      <c r="EY34">
        <v>0</v>
      </c>
      <c r="FQ34">
        <v>0</v>
      </c>
      <c r="FR34">
        <f t="shared" si="52"/>
        <v>0</v>
      </c>
      <c r="FS34">
        <v>0</v>
      </c>
      <c r="FX34">
        <v>90</v>
      </c>
      <c r="FY34">
        <v>47</v>
      </c>
      <c r="GA34" t="s">
        <v>3</v>
      </c>
      <c r="GD34">
        <v>1</v>
      </c>
      <c r="GF34">
        <v>1870669028</v>
      </c>
      <c r="GG34">
        <v>2</v>
      </c>
      <c r="GH34">
        <v>1</v>
      </c>
      <c r="GI34">
        <v>4</v>
      </c>
      <c r="GJ34">
        <v>0</v>
      </c>
      <c r="GK34">
        <v>0</v>
      </c>
      <c r="GL34">
        <f t="shared" si="53"/>
        <v>0</v>
      </c>
      <c r="GM34">
        <f t="shared" si="54"/>
        <v>2233.0500000000002</v>
      </c>
      <c r="GN34">
        <f t="shared" si="55"/>
        <v>2233.0500000000002</v>
      </c>
      <c r="GO34">
        <f t="shared" si="56"/>
        <v>0</v>
      </c>
      <c r="GP34">
        <f t="shared" si="57"/>
        <v>0</v>
      </c>
      <c r="GR34">
        <v>0</v>
      </c>
      <c r="GS34">
        <v>3</v>
      </c>
      <c r="GT34">
        <v>0</v>
      </c>
      <c r="GU34" t="s">
        <v>3</v>
      </c>
      <c r="GV34">
        <f t="shared" si="58"/>
        <v>0</v>
      </c>
      <c r="GW34">
        <v>1</v>
      </c>
      <c r="GX34">
        <f t="shared" si="59"/>
        <v>0</v>
      </c>
      <c r="HA34">
        <v>0</v>
      </c>
      <c r="HB34">
        <v>0</v>
      </c>
      <c r="HC34">
        <f t="shared" si="60"/>
        <v>0</v>
      </c>
      <c r="HE34" t="s">
        <v>3</v>
      </c>
      <c r="HF34" t="s">
        <v>3</v>
      </c>
      <c r="HM34" t="s">
        <v>3</v>
      </c>
      <c r="HN34" t="s">
        <v>61</v>
      </c>
      <c r="HO34" t="s">
        <v>62</v>
      </c>
      <c r="HP34" t="s">
        <v>59</v>
      </c>
      <c r="HQ34" t="s">
        <v>59</v>
      </c>
      <c r="IK34">
        <v>0</v>
      </c>
    </row>
    <row r="35" spans="1:245" x14ac:dyDescent="0.2">
      <c r="A35">
        <v>18</v>
      </c>
      <c r="B35">
        <v>1</v>
      </c>
      <c r="C35">
        <v>13</v>
      </c>
      <c r="E35" t="s">
        <v>63</v>
      </c>
      <c r="F35" t="s">
        <v>47</v>
      </c>
      <c r="G35" t="s">
        <v>48</v>
      </c>
      <c r="H35" t="s">
        <v>49</v>
      </c>
      <c r="I35">
        <f>I34*J35</f>
        <v>0.21</v>
      </c>
      <c r="J35">
        <v>10.5</v>
      </c>
      <c r="K35">
        <v>10.5</v>
      </c>
      <c r="O35">
        <f t="shared" si="21"/>
        <v>0</v>
      </c>
      <c r="P35">
        <f t="shared" si="22"/>
        <v>0</v>
      </c>
      <c r="Q35">
        <f t="shared" si="23"/>
        <v>0</v>
      </c>
      <c r="R35">
        <f t="shared" si="24"/>
        <v>0</v>
      </c>
      <c r="S35">
        <f t="shared" si="25"/>
        <v>0</v>
      </c>
      <c r="T35">
        <f t="shared" si="26"/>
        <v>0</v>
      </c>
      <c r="U35">
        <f t="shared" si="27"/>
        <v>0</v>
      </c>
      <c r="V35">
        <f t="shared" si="28"/>
        <v>0</v>
      </c>
      <c r="W35">
        <f t="shared" si="29"/>
        <v>0</v>
      </c>
      <c r="X35">
        <f t="shared" si="30"/>
        <v>0</v>
      </c>
      <c r="Y35">
        <f t="shared" si="31"/>
        <v>0</v>
      </c>
      <c r="AA35">
        <v>145026783</v>
      </c>
      <c r="AB35">
        <f t="shared" si="32"/>
        <v>0</v>
      </c>
      <c r="AC35">
        <f t="shared" si="33"/>
        <v>0</v>
      </c>
      <c r="AD35">
        <f t="shared" si="34"/>
        <v>0</v>
      </c>
      <c r="AE35">
        <f t="shared" si="35"/>
        <v>0</v>
      </c>
      <c r="AF35">
        <f t="shared" si="36"/>
        <v>0</v>
      </c>
      <c r="AG35">
        <f t="shared" si="37"/>
        <v>0</v>
      </c>
      <c r="AH35">
        <f t="shared" si="38"/>
        <v>0</v>
      </c>
      <c r="AI35">
        <f t="shared" si="39"/>
        <v>0</v>
      </c>
      <c r="AJ35">
        <f t="shared" si="40"/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90</v>
      </c>
      <c r="AU35">
        <v>47</v>
      </c>
      <c r="AV35">
        <v>1</v>
      </c>
      <c r="AW35">
        <v>1</v>
      </c>
      <c r="AZ35">
        <v>1</v>
      </c>
      <c r="BA35">
        <v>1</v>
      </c>
      <c r="BB35">
        <v>1</v>
      </c>
      <c r="BC35">
        <v>8.9</v>
      </c>
      <c r="BD35" t="s">
        <v>3</v>
      </c>
      <c r="BE35" t="s">
        <v>3</v>
      </c>
      <c r="BF35" t="s">
        <v>3</v>
      </c>
      <c r="BG35" t="s">
        <v>3</v>
      </c>
      <c r="BH35">
        <v>3</v>
      </c>
      <c r="BI35">
        <v>1</v>
      </c>
      <c r="BJ35" t="s">
        <v>3</v>
      </c>
      <c r="BM35">
        <v>56001</v>
      </c>
      <c r="BN35">
        <v>0</v>
      </c>
      <c r="BO35" t="s">
        <v>3</v>
      </c>
      <c r="BP35">
        <v>0</v>
      </c>
      <c r="BQ35">
        <v>6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90</v>
      </c>
      <c r="CA35">
        <v>47</v>
      </c>
      <c r="CB35" t="s">
        <v>3</v>
      </c>
      <c r="CE35">
        <v>0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41"/>
        <v>0</v>
      </c>
      <c r="CQ35">
        <f t="shared" si="42"/>
        <v>0</v>
      </c>
      <c r="CR35">
        <f t="shared" si="43"/>
        <v>0</v>
      </c>
      <c r="CS35">
        <f t="shared" si="44"/>
        <v>0</v>
      </c>
      <c r="CT35">
        <f t="shared" si="45"/>
        <v>0</v>
      </c>
      <c r="CU35">
        <f t="shared" si="46"/>
        <v>0</v>
      </c>
      <c r="CV35">
        <f t="shared" si="47"/>
        <v>0</v>
      </c>
      <c r="CW35">
        <f t="shared" si="48"/>
        <v>0</v>
      </c>
      <c r="CX35">
        <f t="shared" si="49"/>
        <v>0</v>
      </c>
      <c r="CY35">
        <f t="shared" si="50"/>
        <v>0</v>
      </c>
      <c r="CZ35">
        <f t="shared" si="51"/>
        <v>0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1009</v>
      </c>
      <c r="DV35" t="s">
        <v>49</v>
      </c>
      <c r="DW35" t="s">
        <v>49</v>
      </c>
      <c r="DX35">
        <v>1000</v>
      </c>
      <c r="DZ35" t="s">
        <v>3</v>
      </c>
      <c r="EA35" t="s">
        <v>3</v>
      </c>
      <c r="EB35" t="s">
        <v>3</v>
      </c>
      <c r="EC35" t="s">
        <v>3</v>
      </c>
      <c r="EE35">
        <v>140625150</v>
      </c>
      <c r="EF35">
        <v>6</v>
      </c>
      <c r="EG35" t="s">
        <v>23</v>
      </c>
      <c r="EH35">
        <v>90</v>
      </c>
      <c r="EI35" t="s">
        <v>59</v>
      </c>
      <c r="EJ35">
        <v>1</v>
      </c>
      <c r="EK35">
        <v>56001</v>
      </c>
      <c r="EL35" t="s">
        <v>59</v>
      </c>
      <c r="EM35" t="s">
        <v>60</v>
      </c>
      <c r="EO35" t="s">
        <v>3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FQ35">
        <v>0</v>
      </c>
      <c r="FR35">
        <f t="shared" si="52"/>
        <v>0</v>
      </c>
      <c r="FS35">
        <v>0</v>
      </c>
      <c r="FX35">
        <v>90</v>
      </c>
      <c r="FY35">
        <v>47</v>
      </c>
      <c r="GA35" t="s">
        <v>3</v>
      </c>
      <c r="GD35">
        <v>1</v>
      </c>
      <c r="GF35">
        <v>2102561428</v>
      </c>
      <c r="GG35">
        <v>2</v>
      </c>
      <c r="GH35">
        <v>1</v>
      </c>
      <c r="GI35">
        <v>4</v>
      </c>
      <c r="GJ35">
        <v>0</v>
      </c>
      <c r="GK35">
        <v>0</v>
      </c>
      <c r="GL35">
        <f t="shared" si="53"/>
        <v>0</v>
      </c>
      <c r="GM35">
        <f t="shared" si="54"/>
        <v>0</v>
      </c>
      <c r="GN35">
        <f t="shared" si="55"/>
        <v>0</v>
      </c>
      <c r="GO35">
        <f t="shared" si="56"/>
        <v>0</v>
      </c>
      <c r="GP35">
        <f t="shared" si="57"/>
        <v>0</v>
      </c>
      <c r="GR35">
        <v>0</v>
      </c>
      <c r="GS35">
        <v>3</v>
      </c>
      <c r="GT35">
        <v>0</v>
      </c>
      <c r="GU35" t="s">
        <v>3</v>
      </c>
      <c r="GV35">
        <f t="shared" si="58"/>
        <v>0</v>
      </c>
      <c r="GW35">
        <v>1</v>
      </c>
      <c r="GX35">
        <f t="shared" si="59"/>
        <v>0</v>
      </c>
      <c r="HA35">
        <v>0</v>
      </c>
      <c r="HB35">
        <v>0</v>
      </c>
      <c r="HC35">
        <f t="shared" si="60"/>
        <v>0</v>
      </c>
      <c r="HE35" t="s">
        <v>3</v>
      </c>
      <c r="HF35" t="s">
        <v>3</v>
      </c>
      <c r="HM35" t="s">
        <v>3</v>
      </c>
      <c r="HN35" t="s">
        <v>61</v>
      </c>
      <c r="HO35" t="s">
        <v>62</v>
      </c>
      <c r="HP35" t="s">
        <v>59</v>
      </c>
      <c r="HQ35" t="s">
        <v>59</v>
      </c>
      <c r="IK35">
        <v>0</v>
      </c>
    </row>
    <row r="36" spans="1:245" x14ac:dyDescent="0.2">
      <c r="A36">
        <v>17</v>
      </c>
      <c r="B36">
        <v>1</v>
      </c>
      <c r="C36">
        <f>ROW(SmtRes!A15)</f>
        <v>15</v>
      </c>
      <c r="D36">
        <f>ROW(EtalonRes!A16)</f>
        <v>16</v>
      </c>
      <c r="E36" t="s">
        <v>64</v>
      </c>
      <c r="F36" t="s">
        <v>65</v>
      </c>
      <c r="G36" t="s">
        <v>66</v>
      </c>
      <c r="H36" t="s">
        <v>40</v>
      </c>
      <c r="I36">
        <f>ROUND((0.8*2.1+0.6*2.1)/100,9)</f>
        <v>2.9399999999999999E-2</v>
      </c>
      <c r="J36">
        <v>0</v>
      </c>
      <c r="K36">
        <f>ROUND((0.8*2.1+0.6*2.1)/100,9)</f>
        <v>2.9399999999999999E-2</v>
      </c>
      <c r="O36">
        <f t="shared" si="21"/>
        <v>271.08999999999997</v>
      </c>
      <c r="P36">
        <f t="shared" si="22"/>
        <v>0</v>
      </c>
      <c r="Q36">
        <f t="shared" si="23"/>
        <v>0</v>
      </c>
      <c r="R36">
        <f t="shared" si="24"/>
        <v>0</v>
      </c>
      <c r="S36">
        <f t="shared" si="25"/>
        <v>271.08999999999997</v>
      </c>
      <c r="T36">
        <f t="shared" si="26"/>
        <v>0</v>
      </c>
      <c r="U36">
        <f t="shared" si="27"/>
        <v>1.066632</v>
      </c>
      <c r="V36">
        <f t="shared" si="28"/>
        <v>0</v>
      </c>
      <c r="W36">
        <f t="shared" si="29"/>
        <v>0</v>
      </c>
      <c r="X36">
        <f t="shared" si="30"/>
        <v>243.98</v>
      </c>
      <c r="Y36">
        <f t="shared" si="31"/>
        <v>127.41</v>
      </c>
      <c r="AA36">
        <v>145026783</v>
      </c>
      <c r="AB36">
        <f t="shared" si="32"/>
        <v>288.06</v>
      </c>
      <c r="AC36">
        <f t="shared" si="33"/>
        <v>0</v>
      </c>
      <c r="AD36">
        <f t="shared" si="34"/>
        <v>0</v>
      </c>
      <c r="AE36">
        <f t="shared" si="35"/>
        <v>0</v>
      </c>
      <c r="AF36">
        <f t="shared" si="36"/>
        <v>288.06</v>
      </c>
      <c r="AG36">
        <f t="shared" si="37"/>
        <v>0</v>
      </c>
      <c r="AH36">
        <f t="shared" si="38"/>
        <v>36.28</v>
      </c>
      <c r="AI36">
        <f t="shared" si="39"/>
        <v>0</v>
      </c>
      <c r="AJ36">
        <f t="shared" si="40"/>
        <v>0</v>
      </c>
      <c r="AK36">
        <v>288.06</v>
      </c>
      <c r="AL36">
        <v>0</v>
      </c>
      <c r="AM36">
        <v>0</v>
      </c>
      <c r="AN36">
        <v>0</v>
      </c>
      <c r="AO36">
        <v>288.06</v>
      </c>
      <c r="AP36">
        <v>0</v>
      </c>
      <c r="AQ36">
        <v>36.28</v>
      </c>
      <c r="AR36">
        <v>0</v>
      </c>
      <c r="AS36">
        <v>0</v>
      </c>
      <c r="AT36">
        <v>90</v>
      </c>
      <c r="AU36">
        <v>47</v>
      </c>
      <c r="AV36">
        <v>1</v>
      </c>
      <c r="AW36">
        <v>1</v>
      </c>
      <c r="AZ36">
        <v>1</v>
      </c>
      <c r="BA36">
        <v>32.01</v>
      </c>
      <c r="BB36">
        <v>12.44</v>
      </c>
      <c r="BC36">
        <v>8.9</v>
      </c>
      <c r="BD36" t="s">
        <v>3</v>
      </c>
      <c r="BE36" t="s">
        <v>3</v>
      </c>
      <c r="BF36" t="s">
        <v>3</v>
      </c>
      <c r="BG36" t="s">
        <v>3</v>
      </c>
      <c r="BH36">
        <v>0</v>
      </c>
      <c r="BI36">
        <v>1</v>
      </c>
      <c r="BJ36" t="s">
        <v>67</v>
      </c>
      <c r="BM36">
        <v>56001</v>
      </c>
      <c r="BN36">
        <v>0</v>
      </c>
      <c r="BO36" t="s">
        <v>3</v>
      </c>
      <c r="BP36">
        <v>0</v>
      </c>
      <c r="BQ36">
        <v>6</v>
      </c>
      <c r="BR36">
        <v>0</v>
      </c>
      <c r="BS36">
        <v>32.01</v>
      </c>
      <c r="BT36">
        <v>1</v>
      </c>
      <c r="BU36">
        <v>1</v>
      </c>
      <c r="BV36">
        <v>1</v>
      </c>
      <c r="BW36">
        <v>1</v>
      </c>
      <c r="BX36">
        <v>1</v>
      </c>
      <c r="BY36" t="s">
        <v>3</v>
      </c>
      <c r="BZ36">
        <v>90</v>
      </c>
      <c r="CA36">
        <v>47</v>
      </c>
      <c r="CB36" t="s">
        <v>3</v>
      </c>
      <c r="CE36">
        <v>0</v>
      </c>
      <c r="CF36">
        <v>0</v>
      </c>
      <c r="CG36">
        <v>0</v>
      </c>
      <c r="CM36">
        <v>0</v>
      </c>
      <c r="CN36" t="s">
        <v>3</v>
      </c>
      <c r="CO36">
        <v>0</v>
      </c>
      <c r="CP36">
        <f t="shared" si="41"/>
        <v>271.08999999999997</v>
      </c>
      <c r="CQ36">
        <f t="shared" si="42"/>
        <v>0</v>
      </c>
      <c r="CR36">
        <f t="shared" si="43"/>
        <v>0</v>
      </c>
      <c r="CS36">
        <f t="shared" si="44"/>
        <v>0</v>
      </c>
      <c r="CT36">
        <f t="shared" si="45"/>
        <v>9220.8005999999987</v>
      </c>
      <c r="CU36">
        <f t="shared" si="46"/>
        <v>0</v>
      </c>
      <c r="CV36">
        <f t="shared" si="47"/>
        <v>36.28</v>
      </c>
      <c r="CW36">
        <f t="shared" si="48"/>
        <v>0</v>
      </c>
      <c r="CX36">
        <f t="shared" si="49"/>
        <v>0</v>
      </c>
      <c r="CY36">
        <f t="shared" si="50"/>
        <v>243.98099999999999</v>
      </c>
      <c r="CZ36">
        <f t="shared" si="51"/>
        <v>127.4123</v>
      </c>
      <c r="DC36" t="s">
        <v>3</v>
      </c>
      <c r="DD36" t="s">
        <v>3</v>
      </c>
      <c r="DE36" t="s">
        <v>3</v>
      </c>
      <c r="DF36" t="s">
        <v>3</v>
      </c>
      <c r="DG36" t="s">
        <v>3</v>
      </c>
      <c r="DH36" t="s">
        <v>3</v>
      </c>
      <c r="DI36" t="s">
        <v>3</v>
      </c>
      <c r="DJ36" t="s">
        <v>3</v>
      </c>
      <c r="DK36" t="s">
        <v>3</v>
      </c>
      <c r="DL36" t="s">
        <v>3</v>
      </c>
      <c r="DM36" t="s">
        <v>3</v>
      </c>
      <c r="DN36">
        <v>0</v>
      </c>
      <c r="DO36">
        <v>0</v>
      </c>
      <c r="DP36">
        <v>1</v>
      </c>
      <c r="DQ36">
        <v>1</v>
      </c>
      <c r="DU36">
        <v>1005</v>
      </c>
      <c r="DV36" t="s">
        <v>40</v>
      </c>
      <c r="DW36" t="s">
        <v>40</v>
      </c>
      <c r="DX36">
        <v>100</v>
      </c>
      <c r="DZ36" t="s">
        <v>3</v>
      </c>
      <c r="EA36" t="s">
        <v>3</v>
      </c>
      <c r="EB36" t="s">
        <v>3</v>
      </c>
      <c r="EC36" t="s">
        <v>3</v>
      </c>
      <c r="EE36">
        <v>140625150</v>
      </c>
      <c r="EF36">
        <v>6</v>
      </c>
      <c r="EG36" t="s">
        <v>23</v>
      </c>
      <c r="EH36">
        <v>90</v>
      </c>
      <c r="EI36" t="s">
        <v>59</v>
      </c>
      <c r="EJ36">
        <v>1</v>
      </c>
      <c r="EK36">
        <v>56001</v>
      </c>
      <c r="EL36" t="s">
        <v>59</v>
      </c>
      <c r="EM36" t="s">
        <v>60</v>
      </c>
      <c r="EO36" t="s">
        <v>3</v>
      </c>
      <c r="EQ36">
        <v>0</v>
      </c>
      <c r="ER36">
        <v>288.06</v>
      </c>
      <c r="ES36">
        <v>0</v>
      </c>
      <c r="ET36">
        <v>0</v>
      </c>
      <c r="EU36">
        <v>0</v>
      </c>
      <c r="EV36">
        <v>288.06</v>
      </c>
      <c r="EW36">
        <v>36.28</v>
      </c>
      <c r="EX36">
        <v>0</v>
      </c>
      <c r="EY36">
        <v>0</v>
      </c>
      <c r="FQ36">
        <v>0</v>
      </c>
      <c r="FR36">
        <f t="shared" si="52"/>
        <v>0</v>
      </c>
      <c r="FS36">
        <v>0</v>
      </c>
      <c r="FX36">
        <v>90</v>
      </c>
      <c r="FY36">
        <v>47</v>
      </c>
      <c r="GA36" t="s">
        <v>3</v>
      </c>
      <c r="GD36">
        <v>1</v>
      </c>
      <c r="GF36">
        <v>237262530</v>
      </c>
      <c r="GG36">
        <v>2</v>
      </c>
      <c r="GH36">
        <v>1</v>
      </c>
      <c r="GI36">
        <v>4</v>
      </c>
      <c r="GJ36">
        <v>0</v>
      </c>
      <c r="GK36">
        <v>0</v>
      </c>
      <c r="GL36">
        <f t="shared" si="53"/>
        <v>0</v>
      </c>
      <c r="GM36">
        <f t="shared" si="54"/>
        <v>642.48</v>
      </c>
      <c r="GN36">
        <f t="shared" si="55"/>
        <v>642.48</v>
      </c>
      <c r="GO36">
        <f t="shared" si="56"/>
        <v>0</v>
      </c>
      <c r="GP36">
        <f t="shared" si="57"/>
        <v>0</v>
      </c>
      <c r="GR36">
        <v>0</v>
      </c>
      <c r="GS36">
        <v>3</v>
      </c>
      <c r="GT36">
        <v>0</v>
      </c>
      <c r="GU36" t="s">
        <v>3</v>
      </c>
      <c r="GV36">
        <f t="shared" si="58"/>
        <v>0</v>
      </c>
      <c r="GW36">
        <v>1</v>
      </c>
      <c r="GX36">
        <f t="shared" si="59"/>
        <v>0</v>
      </c>
      <c r="HA36">
        <v>0</v>
      </c>
      <c r="HB36">
        <v>0</v>
      </c>
      <c r="HC36">
        <f t="shared" si="60"/>
        <v>0</v>
      </c>
      <c r="HE36" t="s">
        <v>3</v>
      </c>
      <c r="HF36" t="s">
        <v>3</v>
      </c>
      <c r="HM36" t="s">
        <v>3</v>
      </c>
      <c r="HN36" t="s">
        <v>61</v>
      </c>
      <c r="HO36" t="s">
        <v>62</v>
      </c>
      <c r="HP36" t="s">
        <v>59</v>
      </c>
      <c r="HQ36" t="s">
        <v>59</v>
      </c>
      <c r="IK36">
        <v>0</v>
      </c>
    </row>
    <row r="37" spans="1:245" x14ac:dyDescent="0.2">
      <c r="A37">
        <v>18</v>
      </c>
      <c r="B37">
        <v>1</v>
      </c>
      <c r="C37">
        <v>15</v>
      </c>
      <c r="E37" t="s">
        <v>68</v>
      </c>
      <c r="F37" t="s">
        <v>47</v>
      </c>
      <c r="G37" t="s">
        <v>48</v>
      </c>
      <c r="H37" t="s">
        <v>49</v>
      </c>
      <c r="I37">
        <f>I36*J37</f>
        <v>3.4692000000000001E-2</v>
      </c>
      <c r="J37">
        <v>1.1800000000000002</v>
      </c>
      <c r="K37">
        <v>1.18</v>
      </c>
      <c r="O37">
        <f t="shared" si="21"/>
        <v>0</v>
      </c>
      <c r="P37">
        <f t="shared" si="22"/>
        <v>0</v>
      </c>
      <c r="Q37">
        <f t="shared" si="23"/>
        <v>0</v>
      </c>
      <c r="R37">
        <f t="shared" si="24"/>
        <v>0</v>
      </c>
      <c r="S37">
        <f t="shared" si="25"/>
        <v>0</v>
      </c>
      <c r="T37">
        <f t="shared" si="26"/>
        <v>0</v>
      </c>
      <c r="U37">
        <f t="shared" si="27"/>
        <v>0</v>
      </c>
      <c r="V37">
        <f t="shared" si="28"/>
        <v>0</v>
      </c>
      <c r="W37">
        <f t="shared" si="29"/>
        <v>0</v>
      </c>
      <c r="X37">
        <f t="shared" si="30"/>
        <v>0</v>
      </c>
      <c r="Y37">
        <f t="shared" si="31"/>
        <v>0</v>
      </c>
      <c r="AA37">
        <v>145026783</v>
      </c>
      <c r="AB37">
        <f t="shared" si="32"/>
        <v>0</v>
      </c>
      <c r="AC37">
        <f t="shared" si="33"/>
        <v>0</v>
      </c>
      <c r="AD37">
        <f t="shared" si="34"/>
        <v>0</v>
      </c>
      <c r="AE37">
        <f t="shared" si="35"/>
        <v>0</v>
      </c>
      <c r="AF37">
        <f t="shared" si="36"/>
        <v>0</v>
      </c>
      <c r="AG37">
        <f t="shared" si="37"/>
        <v>0</v>
      </c>
      <c r="AH37">
        <f t="shared" si="38"/>
        <v>0</v>
      </c>
      <c r="AI37">
        <f t="shared" si="39"/>
        <v>0</v>
      </c>
      <c r="AJ37">
        <f t="shared" si="40"/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90</v>
      </c>
      <c r="AU37">
        <v>47</v>
      </c>
      <c r="AV37">
        <v>1</v>
      </c>
      <c r="AW37">
        <v>1</v>
      </c>
      <c r="AZ37">
        <v>1</v>
      </c>
      <c r="BA37">
        <v>1</v>
      </c>
      <c r="BB37">
        <v>1</v>
      </c>
      <c r="BC37">
        <v>8.9</v>
      </c>
      <c r="BD37" t="s">
        <v>3</v>
      </c>
      <c r="BE37" t="s">
        <v>3</v>
      </c>
      <c r="BF37" t="s">
        <v>3</v>
      </c>
      <c r="BG37" t="s">
        <v>3</v>
      </c>
      <c r="BH37">
        <v>3</v>
      </c>
      <c r="BI37">
        <v>1</v>
      </c>
      <c r="BJ37" t="s">
        <v>3</v>
      </c>
      <c r="BM37">
        <v>56001</v>
      </c>
      <c r="BN37">
        <v>0</v>
      </c>
      <c r="BO37" t="s">
        <v>3</v>
      </c>
      <c r="BP37">
        <v>0</v>
      </c>
      <c r="BQ37">
        <v>6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90</v>
      </c>
      <c r="CA37">
        <v>47</v>
      </c>
      <c r="CB37" t="s">
        <v>3</v>
      </c>
      <c r="CE37">
        <v>0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41"/>
        <v>0</v>
      </c>
      <c r="CQ37">
        <f t="shared" si="42"/>
        <v>0</v>
      </c>
      <c r="CR37">
        <f t="shared" si="43"/>
        <v>0</v>
      </c>
      <c r="CS37">
        <f t="shared" si="44"/>
        <v>0</v>
      </c>
      <c r="CT37">
        <f t="shared" si="45"/>
        <v>0</v>
      </c>
      <c r="CU37">
        <f t="shared" si="46"/>
        <v>0</v>
      </c>
      <c r="CV37">
        <f t="shared" si="47"/>
        <v>0</v>
      </c>
      <c r="CW37">
        <f t="shared" si="48"/>
        <v>0</v>
      </c>
      <c r="CX37">
        <f t="shared" si="49"/>
        <v>0</v>
      </c>
      <c r="CY37">
        <f t="shared" si="50"/>
        <v>0</v>
      </c>
      <c r="CZ37">
        <f t="shared" si="51"/>
        <v>0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1009</v>
      </c>
      <c r="DV37" t="s">
        <v>49</v>
      </c>
      <c r="DW37" t="s">
        <v>49</v>
      </c>
      <c r="DX37">
        <v>1000</v>
      </c>
      <c r="DZ37" t="s">
        <v>3</v>
      </c>
      <c r="EA37" t="s">
        <v>3</v>
      </c>
      <c r="EB37" t="s">
        <v>3</v>
      </c>
      <c r="EC37" t="s">
        <v>3</v>
      </c>
      <c r="EE37">
        <v>140625150</v>
      </c>
      <c r="EF37">
        <v>6</v>
      </c>
      <c r="EG37" t="s">
        <v>23</v>
      </c>
      <c r="EH37">
        <v>90</v>
      </c>
      <c r="EI37" t="s">
        <v>59</v>
      </c>
      <c r="EJ37">
        <v>1</v>
      </c>
      <c r="EK37">
        <v>56001</v>
      </c>
      <c r="EL37" t="s">
        <v>59</v>
      </c>
      <c r="EM37" t="s">
        <v>60</v>
      </c>
      <c r="EO37" t="s">
        <v>3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FQ37">
        <v>0</v>
      </c>
      <c r="FR37">
        <f t="shared" si="52"/>
        <v>0</v>
      </c>
      <c r="FS37">
        <v>0</v>
      </c>
      <c r="FX37">
        <v>90</v>
      </c>
      <c r="FY37">
        <v>47</v>
      </c>
      <c r="GA37" t="s">
        <v>3</v>
      </c>
      <c r="GD37">
        <v>1</v>
      </c>
      <c r="GF37">
        <v>2102561428</v>
      </c>
      <c r="GG37">
        <v>2</v>
      </c>
      <c r="GH37">
        <v>1</v>
      </c>
      <c r="GI37">
        <v>4</v>
      </c>
      <c r="GJ37">
        <v>0</v>
      </c>
      <c r="GK37">
        <v>0</v>
      </c>
      <c r="GL37">
        <f t="shared" si="53"/>
        <v>0</v>
      </c>
      <c r="GM37">
        <f t="shared" si="54"/>
        <v>0</v>
      </c>
      <c r="GN37">
        <f t="shared" si="55"/>
        <v>0</v>
      </c>
      <c r="GO37">
        <f t="shared" si="56"/>
        <v>0</v>
      </c>
      <c r="GP37">
        <f t="shared" si="57"/>
        <v>0</v>
      </c>
      <c r="GR37">
        <v>0</v>
      </c>
      <c r="GS37">
        <v>3</v>
      </c>
      <c r="GT37">
        <v>0</v>
      </c>
      <c r="GU37" t="s">
        <v>3</v>
      </c>
      <c r="GV37">
        <f t="shared" si="58"/>
        <v>0</v>
      </c>
      <c r="GW37">
        <v>1</v>
      </c>
      <c r="GX37">
        <f t="shared" si="59"/>
        <v>0</v>
      </c>
      <c r="HA37">
        <v>0</v>
      </c>
      <c r="HB37">
        <v>0</v>
      </c>
      <c r="HC37">
        <f t="shared" si="60"/>
        <v>0</v>
      </c>
      <c r="HE37" t="s">
        <v>3</v>
      </c>
      <c r="HF37" t="s">
        <v>3</v>
      </c>
      <c r="HM37" t="s">
        <v>3</v>
      </c>
      <c r="HN37" t="s">
        <v>61</v>
      </c>
      <c r="HO37" t="s">
        <v>62</v>
      </c>
      <c r="HP37" t="s">
        <v>59</v>
      </c>
      <c r="HQ37" t="s">
        <v>59</v>
      </c>
      <c r="IK37">
        <v>0</v>
      </c>
    </row>
    <row r="38" spans="1:245" x14ac:dyDescent="0.2">
      <c r="A38">
        <v>17</v>
      </c>
      <c r="B38">
        <v>1</v>
      </c>
      <c r="C38">
        <f>ROW(SmtRes!A16)</f>
        <v>16</v>
      </c>
      <c r="D38">
        <f>ROW(EtalonRes!A17)</f>
        <v>17</v>
      </c>
      <c r="E38" t="s">
        <v>69</v>
      </c>
      <c r="F38" t="s">
        <v>70</v>
      </c>
      <c r="G38" t="s">
        <v>71</v>
      </c>
      <c r="H38" t="s">
        <v>72</v>
      </c>
      <c r="I38">
        <v>432</v>
      </c>
      <c r="J38">
        <v>0</v>
      </c>
      <c r="K38">
        <v>432</v>
      </c>
      <c r="O38">
        <f t="shared" si="21"/>
        <v>60568.04</v>
      </c>
      <c r="P38">
        <f t="shared" si="22"/>
        <v>0</v>
      </c>
      <c r="Q38">
        <f t="shared" si="23"/>
        <v>0</v>
      </c>
      <c r="R38">
        <f t="shared" si="24"/>
        <v>0</v>
      </c>
      <c r="S38">
        <f t="shared" si="25"/>
        <v>60568.04</v>
      </c>
      <c r="T38">
        <f t="shared" si="26"/>
        <v>0</v>
      </c>
      <c r="U38">
        <f t="shared" si="27"/>
        <v>250.55999999999997</v>
      </c>
      <c r="V38">
        <f t="shared" si="28"/>
        <v>0</v>
      </c>
      <c r="W38">
        <f t="shared" si="29"/>
        <v>0</v>
      </c>
      <c r="X38">
        <f t="shared" si="30"/>
        <v>54511.24</v>
      </c>
      <c r="Y38">
        <f t="shared" si="31"/>
        <v>27861.3</v>
      </c>
      <c r="AA38">
        <v>145026783</v>
      </c>
      <c r="AB38">
        <f t="shared" si="32"/>
        <v>4.38</v>
      </c>
      <c r="AC38">
        <f t="shared" si="33"/>
        <v>0</v>
      </c>
      <c r="AD38">
        <f t="shared" si="34"/>
        <v>0</v>
      </c>
      <c r="AE38">
        <f t="shared" si="35"/>
        <v>0</v>
      </c>
      <c r="AF38">
        <f t="shared" si="36"/>
        <v>4.38</v>
      </c>
      <c r="AG38">
        <f t="shared" si="37"/>
        <v>0</v>
      </c>
      <c r="AH38">
        <f t="shared" si="38"/>
        <v>0.57999999999999996</v>
      </c>
      <c r="AI38">
        <f t="shared" si="39"/>
        <v>0</v>
      </c>
      <c r="AJ38">
        <f t="shared" si="40"/>
        <v>0</v>
      </c>
      <c r="AK38">
        <v>4.38</v>
      </c>
      <c r="AL38">
        <v>0</v>
      </c>
      <c r="AM38">
        <v>0</v>
      </c>
      <c r="AN38">
        <v>0</v>
      </c>
      <c r="AO38">
        <v>4.38</v>
      </c>
      <c r="AP38">
        <v>0</v>
      </c>
      <c r="AQ38">
        <v>0.57999999999999996</v>
      </c>
      <c r="AR38">
        <v>0</v>
      </c>
      <c r="AS38">
        <v>0</v>
      </c>
      <c r="AT38">
        <v>90</v>
      </c>
      <c r="AU38">
        <v>46</v>
      </c>
      <c r="AV38">
        <v>1</v>
      </c>
      <c r="AW38">
        <v>1</v>
      </c>
      <c r="AZ38">
        <v>1</v>
      </c>
      <c r="BA38">
        <v>32.01</v>
      </c>
      <c r="BB38">
        <v>12.44</v>
      </c>
      <c r="BC38">
        <v>8.9</v>
      </c>
      <c r="BD38" t="s">
        <v>3</v>
      </c>
      <c r="BE38" t="s">
        <v>3</v>
      </c>
      <c r="BF38" t="s">
        <v>3</v>
      </c>
      <c r="BG38" t="s">
        <v>3</v>
      </c>
      <c r="BH38">
        <v>0</v>
      </c>
      <c r="BI38">
        <v>1</v>
      </c>
      <c r="BJ38" t="s">
        <v>73</v>
      </c>
      <c r="BM38">
        <v>62001</v>
      </c>
      <c r="BN38">
        <v>0</v>
      </c>
      <c r="BO38" t="s">
        <v>3</v>
      </c>
      <c r="BP38">
        <v>0</v>
      </c>
      <c r="BQ38">
        <v>6</v>
      </c>
      <c r="BR38">
        <v>0</v>
      </c>
      <c r="BS38">
        <v>32.01</v>
      </c>
      <c r="BT38">
        <v>1</v>
      </c>
      <c r="BU38">
        <v>1</v>
      </c>
      <c r="BV38">
        <v>1</v>
      </c>
      <c r="BW38">
        <v>1</v>
      </c>
      <c r="BX38">
        <v>1</v>
      </c>
      <c r="BY38" t="s">
        <v>3</v>
      </c>
      <c r="BZ38">
        <v>90</v>
      </c>
      <c r="CA38">
        <v>46</v>
      </c>
      <c r="CB38" t="s">
        <v>3</v>
      </c>
      <c r="CE38">
        <v>0</v>
      </c>
      <c r="CF38">
        <v>0</v>
      </c>
      <c r="CG38">
        <v>0</v>
      </c>
      <c r="CM38">
        <v>0</v>
      </c>
      <c r="CN38" t="s">
        <v>3</v>
      </c>
      <c r="CO38">
        <v>0</v>
      </c>
      <c r="CP38">
        <f t="shared" si="41"/>
        <v>60568.04</v>
      </c>
      <c r="CQ38">
        <f t="shared" si="42"/>
        <v>0</v>
      </c>
      <c r="CR38">
        <f t="shared" si="43"/>
        <v>0</v>
      </c>
      <c r="CS38">
        <f t="shared" si="44"/>
        <v>0</v>
      </c>
      <c r="CT38">
        <f t="shared" si="45"/>
        <v>140.2038</v>
      </c>
      <c r="CU38">
        <f t="shared" si="46"/>
        <v>0</v>
      </c>
      <c r="CV38">
        <f t="shared" si="47"/>
        <v>0.57999999999999996</v>
      </c>
      <c r="CW38">
        <f t="shared" si="48"/>
        <v>0</v>
      </c>
      <c r="CX38">
        <f t="shared" si="49"/>
        <v>0</v>
      </c>
      <c r="CY38">
        <f t="shared" si="50"/>
        <v>54511.235999999997</v>
      </c>
      <c r="CZ38">
        <f t="shared" si="51"/>
        <v>27861.2984</v>
      </c>
      <c r="DC38" t="s">
        <v>3</v>
      </c>
      <c r="DD38" t="s">
        <v>3</v>
      </c>
      <c r="DE38" t="s">
        <v>3</v>
      </c>
      <c r="DF38" t="s">
        <v>3</v>
      </c>
      <c r="DG38" t="s">
        <v>3</v>
      </c>
      <c r="DH38" t="s">
        <v>3</v>
      </c>
      <c r="DI38" t="s">
        <v>3</v>
      </c>
      <c r="DJ38" t="s">
        <v>3</v>
      </c>
      <c r="DK38" t="s">
        <v>3</v>
      </c>
      <c r="DL38" t="s">
        <v>3</v>
      </c>
      <c r="DM38" t="s">
        <v>3</v>
      </c>
      <c r="DN38">
        <v>0</v>
      </c>
      <c r="DO38">
        <v>0</v>
      </c>
      <c r="DP38">
        <v>1</v>
      </c>
      <c r="DQ38">
        <v>1</v>
      </c>
      <c r="DU38">
        <v>1005</v>
      </c>
      <c r="DV38" t="s">
        <v>72</v>
      </c>
      <c r="DW38" t="s">
        <v>72</v>
      </c>
      <c r="DX38">
        <v>1</v>
      </c>
      <c r="DZ38" t="s">
        <v>3</v>
      </c>
      <c r="EA38" t="s">
        <v>3</v>
      </c>
      <c r="EB38" t="s">
        <v>3</v>
      </c>
      <c r="EC38" t="s">
        <v>3</v>
      </c>
      <c r="EE38">
        <v>140625162</v>
      </c>
      <c r="EF38">
        <v>6</v>
      </c>
      <c r="EG38" t="s">
        <v>23</v>
      </c>
      <c r="EH38">
        <v>96</v>
      </c>
      <c r="EI38" t="s">
        <v>74</v>
      </c>
      <c r="EJ38">
        <v>1</v>
      </c>
      <c r="EK38">
        <v>62001</v>
      </c>
      <c r="EL38" t="s">
        <v>74</v>
      </c>
      <c r="EM38" t="s">
        <v>75</v>
      </c>
      <c r="EO38" t="s">
        <v>3</v>
      </c>
      <c r="EQ38">
        <v>0</v>
      </c>
      <c r="ER38">
        <v>4.38</v>
      </c>
      <c r="ES38">
        <v>0</v>
      </c>
      <c r="ET38">
        <v>0</v>
      </c>
      <c r="EU38">
        <v>0</v>
      </c>
      <c r="EV38">
        <v>4.38</v>
      </c>
      <c r="EW38">
        <v>0.57999999999999996</v>
      </c>
      <c r="EX38">
        <v>0</v>
      </c>
      <c r="EY38">
        <v>0</v>
      </c>
      <c r="FQ38">
        <v>0</v>
      </c>
      <c r="FR38">
        <f t="shared" si="52"/>
        <v>0</v>
      </c>
      <c r="FS38">
        <v>0</v>
      </c>
      <c r="FX38">
        <v>90</v>
      </c>
      <c r="FY38">
        <v>46</v>
      </c>
      <c r="GA38" t="s">
        <v>3</v>
      </c>
      <c r="GD38">
        <v>1</v>
      </c>
      <c r="GF38">
        <v>-1813295300</v>
      </c>
      <c r="GG38">
        <v>2</v>
      </c>
      <c r="GH38">
        <v>1</v>
      </c>
      <c r="GI38">
        <v>4</v>
      </c>
      <c r="GJ38">
        <v>0</v>
      </c>
      <c r="GK38">
        <v>0</v>
      </c>
      <c r="GL38">
        <f t="shared" si="53"/>
        <v>0</v>
      </c>
      <c r="GM38">
        <f t="shared" si="54"/>
        <v>142940.57999999999</v>
      </c>
      <c r="GN38">
        <f t="shared" si="55"/>
        <v>142940.57999999999</v>
      </c>
      <c r="GO38">
        <f t="shared" si="56"/>
        <v>0</v>
      </c>
      <c r="GP38">
        <f t="shared" si="57"/>
        <v>0</v>
      </c>
      <c r="GR38">
        <v>0</v>
      </c>
      <c r="GS38">
        <v>3</v>
      </c>
      <c r="GT38">
        <v>0</v>
      </c>
      <c r="GU38" t="s">
        <v>3</v>
      </c>
      <c r="GV38">
        <f t="shared" si="58"/>
        <v>0</v>
      </c>
      <c r="GW38">
        <v>1</v>
      </c>
      <c r="GX38">
        <f t="shared" si="59"/>
        <v>0</v>
      </c>
      <c r="HA38">
        <v>0</v>
      </c>
      <c r="HB38">
        <v>0</v>
      </c>
      <c r="HC38">
        <f t="shared" si="60"/>
        <v>0</v>
      </c>
      <c r="HE38" t="s">
        <v>3</v>
      </c>
      <c r="HF38" t="s">
        <v>3</v>
      </c>
      <c r="HM38" t="s">
        <v>3</v>
      </c>
      <c r="HN38" t="s">
        <v>76</v>
      </c>
      <c r="HO38" t="s">
        <v>77</v>
      </c>
      <c r="HP38" t="s">
        <v>74</v>
      </c>
      <c r="HQ38" t="s">
        <v>74</v>
      </c>
      <c r="IK38">
        <v>0</v>
      </c>
    </row>
    <row r="39" spans="1:245" x14ac:dyDescent="0.2">
      <c r="A39">
        <v>17</v>
      </c>
      <c r="B39">
        <v>1</v>
      </c>
      <c r="C39">
        <f>ROW(SmtRes!A18)</f>
        <v>18</v>
      </c>
      <c r="D39">
        <f>ROW(EtalonRes!A19)</f>
        <v>19</v>
      </c>
      <c r="E39" t="s">
        <v>78</v>
      </c>
      <c r="F39" t="s">
        <v>79</v>
      </c>
      <c r="G39" t="s">
        <v>80</v>
      </c>
      <c r="H39" t="s">
        <v>40</v>
      </c>
      <c r="I39">
        <f>ROUND(162.44/100,9)</f>
        <v>1.6244000000000001</v>
      </c>
      <c r="J39">
        <v>0</v>
      </c>
      <c r="K39">
        <f>ROUND(162.44/100,9)</f>
        <v>1.6244000000000001</v>
      </c>
      <c r="O39">
        <f t="shared" si="21"/>
        <v>4218</v>
      </c>
      <c r="P39">
        <f t="shared" si="22"/>
        <v>0</v>
      </c>
      <c r="Q39">
        <f t="shared" si="23"/>
        <v>0</v>
      </c>
      <c r="R39">
        <f t="shared" si="24"/>
        <v>0</v>
      </c>
      <c r="S39">
        <f t="shared" si="25"/>
        <v>4218</v>
      </c>
      <c r="T39">
        <f t="shared" si="26"/>
        <v>0</v>
      </c>
      <c r="U39">
        <f t="shared" si="27"/>
        <v>16.89376</v>
      </c>
      <c r="V39">
        <f t="shared" si="28"/>
        <v>0</v>
      </c>
      <c r="W39">
        <f t="shared" si="29"/>
        <v>0</v>
      </c>
      <c r="X39">
        <f t="shared" si="30"/>
        <v>3796.2</v>
      </c>
      <c r="Y39">
        <f t="shared" si="31"/>
        <v>1898.1</v>
      </c>
      <c r="AA39">
        <v>145026783</v>
      </c>
      <c r="AB39">
        <f t="shared" si="32"/>
        <v>81.12</v>
      </c>
      <c r="AC39">
        <f t="shared" si="33"/>
        <v>0</v>
      </c>
      <c r="AD39">
        <f t="shared" si="34"/>
        <v>0</v>
      </c>
      <c r="AE39">
        <f t="shared" si="35"/>
        <v>0</v>
      </c>
      <c r="AF39">
        <f t="shared" si="36"/>
        <v>81.12</v>
      </c>
      <c r="AG39">
        <f t="shared" si="37"/>
        <v>0</v>
      </c>
      <c r="AH39">
        <f t="shared" si="38"/>
        <v>10.4</v>
      </c>
      <c r="AI39">
        <f t="shared" si="39"/>
        <v>0</v>
      </c>
      <c r="AJ39">
        <f t="shared" si="40"/>
        <v>0</v>
      </c>
      <c r="AK39">
        <v>81.12</v>
      </c>
      <c r="AL39">
        <v>0</v>
      </c>
      <c r="AM39">
        <v>0</v>
      </c>
      <c r="AN39">
        <v>0</v>
      </c>
      <c r="AO39">
        <v>81.12</v>
      </c>
      <c r="AP39">
        <v>0</v>
      </c>
      <c r="AQ39">
        <v>10.4</v>
      </c>
      <c r="AR39">
        <v>0</v>
      </c>
      <c r="AS39">
        <v>0</v>
      </c>
      <c r="AT39">
        <v>90</v>
      </c>
      <c r="AU39">
        <v>45</v>
      </c>
      <c r="AV39">
        <v>1</v>
      </c>
      <c r="AW39">
        <v>1</v>
      </c>
      <c r="AZ39">
        <v>1</v>
      </c>
      <c r="BA39">
        <v>32.01</v>
      </c>
      <c r="BB39">
        <v>12.44</v>
      </c>
      <c r="BC39">
        <v>8.9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1</v>
      </c>
      <c r="BJ39" t="s">
        <v>81</v>
      </c>
      <c r="BM39">
        <v>63001</v>
      </c>
      <c r="BN39">
        <v>0</v>
      </c>
      <c r="BO39" t="s">
        <v>3</v>
      </c>
      <c r="BP39">
        <v>0</v>
      </c>
      <c r="BQ39">
        <v>6</v>
      </c>
      <c r="BR39">
        <v>0</v>
      </c>
      <c r="BS39">
        <v>32.01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90</v>
      </c>
      <c r="CA39">
        <v>45</v>
      </c>
      <c r="CB39" t="s">
        <v>3</v>
      </c>
      <c r="CE39">
        <v>0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41"/>
        <v>4218</v>
      </c>
      <c r="CQ39">
        <f t="shared" si="42"/>
        <v>0</v>
      </c>
      <c r="CR39">
        <f t="shared" si="43"/>
        <v>0</v>
      </c>
      <c r="CS39">
        <f t="shared" si="44"/>
        <v>0</v>
      </c>
      <c r="CT39">
        <f t="shared" si="45"/>
        <v>2596.6511999999998</v>
      </c>
      <c r="CU39">
        <f t="shared" si="46"/>
        <v>0</v>
      </c>
      <c r="CV39">
        <f t="shared" si="47"/>
        <v>10.4</v>
      </c>
      <c r="CW39">
        <f t="shared" si="48"/>
        <v>0</v>
      </c>
      <c r="CX39">
        <f t="shared" si="49"/>
        <v>0</v>
      </c>
      <c r="CY39">
        <f t="shared" si="50"/>
        <v>3796.2</v>
      </c>
      <c r="CZ39">
        <f t="shared" si="51"/>
        <v>1898.1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1005</v>
      </c>
      <c r="DV39" t="s">
        <v>40</v>
      </c>
      <c r="DW39" t="s">
        <v>40</v>
      </c>
      <c r="DX39">
        <v>100</v>
      </c>
      <c r="DZ39" t="s">
        <v>3</v>
      </c>
      <c r="EA39" t="s">
        <v>3</v>
      </c>
      <c r="EB39" t="s">
        <v>3</v>
      </c>
      <c r="EC39" t="s">
        <v>3</v>
      </c>
      <c r="EE39">
        <v>140625164</v>
      </c>
      <c r="EF39">
        <v>6</v>
      </c>
      <c r="EG39" t="s">
        <v>23</v>
      </c>
      <c r="EH39">
        <v>97</v>
      </c>
      <c r="EI39" t="s">
        <v>82</v>
      </c>
      <c r="EJ39">
        <v>1</v>
      </c>
      <c r="EK39">
        <v>63001</v>
      </c>
      <c r="EL39" t="s">
        <v>83</v>
      </c>
      <c r="EM39" t="s">
        <v>84</v>
      </c>
      <c r="EO39" t="s">
        <v>3</v>
      </c>
      <c r="EQ39">
        <v>0</v>
      </c>
      <c r="ER39">
        <v>81.12</v>
      </c>
      <c r="ES39">
        <v>0</v>
      </c>
      <c r="ET39">
        <v>0</v>
      </c>
      <c r="EU39">
        <v>0</v>
      </c>
      <c r="EV39">
        <v>81.12</v>
      </c>
      <c r="EW39">
        <v>10.4</v>
      </c>
      <c r="EX39">
        <v>0</v>
      </c>
      <c r="EY39">
        <v>0</v>
      </c>
      <c r="FQ39">
        <v>0</v>
      </c>
      <c r="FR39">
        <f t="shared" si="52"/>
        <v>0</v>
      </c>
      <c r="FS39">
        <v>0</v>
      </c>
      <c r="FX39">
        <v>90</v>
      </c>
      <c r="FY39">
        <v>45</v>
      </c>
      <c r="GA39" t="s">
        <v>3</v>
      </c>
      <c r="GD39">
        <v>1</v>
      </c>
      <c r="GF39">
        <v>-94644422</v>
      </c>
      <c r="GG39">
        <v>2</v>
      </c>
      <c r="GH39">
        <v>1</v>
      </c>
      <c r="GI39">
        <v>4</v>
      </c>
      <c r="GJ39">
        <v>0</v>
      </c>
      <c r="GK39">
        <v>0</v>
      </c>
      <c r="GL39">
        <f t="shared" si="53"/>
        <v>0</v>
      </c>
      <c r="GM39">
        <f t="shared" si="54"/>
        <v>9912.2999999999993</v>
      </c>
      <c r="GN39">
        <f t="shared" si="55"/>
        <v>9912.2999999999993</v>
      </c>
      <c r="GO39">
        <f t="shared" si="56"/>
        <v>0</v>
      </c>
      <c r="GP39">
        <f t="shared" si="57"/>
        <v>0</v>
      </c>
      <c r="GR39">
        <v>0</v>
      </c>
      <c r="GS39">
        <v>3</v>
      </c>
      <c r="GT39">
        <v>0</v>
      </c>
      <c r="GU39" t="s">
        <v>3</v>
      </c>
      <c r="GV39">
        <f t="shared" si="58"/>
        <v>0</v>
      </c>
      <c r="GW39">
        <v>1</v>
      </c>
      <c r="GX39">
        <f t="shared" si="59"/>
        <v>0</v>
      </c>
      <c r="HA39">
        <v>0</v>
      </c>
      <c r="HB39">
        <v>0</v>
      </c>
      <c r="HC39">
        <f t="shared" si="60"/>
        <v>0</v>
      </c>
      <c r="HE39" t="s">
        <v>3</v>
      </c>
      <c r="HF39" t="s">
        <v>3</v>
      </c>
      <c r="HM39" t="s">
        <v>3</v>
      </c>
      <c r="HN39" t="s">
        <v>85</v>
      </c>
      <c r="HO39" t="s">
        <v>86</v>
      </c>
      <c r="HP39" t="s">
        <v>83</v>
      </c>
      <c r="HQ39" t="s">
        <v>83</v>
      </c>
      <c r="IK39">
        <v>0</v>
      </c>
    </row>
    <row r="40" spans="1:245" x14ac:dyDescent="0.2">
      <c r="A40">
        <v>18</v>
      </c>
      <c r="B40">
        <v>1</v>
      </c>
      <c r="C40">
        <v>18</v>
      </c>
      <c r="E40" t="s">
        <v>87</v>
      </c>
      <c r="F40" t="s">
        <v>47</v>
      </c>
      <c r="G40" t="s">
        <v>48</v>
      </c>
      <c r="H40" t="s">
        <v>49</v>
      </c>
      <c r="I40">
        <f>I39*J40</f>
        <v>4.8731999999999998E-2</v>
      </c>
      <c r="J40">
        <v>0.03</v>
      </c>
      <c r="K40">
        <v>0.03</v>
      </c>
      <c r="O40">
        <f t="shared" si="21"/>
        <v>0</v>
      </c>
      <c r="P40">
        <f t="shared" si="22"/>
        <v>0</v>
      </c>
      <c r="Q40">
        <f t="shared" si="23"/>
        <v>0</v>
      </c>
      <c r="R40">
        <f t="shared" si="24"/>
        <v>0</v>
      </c>
      <c r="S40">
        <f t="shared" si="25"/>
        <v>0</v>
      </c>
      <c r="T40">
        <f t="shared" si="26"/>
        <v>0</v>
      </c>
      <c r="U40">
        <f t="shared" si="27"/>
        <v>0</v>
      </c>
      <c r="V40">
        <f t="shared" si="28"/>
        <v>0</v>
      </c>
      <c r="W40">
        <f t="shared" si="29"/>
        <v>0</v>
      </c>
      <c r="X40">
        <f t="shared" si="30"/>
        <v>0</v>
      </c>
      <c r="Y40">
        <f t="shared" si="31"/>
        <v>0</v>
      </c>
      <c r="AA40">
        <v>145026783</v>
      </c>
      <c r="AB40">
        <f t="shared" si="32"/>
        <v>0</v>
      </c>
      <c r="AC40">
        <f t="shared" si="33"/>
        <v>0</v>
      </c>
      <c r="AD40">
        <f t="shared" si="34"/>
        <v>0</v>
      </c>
      <c r="AE40">
        <f t="shared" si="35"/>
        <v>0</v>
      </c>
      <c r="AF40">
        <f t="shared" si="36"/>
        <v>0</v>
      </c>
      <c r="AG40">
        <f t="shared" si="37"/>
        <v>0</v>
      </c>
      <c r="AH40">
        <f t="shared" si="38"/>
        <v>0</v>
      </c>
      <c r="AI40">
        <f t="shared" si="39"/>
        <v>0</v>
      </c>
      <c r="AJ40">
        <f t="shared" si="40"/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90</v>
      </c>
      <c r="AU40">
        <v>45</v>
      </c>
      <c r="AV40">
        <v>1</v>
      </c>
      <c r="AW40">
        <v>1</v>
      </c>
      <c r="AZ40">
        <v>1</v>
      </c>
      <c r="BA40">
        <v>1</v>
      </c>
      <c r="BB40">
        <v>1</v>
      </c>
      <c r="BC40">
        <v>8.9</v>
      </c>
      <c r="BD40" t="s">
        <v>3</v>
      </c>
      <c r="BE40" t="s">
        <v>3</v>
      </c>
      <c r="BF40" t="s">
        <v>3</v>
      </c>
      <c r="BG40" t="s">
        <v>3</v>
      </c>
      <c r="BH40">
        <v>3</v>
      </c>
      <c r="BI40">
        <v>1</v>
      </c>
      <c r="BJ40" t="s">
        <v>3</v>
      </c>
      <c r="BM40">
        <v>63001</v>
      </c>
      <c r="BN40">
        <v>0</v>
      </c>
      <c r="BO40" t="s">
        <v>3</v>
      </c>
      <c r="BP40">
        <v>0</v>
      </c>
      <c r="BQ40">
        <v>6</v>
      </c>
      <c r="BR40">
        <v>0</v>
      </c>
      <c r="BS40">
        <v>1</v>
      </c>
      <c r="BT40">
        <v>1</v>
      </c>
      <c r="BU40">
        <v>1</v>
      </c>
      <c r="BV40">
        <v>1</v>
      </c>
      <c r="BW40">
        <v>1</v>
      </c>
      <c r="BX40">
        <v>1</v>
      </c>
      <c r="BY40" t="s">
        <v>3</v>
      </c>
      <c r="BZ40">
        <v>90</v>
      </c>
      <c r="CA40">
        <v>45</v>
      </c>
      <c r="CB40" t="s">
        <v>3</v>
      </c>
      <c r="CE40">
        <v>0</v>
      </c>
      <c r="CF40">
        <v>0</v>
      </c>
      <c r="CG40">
        <v>0</v>
      </c>
      <c r="CM40">
        <v>0</v>
      </c>
      <c r="CN40" t="s">
        <v>3</v>
      </c>
      <c r="CO40">
        <v>0</v>
      </c>
      <c r="CP40">
        <f t="shared" si="41"/>
        <v>0</v>
      </c>
      <c r="CQ40">
        <f t="shared" si="42"/>
        <v>0</v>
      </c>
      <c r="CR40">
        <f t="shared" si="43"/>
        <v>0</v>
      </c>
      <c r="CS40">
        <f t="shared" si="44"/>
        <v>0</v>
      </c>
      <c r="CT40">
        <f t="shared" si="45"/>
        <v>0</v>
      </c>
      <c r="CU40">
        <f t="shared" si="46"/>
        <v>0</v>
      </c>
      <c r="CV40">
        <f t="shared" si="47"/>
        <v>0</v>
      </c>
      <c r="CW40">
        <f t="shared" si="48"/>
        <v>0</v>
      </c>
      <c r="CX40">
        <f t="shared" si="49"/>
        <v>0</v>
      </c>
      <c r="CY40">
        <f t="shared" si="50"/>
        <v>0</v>
      </c>
      <c r="CZ40">
        <f t="shared" si="51"/>
        <v>0</v>
      </c>
      <c r="DC40" t="s">
        <v>3</v>
      </c>
      <c r="DD40" t="s">
        <v>3</v>
      </c>
      <c r="DE40" t="s">
        <v>3</v>
      </c>
      <c r="DF40" t="s">
        <v>3</v>
      </c>
      <c r="DG40" t="s">
        <v>3</v>
      </c>
      <c r="DH40" t="s">
        <v>3</v>
      </c>
      <c r="DI40" t="s">
        <v>3</v>
      </c>
      <c r="DJ40" t="s">
        <v>3</v>
      </c>
      <c r="DK40" t="s">
        <v>3</v>
      </c>
      <c r="DL40" t="s">
        <v>3</v>
      </c>
      <c r="DM40" t="s">
        <v>3</v>
      </c>
      <c r="DN40">
        <v>0</v>
      </c>
      <c r="DO40">
        <v>0</v>
      </c>
      <c r="DP40">
        <v>1</v>
      </c>
      <c r="DQ40">
        <v>1</v>
      </c>
      <c r="DU40">
        <v>1009</v>
      </c>
      <c r="DV40" t="s">
        <v>49</v>
      </c>
      <c r="DW40" t="s">
        <v>49</v>
      </c>
      <c r="DX40">
        <v>1000</v>
      </c>
      <c r="DZ40" t="s">
        <v>3</v>
      </c>
      <c r="EA40" t="s">
        <v>3</v>
      </c>
      <c r="EB40" t="s">
        <v>3</v>
      </c>
      <c r="EC40" t="s">
        <v>3</v>
      </c>
      <c r="EE40">
        <v>140625164</v>
      </c>
      <c r="EF40">
        <v>6</v>
      </c>
      <c r="EG40" t="s">
        <v>23</v>
      </c>
      <c r="EH40">
        <v>97</v>
      </c>
      <c r="EI40" t="s">
        <v>82</v>
      </c>
      <c r="EJ40">
        <v>1</v>
      </c>
      <c r="EK40">
        <v>63001</v>
      </c>
      <c r="EL40" t="s">
        <v>83</v>
      </c>
      <c r="EM40" t="s">
        <v>84</v>
      </c>
      <c r="EO40" t="s">
        <v>3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FQ40">
        <v>0</v>
      </c>
      <c r="FR40">
        <f t="shared" si="52"/>
        <v>0</v>
      </c>
      <c r="FS40">
        <v>0</v>
      </c>
      <c r="FX40">
        <v>90</v>
      </c>
      <c r="FY40">
        <v>45</v>
      </c>
      <c r="GA40" t="s">
        <v>3</v>
      </c>
      <c r="GD40">
        <v>1</v>
      </c>
      <c r="GF40">
        <v>2102561428</v>
      </c>
      <c r="GG40">
        <v>2</v>
      </c>
      <c r="GH40">
        <v>1</v>
      </c>
      <c r="GI40">
        <v>4</v>
      </c>
      <c r="GJ40">
        <v>0</v>
      </c>
      <c r="GK40">
        <v>0</v>
      </c>
      <c r="GL40">
        <f t="shared" si="53"/>
        <v>0</v>
      </c>
      <c r="GM40">
        <f t="shared" si="54"/>
        <v>0</v>
      </c>
      <c r="GN40">
        <f t="shared" si="55"/>
        <v>0</v>
      </c>
      <c r="GO40">
        <f t="shared" si="56"/>
        <v>0</v>
      </c>
      <c r="GP40">
        <f t="shared" si="57"/>
        <v>0</v>
      </c>
      <c r="GR40">
        <v>0</v>
      </c>
      <c r="GS40">
        <v>3</v>
      </c>
      <c r="GT40">
        <v>0</v>
      </c>
      <c r="GU40" t="s">
        <v>3</v>
      </c>
      <c r="GV40">
        <f t="shared" si="58"/>
        <v>0</v>
      </c>
      <c r="GW40">
        <v>1</v>
      </c>
      <c r="GX40">
        <f t="shared" si="59"/>
        <v>0</v>
      </c>
      <c r="HA40">
        <v>0</v>
      </c>
      <c r="HB40">
        <v>0</v>
      </c>
      <c r="HC40">
        <f t="shared" si="60"/>
        <v>0</v>
      </c>
      <c r="HE40" t="s">
        <v>3</v>
      </c>
      <c r="HF40" t="s">
        <v>3</v>
      </c>
      <c r="HM40" t="s">
        <v>3</v>
      </c>
      <c r="HN40" t="s">
        <v>85</v>
      </c>
      <c r="HO40" t="s">
        <v>86</v>
      </c>
      <c r="HP40" t="s">
        <v>83</v>
      </c>
      <c r="HQ40" t="s">
        <v>83</v>
      </c>
      <c r="IK40">
        <v>0</v>
      </c>
    </row>
    <row r="41" spans="1:245" x14ac:dyDescent="0.2">
      <c r="A41">
        <v>17</v>
      </c>
      <c r="B41">
        <v>1</v>
      </c>
      <c r="C41">
        <f>ROW(SmtRes!A34)</f>
        <v>34</v>
      </c>
      <c r="D41">
        <f>ROW(EtalonRes!A36)</f>
        <v>36</v>
      </c>
      <c r="E41" t="s">
        <v>88</v>
      </c>
      <c r="F41" t="s">
        <v>89</v>
      </c>
      <c r="G41" t="s">
        <v>90</v>
      </c>
      <c r="H41" t="s">
        <v>40</v>
      </c>
      <c r="I41">
        <f>ROUND(175.66/100,9)</f>
        <v>1.7565999999999999</v>
      </c>
      <c r="J41">
        <v>0</v>
      </c>
      <c r="K41">
        <f>ROUND(175.66/100,9)</f>
        <v>1.7565999999999999</v>
      </c>
      <c r="O41">
        <f t="shared" si="21"/>
        <v>32650.48</v>
      </c>
      <c r="P41">
        <f t="shared" si="22"/>
        <v>0</v>
      </c>
      <c r="Q41">
        <f t="shared" si="23"/>
        <v>59.72</v>
      </c>
      <c r="R41">
        <f t="shared" si="24"/>
        <v>63.54</v>
      </c>
      <c r="S41">
        <f t="shared" si="25"/>
        <v>32590.76</v>
      </c>
      <c r="T41">
        <f t="shared" si="26"/>
        <v>0</v>
      </c>
      <c r="U41">
        <f t="shared" si="27"/>
        <v>113.50446559999999</v>
      </c>
      <c r="V41">
        <f t="shared" si="28"/>
        <v>0.19673920000000003</v>
      </c>
      <c r="W41">
        <f t="shared" si="29"/>
        <v>0</v>
      </c>
      <c r="X41">
        <f t="shared" si="30"/>
        <v>35266.639999999999</v>
      </c>
      <c r="Y41">
        <f t="shared" si="31"/>
        <v>17959.87</v>
      </c>
      <c r="AA41">
        <v>145026783</v>
      </c>
      <c r="AB41">
        <f t="shared" si="32"/>
        <v>582.34</v>
      </c>
      <c r="AC41">
        <f>ROUND(((ES41*0)),2)</f>
        <v>0</v>
      </c>
      <c r="AD41">
        <f>ROUND(((((ET41*0.8))-((EU41*0.8)))+AE41),2)</f>
        <v>2.73</v>
      </c>
      <c r="AE41">
        <f>ROUND(((EU41*0.8)),2)</f>
        <v>1.1299999999999999</v>
      </c>
      <c r="AF41">
        <f>ROUND(((EV41*0.8)),2)</f>
        <v>579.61</v>
      </c>
      <c r="AG41">
        <f t="shared" si="37"/>
        <v>0</v>
      </c>
      <c r="AH41">
        <f>((EW41*0.8))</f>
        <v>64.616</v>
      </c>
      <c r="AI41">
        <f>((EX41*0.8))</f>
        <v>0.11200000000000002</v>
      </c>
      <c r="AJ41">
        <f t="shared" si="40"/>
        <v>0</v>
      </c>
      <c r="AK41">
        <v>2525.4499999999998</v>
      </c>
      <c r="AL41">
        <v>1797.53</v>
      </c>
      <c r="AM41">
        <v>3.41</v>
      </c>
      <c r="AN41">
        <v>1.41</v>
      </c>
      <c r="AO41">
        <v>724.51</v>
      </c>
      <c r="AP41">
        <v>0</v>
      </c>
      <c r="AQ41">
        <v>80.77</v>
      </c>
      <c r="AR41">
        <v>0.14000000000000001</v>
      </c>
      <c r="AS41">
        <v>0</v>
      </c>
      <c r="AT41">
        <v>108</v>
      </c>
      <c r="AU41">
        <v>55</v>
      </c>
      <c r="AV41">
        <v>1</v>
      </c>
      <c r="AW41">
        <v>1</v>
      </c>
      <c r="AZ41">
        <v>1</v>
      </c>
      <c r="BA41">
        <v>32.01</v>
      </c>
      <c r="BB41">
        <v>12.44</v>
      </c>
      <c r="BC41">
        <v>8.9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1</v>
      </c>
      <c r="BJ41" t="s">
        <v>91</v>
      </c>
      <c r="BM41">
        <v>10001</v>
      </c>
      <c r="BN41">
        <v>0</v>
      </c>
      <c r="BO41" t="s">
        <v>3</v>
      </c>
      <c r="BP41">
        <v>0</v>
      </c>
      <c r="BQ41">
        <v>2</v>
      </c>
      <c r="BR41">
        <v>0</v>
      </c>
      <c r="BS41">
        <v>32.01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108</v>
      </c>
      <c r="CA41">
        <v>55</v>
      </c>
      <c r="CB41" t="s">
        <v>3</v>
      </c>
      <c r="CE41">
        <v>0</v>
      </c>
      <c r="CF41">
        <v>0</v>
      </c>
      <c r="CG41">
        <v>0</v>
      </c>
      <c r="CM41">
        <v>0</v>
      </c>
      <c r="CN41" t="s">
        <v>92</v>
      </c>
      <c r="CO41">
        <v>0</v>
      </c>
      <c r="CP41">
        <f t="shared" si="41"/>
        <v>32650.48</v>
      </c>
      <c r="CQ41">
        <f t="shared" si="42"/>
        <v>0</v>
      </c>
      <c r="CR41">
        <f>((((ET41*0.8))*BB41-((EU41*0.8))*BS41)+AE41*BS41)</f>
        <v>34.000340000000001</v>
      </c>
      <c r="CS41">
        <f t="shared" si="44"/>
        <v>36.171299999999995</v>
      </c>
      <c r="CT41">
        <f t="shared" si="45"/>
        <v>18553.3161</v>
      </c>
      <c r="CU41">
        <f t="shared" si="46"/>
        <v>0</v>
      </c>
      <c r="CV41">
        <f t="shared" si="47"/>
        <v>64.616</v>
      </c>
      <c r="CW41">
        <f t="shared" si="48"/>
        <v>0.11200000000000002</v>
      </c>
      <c r="CX41">
        <f t="shared" si="49"/>
        <v>0</v>
      </c>
      <c r="CY41">
        <f t="shared" si="50"/>
        <v>35266.644</v>
      </c>
      <c r="CZ41">
        <f t="shared" si="51"/>
        <v>17959.865000000002</v>
      </c>
      <c r="DC41" t="s">
        <v>3</v>
      </c>
      <c r="DD41" t="s">
        <v>93</v>
      </c>
      <c r="DE41" t="s">
        <v>94</v>
      </c>
      <c r="DF41" t="s">
        <v>94</v>
      </c>
      <c r="DG41" t="s">
        <v>94</v>
      </c>
      <c r="DH41" t="s">
        <v>3</v>
      </c>
      <c r="DI41" t="s">
        <v>94</v>
      </c>
      <c r="DJ41" t="s">
        <v>94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1005</v>
      </c>
      <c r="DV41" t="s">
        <v>40</v>
      </c>
      <c r="DW41" t="s">
        <v>40</v>
      </c>
      <c r="DX41">
        <v>100</v>
      </c>
      <c r="DZ41" t="s">
        <v>3</v>
      </c>
      <c r="EA41" t="s">
        <v>3</v>
      </c>
      <c r="EB41" t="s">
        <v>3</v>
      </c>
      <c r="EC41" t="s">
        <v>3</v>
      </c>
      <c r="EE41">
        <v>140625028</v>
      </c>
      <c r="EF41">
        <v>2</v>
      </c>
      <c r="EG41" t="s">
        <v>95</v>
      </c>
      <c r="EH41">
        <v>10</v>
      </c>
      <c r="EI41" t="s">
        <v>96</v>
      </c>
      <c r="EJ41">
        <v>1</v>
      </c>
      <c r="EK41">
        <v>10001</v>
      </c>
      <c r="EL41" t="s">
        <v>96</v>
      </c>
      <c r="EM41" t="s">
        <v>97</v>
      </c>
      <c r="EO41" t="s">
        <v>98</v>
      </c>
      <c r="EQ41">
        <v>0</v>
      </c>
      <c r="ER41">
        <v>2525.4499999999998</v>
      </c>
      <c r="ES41">
        <v>1797.53</v>
      </c>
      <c r="ET41">
        <v>3.41</v>
      </c>
      <c r="EU41">
        <v>1.41</v>
      </c>
      <c r="EV41">
        <v>724.51</v>
      </c>
      <c r="EW41">
        <v>80.77</v>
      </c>
      <c r="EX41">
        <v>0.14000000000000001</v>
      </c>
      <c r="EY41">
        <v>0</v>
      </c>
      <c r="FQ41">
        <v>0</v>
      </c>
      <c r="FR41">
        <f t="shared" si="52"/>
        <v>0</v>
      </c>
      <c r="FS41">
        <v>0</v>
      </c>
      <c r="FX41">
        <v>108</v>
      </c>
      <c r="FY41">
        <v>55</v>
      </c>
      <c r="GA41" t="s">
        <v>3</v>
      </c>
      <c r="GD41">
        <v>1</v>
      </c>
      <c r="GF41">
        <v>-998475856</v>
      </c>
      <c r="GG41">
        <v>2</v>
      </c>
      <c r="GH41">
        <v>1</v>
      </c>
      <c r="GI41">
        <v>4</v>
      </c>
      <c r="GJ41">
        <v>0</v>
      </c>
      <c r="GK41">
        <v>0</v>
      </c>
      <c r="GL41">
        <f t="shared" si="53"/>
        <v>0</v>
      </c>
      <c r="GM41">
        <f t="shared" si="54"/>
        <v>85876.99</v>
      </c>
      <c r="GN41">
        <f t="shared" si="55"/>
        <v>85876.99</v>
      </c>
      <c r="GO41">
        <f t="shared" si="56"/>
        <v>0</v>
      </c>
      <c r="GP41">
        <f t="shared" si="57"/>
        <v>0</v>
      </c>
      <c r="GR41">
        <v>0</v>
      </c>
      <c r="GS41">
        <v>3</v>
      </c>
      <c r="GT41">
        <v>0</v>
      </c>
      <c r="GU41" t="s">
        <v>3</v>
      </c>
      <c r="GV41">
        <f t="shared" si="58"/>
        <v>0</v>
      </c>
      <c r="GW41">
        <v>1</v>
      </c>
      <c r="GX41">
        <f t="shared" si="59"/>
        <v>0</v>
      </c>
      <c r="HA41">
        <v>0</v>
      </c>
      <c r="HB41">
        <v>0</v>
      </c>
      <c r="HC41">
        <f t="shared" si="60"/>
        <v>0</v>
      </c>
      <c r="HE41" t="s">
        <v>3</v>
      </c>
      <c r="HF41" t="s">
        <v>3</v>
      </c>
      <c r="HM41" t="s">
        <v>3</v>
      </c>
      <c r="HN41" t="s">
        <v>99</v>
      </c>
      <c r="HO41" t="s">
        <v>100</v>
      </c>
      <c r="HP41" t="s">
        <v>96</v>
      </c>
      <c r="HQ41" t="s">
        <v>96</v>
      </c>
      <c r="IK41">
        <v>0</v>
      </c>
    </row>
    <row r="42" spans="1:245" x14ac:dyDescent="0.2">
      <c r="A42">
        <v>17</v>
      </c>
      <c r="B42">
        <v>1</v>
      </c>
      <c r="C42">
        <f>ROW(SmtRes!A48)</f>
        <v>48</v>
      </c>
      <c r="D42">
        <f>ROW(EtalonRes!A53)</f>
        <v>53</v>
      </c>
      <c r="E42" t="s">
        <v>101</v>
      </c>
      <c r="F42" t="s">
        <v>102</v>
      </c>
      <c r="G42" t="s">
        <v>103</v>
      </c>
      <c r="H42" t="s">
        <v>40</v>
      </c>
      <c r="I42">
        <f>ROUND(3.56/100,9)</f>
        <v>3.56E-2</v>
      </c>
      <c r="J42">
        <v>0</v>
      </c>
      <c r="K42">
        <f>ROUND(3.56/100,9)</f>
        <v>3.56E-2</v>
      </c>
      <c r="O42">
        <f t="shared" si="21"/>
        <v>418.92</v>
      </c>
      <c r="P42">
        <f t="shared" si="22"/>
        <v>0</v>
      </c>
      <c r="Q42">
        <f t="shared" si="23"/>
        <v>2.56</v>
      </c>
      <c r="R42">
        <f t="shared" si="24"/>
        <v>1.88</v>
      </c>
      <c r="S42">
        <f t="shared" si="25"/>
        <v>416.36</v>
      </c>
      <c r="T42">
        <f t="shared" si="26"/>
        <v>0</v>
      </c>
      <c r="U42">
        <f t="shared" si="27"/>
        <v>1.4168800000000001</v>
      </c>
      <c r="V42">
        <f t="shared" si="28"/>
        <v>4.5567999999999997E-3</v>
      </c>
      <c r="W42">
        <f t="shared" si="29"/>
        <v>0</v>
      </c>
      <c r="X42">
        <f t="shared" si="30"/>
        <v>418.24</v>
      </c>
      <c r="Y42">
        <f t="shared" si="31"/>
        <v>204.94</v>
      </c>
      <c r="AA42">
        <v>145026783</v>
      </c>
      <c r="AB42">
        <f t="shared" si="32"/>
        <v>371.15</v>
      </c>
      <c r="AC42">
        <f>ROUND(((ES42*0)),2)</f>
        <v>0</v>
      </c>
      <c r="AD42">
        <f>ROUND(((((ET42*0.8))-((EU42*0.8)))+AE42),2)</f>
        <v>5.78</v>
      </c>
      <c r="AE42">
        <f>ROUND(((EU42*0.8)),2)</f>
        <v>1.65</v>
      </c>
      <c r="AF42">
        <f>ROUND(((EV42*0.8)),2)</f>
        <v>365.37</v>
      </c>
      <c r="AG42">
        <f t="shared" si="37"/>
        <v>0</v>
      </c>
      <c r="AH42">
        <f>((EW42*0.8))</f>
        <v>39.800000000000004</v>
      </c>
      <c r="AI42">
        <f>((EX42*0.8))</f>
        <v>0.128</v>
      </c>
      <c r="AJ42">
        <f t="shared" si="40"/>
        <v>0</v>
      </c>
      <c r="AK42">
        <v>1245.82</v>
      </c>
      <c r="AL42">
        <v>781.89</v>
      </c>
      <c r="AM42">
        <v>7.22</v>
      </c>
      <c r="AN42">
        <v>2.06</v>
      </c>
      <c r="AO42">
        <v>456.71</v>
      </c>
      <c r="AP42">
        <v>0</v>
      </c>
      <c r="AQ42">
        <v>49.75</v>
      </c>
      <c r="AR42">
        <v>0.16</v>
      </c>
      <c r="AS42">
        <v>0</v>
      </c>
      <c r="AT42">
        <v>100</v>
      </c>
      <c r="AU42">
        <v>49</v>
      </c>
      <c r="AV42">
        <v>1</v>
      </c>
      <c r="AW42">
        <v>1</v>
      </c>
      <c r="AZ42">
        <v>1</v>
      </c>
      <c r="BA42">
        <v>32.01</v>
      </c>
      <c r="BB42">
        <v>12.44</v>
      </c>
      <c r="BC42">
        <v>8.9</v>
      </c>
      <c r="BD42" t="s">
        <v>3</v>
      </c>
      <c r="BE42" t="s">
        <v>3</v>
      </c>
      <c r="BF42" t="s">
        <v>3</v>
      </c>
      <c r="BG42" t="s">
        <v>3</v>
      </c>
      <c r="BH42">
        <v>0</v>
      </c>
      <c r="BI42">
        <v>1</v>
      </c>
      <c r="BJ42" t="s">
        <v>104</v>
      </c>
      <c r="BM42">
        <v>15001</v>
      </c>
      <c r="BN42">
        <v>0</v>
      </c>
      <c r="BO42" t="s">
        <v>3</v>
      </c>
      <c r="BP42">
        <v>0</v>
      </c>
      <c r="BQ42">
        <v>2</v>
      </c>
      <c r="BR42">
        <v>0</v>
      </c>
      <c r="BS42">
        <v>32.01</v>
      </c>
      <c r="BT42">
        <v>1</v>
      </c>
      <c r="BU42">
        <v>1</v>
      </c>
      <c r="BV42">
        <v>1</v>
      </c>
      <c r="BW42">
        <v>1</v>
      </c>
      <c r="BX42">
        <v>1</v>
      </c>
      <c r="BY42" t="s">
        <v>3</v>
      </c>
      <c r="BZ42">
        <v>100</v>
      </c>
      <c r="CA42">
        <v>49</v>
      </c>
      <c r="CB42" t="s">
        <v>3</v>
      </c>
      <c r="CE42">
        <v>0</v>
      </c>
      <c r="CF42">
        <v>0</v>
      </c>
      <c r="CG42">
        <v>0</v>
      </c>
      <c r="CM42">
        <v>0</v>
      </c>
      <c r="CN42" t="s">
        <v>92</v>
      </c>
      <c r="CO42">
        <v>0</v>
      </c>
      <c r="CP42">
        <f t="shared" si="41"/>
        <v>418.92</v>
      </c>
      <c r="CQ42">
        <f t="shared" si="42"/>
        <v>0</v>
      </c>
      <c r="CR42">
        <f>((((ET42*0.8))*BB42-((EU42*0.8))*BS42)+AE42*BS42)</f>
        <v>71.917459999999977</v>
      </c>
      <c r="CS42">
        <f t="shared" si="44"/>
        <v>52.816499999999991</v>
      </c>
      <c r="CT42">
        <f t="shared" si="45"/>
        <v>11695.493699999999</v>
      </c>
      <c r="CU42">
        <f t="shared" si="46"/>
        <v>0</v>
      </c>
      <c r="CV42">
        <f t="shared" si="47"/>
        <v>39.800000000000004</v>
      </c>
      <c r="CW42">
        <f t="shared" si="48"/>
        <v>0.128</v>
      </c>
      <c r="CX42">
        <f t="shared" si="49"/>
        <v>0</v>
      </c>
      <c r="CY42">
        <f t="shared" si="50"/>
        <v>418.24</v>
      </c>
      <c r="CZ42">
        <f t="shared" si="51"/>
        <v>204.93760000000003</v>
      </c>
      <c r="DC42" t="s">
        <v>3</v>
      </c>
      <c r="DD42" t="s">
        <v>93</v>
      </c>
      <c r="DE42" t="s">
        <v>94</v>
      </c>
      <c r="DF42" t="s">
        <v>94</v>
      </c>
      <c r="DG42" t="s">
        <v>94</v>
      </c>
      <c r="DH42" t="s">
        <v>3</v>
      </c>
      <c r="DI42" t="s">
        <v>94</v>
      </c>
      <c r="DJ42" t="s">
        <v>94</v>
      </c>
      <c r="DK42" t="s">
        <v>3</v>
      </c>
      <c r="DL42" t="s">
        <v>3</v>
      </c>
      <c r="DM42" t="s">
        <v>3</v>
      </c>
      <c r="DN42">
        <v>0</v>
      </c>
      <c r="DO42">
        <v>0</v>
      </c>
      <c r="DP42">
        <v>1</v>
      </c>
      <c r="DQ42">
        <v>1</v>
      </c>
      <c r="DU42">
        <v>1005</v>
      </c>
      <c r="DV42" t="s">
        <v>40</v>
      </c>
      <c r="DW42" t="s">
        <v>40</v>
      </c>
      <c r="DX42">
        <v>100</v>
      </c>
      <c r="DZ42" t="s">
        <v>3</v>
      </c>
      <c r="EA42" t="s">
        <v>3</v>
      </c>
      <c r="EB42" t="s">
        <v>3</v>
      </c>
      <c r="EC42" t="s">
        <v>3</v>
      </c>
      <c r="EE42">
        <v>140625061</v>
      </c>
      <c r="EF42">
        <v>2</v>
      </c>
      <c r="EG42" t="s">
        <v>95</v>
      </c>
      <c r="EH42">
        <v>15</v>
      </c>
      <c r="EI42" t="s">
        <v>105</v>
      </c>
      <c r="EJ42">
        <v>1</v>
      </c>
      <c r="EK42">
        <v>15001</v>
      </c>
      <c r="EL42" t="s">
        <v>105</v>
      </c>
      <c r="EM42" t="s">
        <v>106</v>
      </c>
      <c r="EO42" t="s">
        <v>98</v>
      </c>
      <c r="EQ42">
        <v>0</v>
      </c>
      <c r="ER42">
        <v>1245.82</v>
      </c>
      <c r="ES42">
        <v>781.89</v>
      </c>
      <c r="ET42">
        <v>7.22</v>
      </c>
      <c r="EU42">
        <v>2.06</v>
      </c>
      <c r="EV42">
        <v>456.71</v>
      </c>
      <c r="EW42">
        <v>49.75</v>
      </c>
      <c r="EX42">
        <v>0.16</v>
      </c>
      <c r="EY42">
        <v>0</v>
      </c>
      <c r="FQ42">
        <v>0</v>
      </c>
      <c r="FR42">
        <f t="shared" si="52"/>
        <v>0</v>
      </c>
      <c r="FS42">
        <v>0</v>
      </c>
      <c r="FX42">
        <v>100</v>
      </c>
      <c r="FY42">
        <v>49</v>
      </c>
      <c r="GA42" t="s">
        <v>3</v>
      </c>
      <c r="GD42">
        <v>1</v>
      </c>
      <c r="GF42">
        <v>20952651</v>
      </c>
      <c r="GG42">
        <v>2</v>
      </c>
      <c r="GH42">
        <v>1</v>
      </c>
      <c r="GI42">
        <v>4</v>
      </c>
      <c r="GJ42">
        <v>0</v>
      </c>
      <c r="GK42">
        <v>0</v>
      </c>
      <c r="GL42">
        <f t="shared" si="53"/>
        <v>0</v>
      </c>
      <c r="GM42">
        <f t="shared" si="54"/>
        <v>1042.0999999999999</v>
      </c>
      <c r="GN42">
        <f t="shared" si="55"/>
        <v>1042.0999999999999</v>
      </c>
      <c r="GO42">
        <f t="shared" si="56"/>
        <v>0</v>
      </c>
      <c r="GP42">
        <f t="shared" si="57"/>
        <v>0</v>
      </c>
      <c r="GR42">
        <v>0</v>
      </c>
      <c r="GS42">
        <v>3</v>
      </c>
      <c r="GT42">
        <v>0</v>
      </c>
      <c r="GU42" t="s">
        <v>3</v>
      </c>
      <c r="GV42">
        <f t="shared" si="58"/>
        <v>0</v>
      </c>
      <c r="GW42">
        <v>1</v>
      </c>
      <c r="GX42">
        <f t="shared" si="59"/>
        <v>0</v>
      </c>
      <c r="HA42">
        <v>0</v>
      </c>
      <c r="HB42">
        <v>0</v>
      </c>
      <c r="HC42">
        <f t="shared" si="60"/>
        <v>0</v>
      </c>
      <c r="HE42" t="s">
        <v>3</v>
      </c>
      <c r="HF42" t="s">
        <v>3</v>
      </c>
      <c r="HM42" t="s">
        <v>3</v>
      </c>
      <c r="HN42" t="s">
        <v>107</v>
      </c>
      <c r="HO42" t="s">
        <v>108</v>
      </c>
      <c r="HP42" t="s">
        <v>105</v>
      </c>
      <c r="HQ42" t="s">
        <v>105</v>
      </c>
      <c r="IK42">
        <v>0</v>
      </c>
    </row>
    <row r="43" spans="1:245" x14ac:dyDescent="0.2">
      <c r="A43">
        <v>17</v>
      </c>
      <c r="B43">
        <v>1</v>
      </c>
      <c r="C43">
        <f>ROW(SmtRes!A56)</f>
        <v>56</v>
      </c>
      <c r="D43">
        <f>ROW(EtalonRes!A61)</f>
        <v>61</v>
      </c>
      <c r="E43" t="s">
        <v>109</v>
      </c>
      <c r="F43" t="s">
        <v>110</v>
      </c>
      <c r="G43" t="s">
        <v>111</v>
      </c>
      <c r="H43" t="s">
        <v>40</v>
      </c>
      <c r="I43">
        <f>ROUND(310/100,9)</f>
        <v>3.1</v>
      </c>
      <c r="J43">
        <v>0</v>
      </c>
      <c r="K43">
        <f>ROUND(310/100,9)</f>
        <v>3.1</v>
      </c>
      <c r="O43">
        <f t="shared" si="21"/>
        <v>264747.63</v>
      </c>
      <c r="P43">
        <f t="shared" si="22"/>
        <v>134946</v>
      </c>
      <c r="Q43">
        <f t="shared" si="23"/>
        <v>29.31</v>
      </c>
      <c r="R43">
        <f t="shared" si="24"/>
        <v>28.78</v>
      </c>
      <c r="S43">
        <f t="shared" si="25"/>
        <v>129772.32</v>
      </c>
      <c r="T43">
        <f t="shared" si="26"/>
        <v>0</v>
      </c>
      <c r="U43">
        <f t="shared" si="27"/>
        <v>441.62600000000003</v>
      </c>
      <c r="V43">
        <f t="shared" si="28"/>
        <v>6.2000000000000006E-2</v>
      </c>
      <c r="W43">
        <f t="shared" si="29"/>
        <v>0</v>
      </c>
      <c r="X43">
        <f t="shared" si="30"/>
        <v>116820.99</v>
      </c>
      <c r="Y43">
        <f t="shared" si="31"/>
        <v>58410.5</v>
      </c>
      <c r="AA43">
        <v>145026783</v>
      </c>
      <c r="AB43">
        <f t="shared" si="32"/>
        <v>6199.66</v>
      </c>
      <c r="AC43">
        <f t="shared" ref="AC43:AC74" si="61">ROUND((ES43),2)</f>
        <v>4891.12</v>
      </c>
      <c r="AD43">
        <f t="shared" ref="AD43:AD53" si="62">ROUND((((ET43)-(EU43))+AE43),2)</f>
        <v>0.76</v>
      </c>
      <c r="AE43">
        <f t="shared" ref="AE43:AE53" si="63">ROUND((EU43),2)</f>
        <v>0.28999999999999998</v>
      </c>
      <c r="AF43">
        <f t="shared" ref="AF43:AF53" si="64">ROUND((EV43),2)</f>
        <v>1307.78</v>
      </c>
      <c r="AG43">
        <f t="shared" si="37"/>
        <v>0</v>
      </c>
      <c r="AH43">
        <f t="shared" ref="AH43:AH53" si="65">(EW43)</f>
        <v>142.46</v>
      </c>
      <c r="AI43">
        <f t="shared" ref="AI43:AI53" si="66">(EX43)</f>
        <v>0.02</v>
      </c>
      <c r="AJ43">
        <f t="shared" si="40"/>
        <v>0</v>
      </c>
      <c r="AK43">
        <v>6199.66</v>
      </c>
      <c r="AL43">
        <v>4891.12</v>
      </c>
      <c r="AM43">
        <v>0.76</v>
      </c>
      <c r="AN43">
        <v>0.28999999999999998</v>
      </c>
      <c r="AO43">
        <v>1307.78</v>
      </c>
      <c r="AP43">
        <v>0</v>
      </c>
      <c r="AQ43">
        <v>142.46</v>
      </c>
      <c r="AR43">
        <v>0.02</v>
      </c>
      <c r="AS43">
        <v>0</v>
      </c>
      <c r="AT43">
        <v>90</v>
      </c>
      <c r="AU43">
        <v>45</v>
      </c>
      <c r="AV43">
        <v>1</v>
      </c>
      <c r="AW43">
        <v>1</v>
      </c>
      <c r="AZ43">
        <v>1</v>
      </c>
      <c r="BA43">
        <v>32.01</v>
      </c>
      <c r="BB43">
        <v>12.44</v>
      </c>
      <c r="BC43">
        <v>8.9</v>
      </c>
      <c r="BD43" t="s">
        <v>3</v>
      </c>
      <c r="BE43" t="s">
        <v>3</v>
      </c>
      <c r="BF43" t="s">
        <v>3</v>
      </c>
      <c r="BG43" t="s">
        <v>3</v>
      </c>
      <c r="BH43">
        <v>0</v>
      </c>
      <c r="BI43">
        <v>1</v>
      </c>
      <c r="BJ43" t="s">
        <v>112</v>
      </c>
      <c r="BM43">
        <v>63001</v>
      </c>
      <c r="BN43">
        <v>0</v>
      </c>
      <c r="BO43" t="s">
        <v>3</v>
      </c>
      <c r="BP43">
        <v>0</v>
      </c>
      <c r="BQ43">
        <v>6</v>
      </c>
      <c r="BR43">
        <v>0</v>
      </c>
      <c r="BS43">
        <v>32.01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90</v>
      </c>
      <c r="CA43">
        <v>45</v>
      </c>
      <c r="CB43" t="s">
        <v>3</v>
      </c>
      <c r="CE43">
        <v>0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41"/>
        <v>264747.63</v>
      </c>
      <c r="CQ43">
        <f t="shared" si="42"/>
        <v>43530.968000000001</v>
      </c>
      <c r="CR43">
        <f t="shared" ref="CR43:CR53" si="67">(((ET43)*BB43-(EU43)*BS43)+AE43*BS43)</f>
        <v>9.4543999999999997</v>
      </c>
      <c r="CS43">
        <f t="shared" si="44"/>
        <v>9.2828999999999979</v>
      </c>
      <c r="CT43">
        <f t="shared" si="45"/>
        <v>41862.037799999998</v>
      </c>
      <c r="CU43">
        <f t="shared" si="46"/>
        <v>0</v>
      </c>
      <c r="CV43">
        <f t="shared" si="47"/>
        <v>142.46</v>
      </c>
      <c r="CW43">
        <f t="shared" si="48"/>
        <v>0.02</v>
      </c>
      <c r="CX43">
        <f t="shared" si="49"/>
        <v>0</v>
      </c>
      <c r="CY43">
        <f t="shared" si="50"/>
        <v>116820.99</v>
      </c>
      <c r="CZ43">
        <f t="shared" si="51"/>
        <v>58410.495000000003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1005</v>
      </c>
      <c r="DV43" t="s">
        <v>40</v>
      </c>
      <c r="DW43" t="s">
        <v>40</v>
      </c>
      <c r="DX43">
        <v>100</v>
      </c>
      <c r="DZ43" t="s">
        <v>3</v>
      </c>
      <c r="EA43" t="s">
        <v>3</v>
      </c>
      <c r="EB43" t="s">
        <v>3</v>
      </c>
      <c r="EC43" t="s">
        <v>3</v>
      </c>
      <c r="EE43">
        <v>140625164</v>
      </c>
      <c r="EF43">
        <v>6</v>
      </c>
      <c r="EG43" t="s">
        <v>23</v>
      </c>
      <c r="EH43">
        <v>97</v>
      </c>
      <c r="EI43" t="s">
        <v>82</v>
      </c>
      <c r="EJ43">
        <v>1</v>
      </c>
      <c r="EK43">
        <v>63001</v>
      </c>
      <c r="EL43" t="s">
        <v>83</v>
      </c>
      <c r="EM43" t="s">
        <v>84</v>
      </c>
      <c r="EO43" t="s">
        <v>3</v>
      </c>
      <c r="EQ43">
        <v>0</v>
      </c>
      <c r="ER43">
        <v>6199.66</v>
      </c>
      <c r="ES43">
        <v>4891.12</v>
      </c>
      <c r="ET43">
        <v>0.76</v>
      </c>
      <c r="EU43">
        <v>0.28999999999999998</v>
      </c>
      <c r="EV43">
        <v>1307.78</v>
      </c>
      <c r="EW43">
        <v>142.46</v>
      </c>
      <c r="EX43">
        <v>0.02</v>
      </c>
      <c r="EY43">
        <v>0</v>
      </c>
      <c r="FQ43">
        <v>0</v>
      </c>
      <c r="FR43">
        <f t="shared" si="52"/>
        <v>0</v>
      </c>
      <c r="FS43">
        <v>0</v>
      </c>
      <c r="FX43">
        <v>90</v>
      </c>
      <c r="FY43">
        <v>45</v>
      </c>
      <c r="GA43" t="s">
        <v>3</v>
      </c>
      <c r="GD43">
        <v>1</v>
      </c>
      <c r="GF43">
        <v>1526554398</v>
      </c>
      <c r="GG43">
        <v>2</v>
      </c>
      <c r="GH43">
        <v>1</v>
      </c>
      <c r="GI43">
        <v>4</v>
      </c>
      <c r="GJ43">
        <v>0</v>
      </c>
      <c r="GK43">
        <v>0</v>
      </c>
      <c r="GL43">
        <f t="shared" si="53"/>
        <v>0</v>
      </c>
      <c r="GM43">
        <f t="shared" si="54"/>
        <v>439979.12</v>
      </c>
      <c r="GN43">
        <f t="shared" si="55"/>
        <v>439979.12</v>
      </c>
      <c r="GO43">
        <f t="shared" si="56"/>
        <v>0</v>
      </c>
      <c r="GP43">
        <f t="shared" si="57"/>
        <v>0</v>
      </c>
      <c r="GR43">
        <v>0</v>
      </c>
      <c r="GS43">
        <v>3</v>
      </c>
      <c r="GT43">
        <v>0</v>
      </c>
      <c r="GU43" t="s">
        <v>3</v>
      </c>
      <c r="GV43">
        <f t="shared" si="58"/>
        <v>0</v>
      </c>
      <c r="GW43">
        <v>1</v>
      </c>
      <c r="GX43">
        <f t="shared" si="59"/>
        <v>0</v>
      </c>
      <c r="HA43">
        <v>0</v>
      </c>
      <c r="HB43">
        <v>0</v>
      </c>
      <c r="HC43">
        <f t="shared" si="60"/>
        <v>0</v>
      </c>
      <c r="HE43" t="s">
        <v>3</v>
      </c>
      <c r="HF43" t="s">
        <v>3</v>
      </c>
      <c r="HM43" t="s">
        <v>3</v>
      </c>
      <c r="HN43" t="s">
        <v>85</v>
      </c>
      <c r="HO43" t="s">
        <v>86</v>
      </c>
      <c r="HP43" t="s">
        <v>83</v>
      </c>
      <c r="HQ43" t="s">
        <v>83</v>
      </c>
      <c r="IK43">
        <v>0</v>
      </c>
    </row>
    <row r="44" spans="1:245" x14ac:dyDescent="0.2">
      <c r="A44">
        <v>18</v>
      </c>
      <c r="B44">
        <v>1</v>
      </c>
      <c r="C44">
        <v>56</v>
      </c>
      <c r="E44" t="s">
        <v>113</v>
      </c>
      <c r="F44" t="s">
        <v>114</v>
      </c>
      <c r="G44" t="s">
        <v>115</v>
      </c>
      <c r="H44" t="s">
        <v>49</v>
      </c>
      <c r="I44">
        <f>I43*J44</f>
        <v>0.79425100000000004</v>
      </c>
      <c r="J44">
        <v>0.25620999999999999</v>
      </c>
      <c r="K44">
        <v>0.25620999999999999</v>
      </c>
      <c r="O44">
        <f t="shared" si="21"/>
        <v>0</v>
      </c>
      <c r="P44">
        <f t="shared" si="22"/>
        <v>0</v>
      </c>
      <c r="Q44">
        <f t="shared" si="23"/>
        <v>0</v>
      </c>
      <c r="R44">
        <f t="shared" si="24"/>
        <v>0</v>
      </c>
      <c r="S44">
        <f t="shared" si="25"/>
        <v>0</v>
      </c>
      <c r="T44">
        <f t="shared" si="26"/>
        <v>0</v>
      </c>
      <c r="U44">
        <f t="shared" si="27"/>
        <v>0</v>
      </c>
      <c r="V44">
        <f t="shared" si="28"/>
        <v>0</v>
      </c>
      <c r="W44">
        <f t="shared" si="29"/>
        <v>0</v>
      </c>
      <c r="X44">
        <f t="shared" si="30"/>
        <v>0</v>
      </c>
      <c r="Y44">
        <f t="shared" si="31"/>
        <v>0</v>
      </c>
      <c r="AA44">
        <v>145026783</v>
      </c>
      <c r="AB44">
        <f t="shared" si="32"/>
        <v>0</v>
      </c>
      <c r="AC44">
        <f t="shared" si="61"/>
        <v>0</v>
      </c>
      <c r="AD44">
        <f t="shared" si="62"/>
        <v>0</v>
      </c>
      <c r="AE44">
        <f t="shared" si="63"/>
        <v>0</v>
      </c>
      <c r="AF44">
        <f t="shared" si="64"/>
        <v>0</v>
      </c>
      <c r="AG44">
        <f t="shared" si="37"/>
        <v>0</v>
      </c>
      <c r="AH44">
        <f t="shared" si="65"/>
        <v>0</v>
      </c>
      <c r="AI44">
        <f t="shared" si="66"/>
        <v>0</v>
      </c>
      <c r="AJ44">
        <f t="shared" si="40"/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90</v>
      </c>
      <c r="AU44">
        <v>45</v>
      </c>
      <c r="AV44">
        <v>1</v>
      </c>
      <c r="AW44">
        <v>1</v>
      </c>
      <c r="AZ44">
        <v>1</v>
      </c>
      <c r="BA44">
        <v>1</v>
      </c>
      <c r="BB44">
        <v>1</v>
      </c>
      <c r="BC44">
        <v>8.9</v>
      </c>
      <c r="BD44" t="s">
        <v>3</v>
      </c>
      <c r="BE44" t="s">
        <v>3</v>
      </c>
      <c r="BF44" t="s">
        <v>3</v>
      </c>
      <c r="BG44" t="s">
        <v>3</v>
      </c>
      <c r="BH44">
        <v>3</v>
      </c>
      <c r="BI44">
        <v>1</v>
      </c>
      <c r="BJ44" t="s">
        <v>3</v>
      </c>
      <c r="BM44">
        <v>63001</v>
      </c>
      <c r="BN44">
        <v>0</v>
      </c>
      <c r="BO44" t="s">
        <v>3</v>
      </c>
      <c r="BP44">
        <v>0</v>
      </c>
      <c r="BQ44">
        <v>6</v>
      </c>
      <c r="BR44">
        <v>0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 t="s">
        <v>3</v>
      </c>
      <c r="BZ44">
        <v>90</v>
      </c>
      <c r="CA44">
        <v>45</v>
      </c>
      <c r="CB44" t="s">
        <v>3</v>
      </c>
      <c r="CE44">
        <v>0</v>
      </c>
      <c r="CF44">
        <v>0</v>
      </c>
      <c r="CG44">
        <v>0</v>
      </c>
      <c r="CM44">
        <v>0</v>
      </c>
      <c r="CN44" t="s">
        <v>3</v>
      </c>
      <c r="CO44">
        <v>0</v>
      </c>
      <c r="CP44">
        <f t="shared" si="41"/>
        <v>0</v>
      </c>
      <c r="CQ44">
        <f t="shared" si="42"/>
        <v>0</v>
      </c>
      <c r="CR44">
        <f t="shared" si="67"/>
        <v>0</v>
      </c>
      <c r="CS44">
        <f t="shared" si="44"/>
        <v>0</v>
      </c>
      <c r="CT44">
        <f t="shared" si="45"/>
        <v>0</v>
      </c>
      <c r="CU44">
        <f t="shared" si="46"/>
        <v>0</v>
      </c>
      <c r="CV44">
        <f t="shared" si="47"/>
        <v>0</v>
      </c>
      <c r="CW44">
        <f t="shared" si="48"/>
        <v>0</v>
      </c>
      <c r="CX44">
        <f t="shared" si="49"/>
        <v>0</v>
      </c>
      <c r="CY44">
        <f t="shared" si="50"/>
        <v>0</v>
      </c>
      <c r="CZ44">
        <f t="shared" si="51"/>
        <v>0</v>
      </c>
      <c r="DC44" t="s">
        <v>3</v>
      </c>
      <c r="DD44" t="s">
        <v>3</v>
      </c>
      <c r="DE44" t="s">
        <v>3</v>
      </c>
      <c r="DF44" t="s">
        <v>3</v>
      </c>
      <c r="DG44" t="s">
        <v>3</v>
      </c>
      <c r="DH44" t="s">
        <v>3</v>
      </c>
      <c r="DI44" t="s">
        <v>3</v>
      </c>
      <c r="DJ44" t="s">
        <v>3</v>
      </c>
      <c r="DK44" t="s">
        <v>3</v>
      </c>
      <c r="DL44" t="s">
        <v>3</v>
      </c>
      <c r="DM44" t="s">
        <v>3</v>
      </c>
      <c r="DN44">
        <v>0</v>
      </c>
      <c r="DO44">
        <v>0</v>
      </c>
      <c r="DP44">
        <v>1</v>
      </c>
      <c r="DQ44">
        <v>1</v>
      </c>
      <c r="DU44">
        <v>1009</v>
      </c>
      <c r="DV44" t="s">
        <v>49</v>
      </c>
      <c r="DW44" t="s">
        <v>49</v>
      </c>
      <c r="DX44">
        <v>1000</v>
      </c>
      <c r="DZ44" t="s">
        <v>3</v>
      </c>
      <c r="EA44" t="s">
        <v>3</v>
      </c>
      <c r="EB44" t="s">
        <v>3</v>
      </c>
      <c r="EC44" t="s">
        <v>3</v>
      </c>
      <c r="EE44">
        <v>140625164</v>
      </c>
      <c r="EF44">
        <v>6</v>
      </c>
      <c r="EG44" t="s">
        <v>23</v>
      </c>
      <c r="EH44">
        <v>97</v>
      </c>
      <c r="EI44" t="s">
        <v>82</v>
      </c>
      <c r="EJ44">
        <v>1</v>
      </c>
      <c r="EK44">
        <v>63001</v>
      </c>
      <c r="EL44" t="s">
        <v>83</v>
      </c>
      <c r="EM44" t="s">
        <v>84</v>
      </c>
      <c r="EO44" t="s">
        <v>3</v>
      </c>
      <c r="EQ44">
        <v>0</v>
      </c>
      <c r="ER44">
        <v>0</v>
      </c>
      <c r="ES44">
        <v>0</v>
      </c>
      <c r="ET44">
        <v>0</v>
      </c>
      <c r="EU44">
        <v>0</v>
      </c>
      <c r="EV44">
        <v>0</v>
      </c>
      <c r="EW44">
        <v>0</v>
      </c>
      <c r="EX44">
        <v>0</v>
      </c>
      <c r="FQ44">
        <v>0</v>
      </c>
      <c r="FR44">
        <f t="shared" si="52"/>
        <v>0</v>
      </c>
      <c r="FS44">
        <v>0</v>
      </c>
      <c r="FX44">
        <v>90</v>
      </c>
      <c r="FY44">
        <v>45</v>
      </c>
      <c r="GA44" t="s">
        <v>3</v>
      </c>
      <c r="GD44">
        <v>1</v>
      </c>
      <c r="GF44">
        <v>-1296435862</v>
      </c>
      <c r="GG44">
        <v>2</v>
      </c>
      <c r="GH44">
        <v>1</v>
      </c>
      <c r="GI44">
        <v>4</v>
      </c>
      <c r="GJ44">
        <v>0</v>
      </c>
      <c r="GK44">
        <v>0</v>
      </c>
      <c r="GL44">
        <f t="shared" si="53"/>
        <v>0</v>
      </c>
      <c r="GM44">
        <f t="shared" si="54"/>
        <v>0</v>
      </c>
      <c r="GN44">
        <f t="shared" si="55"/>
        <v>0</v>
      </c>
      <c r="GO44">
        <f t="shared" si="56"/>
        <v>0</v>
      </c>
      <c r="GP44">
        <f t="shared" si="57"/>
        <v>0</v>
      </c>
      <c r="GR44">
        <v>0</v>
      </c>
      <c r="GS44">
        <v>3</v>
      </c>
      <c r="GT44">
        <v>0</v>
      </c>
      <c r="GU44" t="s">
        <v>3</v>
      </c>
      <c r="GV44">
        <f t="shared" si="58"/>
        <v>0</v>
      </c>
      <c r="GW44">
        <v>1</v>
      </c>
      <c r="GX44">
        <f t="shared" si="59"/>
        <v>0</v>
      </c>
      <c r="HA44">
        <v>0</v>
      </c>
      <c r="HB44">
        <v>0</v>
      </c>
      <c r="HC44">
        <f t="shared" si="60"/>
        <v>0</v>
      </c>
      <c r="HE44" t="s">
        <v>3</v>
      </c>
      <c r="HF44" t="s">
        <v>3</v>
      </c>
      <c r="HM44" t="s">
        <v>3</v>
      </c>
      <c r="HN44" t="s">
        <v>85</v>
      </c>
      <c r="HO44" t="s">
        <v>86</v>
      </c>
      <c r="HP44" t="s">
        <v>83</v>
      </c>
      <c r="HQ44" t="s">
        <v>83</v>
      </c>
      <c r="IK44">
        <v>0</v>
      </c>
    </row>
    <row r="45" spans="1:245" x14ac:dyDescent="0.2">
      <c r="A45">
        <v>18</v>
      </c>
      <c r="B45">
        <v>1</v>
      </c>
      <c r="C45">
        <v>53</v>
      </c>
      <c r="E45" t="s">
        <v>116</v>
      </c>
      <c r="F45" t="s">
        <v>117</v>
      </c>
      <c r="G45" t="s">
        <v>118</v>
      </c>
      <c r="H45" t="s">
        <v>72</v>
      </c>
      <c r="I45">
        <f>I43*J45</f>
        <v>-319.3</v>
      </c>
      <c r="J45">
        <v>-103</v>
      </c>
      <c r="K45">
        <v>-103</v>
      </c>
      <c r="O45">
        <f t="shared" si="21"/>
        <v>-122025.60000000001</v>
      </c>
      <c r="P45">
        <f t="shared" si="22"/>
        <v>-122025.60000000001</v>
      </c>
      <c r="Q45">
        <f t="shared" si="23"/>
        <v>0</v>
      </c>
      <c r="R45">
        <f t="shared" si="24"/>
        <v>0</v>
      </c>
      <c r="S45">
        <f t="shared" si="25"/>
        <v>0</v>
      </c>
      <c r="T45">
        <f t="shared" si="26"/>
        <v>0</v>
      </c>
      <c r="U45">
        <f t="shared" si="27"/>
        <v>0</v>
      </c>
      <c r="V45">
        <f t="shared" si="28"/>
        <v>0</v>
      </c>
      <c r="W45">
        <f t="shared" si="29"/>
        <v>0</v>
      </c>
      <c r="X45">
        <f t="shared" si="30"/>
        <v>0</v>
      </c>
      <c r="Y45">
        <f t="shared" si="31"/>
        <v>0</v>
      </c>
      <c r="AA45">
        <v>145026783</v>
      </c>
      <c r="AB45">
        <f t="shared" si="32"/>
        <v>42.94</v>
      </c>
      <c r="AC45">
        <f t="shared" si="61"/>
        <v>42.94</v>
      </c>
      <c r="AD45">
        <f t="shared" si="62"/>
        <v>0</v>
      </c>
      <c r="AE45">
        <f t="shared" si="63"/>
        <v>0</v>
      </c>
      <c r="AF45">
        <f t="shared" si="64"/>
        <v>0</v>
      </c>
      <c r="AG45">
        <f t="shared" si="37"/>
        <v>0</v>
      </c>
      <c r="AH45">
        <f t="shared" si="65"/>
        <v>0</v>
      </c>
      <c r="AI45">
        <f t="shared" si="66"/>
        <v>0</v>
      </c>
      <c r="AJ45">
        <f t="shared" si="40"/>
        <v>0</v>
      </c>
      <c r="AK45">
        <v>42.94</v>
      </c>
      <c r="AL45">
        <v>42.94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90</v>
      </c>
      <c r="AU45">
        <v>45</v>
      </c>
      <c r="AV45">
        <v>1</v>
      </c>
      <c r="AW45">
        <v>1</v>
      </c>
      <c r="AZ45">
        <v>1</v>
      </c>
      <c r="BA45">
        <v>1</v>
      </c>
      <c r="BB45">
        <v>1</v>
      </c>
      <c r="BC45">
        <v>8.9</v>
      </c>
      <c r="BD45" t="s">
        <v>3</v>
      </c>
      <c r="BE45" t="s">
        <v>3</v>
      </c>
      <c r="BF45" t="s">
        <v>3</v>
      </c>
      <c r="BG45" t="s">
        <v>3</v>
      </c>
      <c r="BH45">
        <v>3</v>
      </c>
      <c r="BI45">
        <v>1</v>
      </c>
      <c r="BJ45" t="s">
        <v>119</v>
      </c>
      <c r="BM45">
        <v>63001</v>
      </c>
      <c r="BN45">
        <v>0</v>
      </c>
      <c r="BO45" t="s">
        <v>3</v>
      </c>
      <c r="BP45">
        <v>0</v>
      </c>
      <c r="BQ45">
        <v>6</v>
      </c>
      <c r="BR45">
        <v>1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90</v>
      </c>
      <c r="CA45">
        <v>45</v>
      </c>
      <c r="CB45" t="s">
        <v>3</v>
      </c>
      <c r="CE45">
        <v>0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41"/>
        <v>-122025.60000000001</v>
      </c>
      <c r="CQ45">
        <f t="shared" si="42"/>
        <v>382.166</v>
      </c>
      <c r="CR45">
        <f t="shared" si="67"/>
        <v>0</v>
      </c>
      <c r="CS45">
        <f t="shared" si="44"/>
        <v>0</v>
      </c>
      <c r="CT45">
        <f t="shared" si="45"/>
        <v>0</v>
      </c>
      <c r="CU45">
        <f t="shared" si="46"/>
        <v>0</v>
      </c>
      <c r="CV45">
        <f t="shared" si="47"/>
        <v>0</v>
      </c>
      <c r="CW45">
        <f t="shared" si="48"/>
        <v>0</v>
      </c>
      <c r="CX45">
        <f t="shared" si="49"/>
        <v>0</v>
      </c>
      <c r="CY45">
        <f t="shared" si="50"/>
        <v>0</v>
      </c>
      <c r="CZ45">
        <f t="shared" si="51"/>
        <v>0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1005</v>
      </c>
      <c r="DV45" t="s">
        <v>72</v>
      </c>
      <c r="DW45" t="s">
        <v>72</v>
      </c>
      <c r="DX45">
        <v>1</v>
      </c>
      <c r="DZ45" t="s">
        <v>3</v>
      </c>
      <c r="EA45" t="s">
        <v>3</v>
      </c>
      <c r="EB45" t="s">
        <v>3</v>
      </c>
      <c r="EC45" t="s">
        <v>3</v>
      </c>
      <c r="EE45">
        <v>140625164</v>
      </c>
      <c r="EF45">
        <v>6</v>
      </c>
      <c r="EG45" t="s">
        <v>23</v>
      </c>
      <c r="EH45">
        <v>97</v>
      </c>
      <c r="EI45" t="s">
        <v>82</v>
      </c>
      <c r="EJ45">
        <v>1</v>
      </c>
      <c r="EK45">
        <v>63001</v>
      </c>
      <c r="EL45" t="s">
        <v>83</v>
      </c>
      <c r="EM45" t="s">
        <v>84</v>
      </c>
      <c r="EO45" t="s">
        <v>3</v>
      </c>
      <c r="EQ45">
        <v>0</v>
      </c>
      <c r="ER45">
        <v>42.94</v>
      </c>
      <c r="ES45">
        <v>42.94</v>
      </c>
      <c r="ET45">
        <v>0</v>
      </c>
      <c r="EU45">
        <v>0</v>
      </c>
      <c r="EV45">
        <v>0</v>
      </c>
      <c r="EW45">
        <v>0</v>
      </c>
      <c r="EX45">
        <v>0</v>
      </c>
      <c r="FQ45">
        <v>0</v>
      </c>
      <c r="FR45">
        <f t="shared" si="52"/>
        <v>0</v>
      </c>
      <c r="FS45">
        <v>0</v>
      </c>
      <c r="FX45">
        <v>90</v>
      </c>
      <c r="FY45">
        <v>45</v>
      </c>
      <c r="GA45" t="s">
        <v>3</v>
      </c>
      <c r="GD45">
        <v>1</v>
      </c>
      <c r="GF45">
        <v>-522115837</v>
      </c>
      <c r="GG45">
        <v>2</v>
      </c>
      <c r="GH45">
        <v>1</v>
      </c>
      <c r="GI45">
        <v>4</v>
      </c>
      <c r="GJ45">
        <v>0</v>
      </c>
      <c r="GK45">
        <v>0</v>
      </c>
      <c r="GL45">
        <f t="shared" si="53"/>
        <v>0</v>
      </c>
      <c r="GM45">
        <f t="shared" si="54"/>
        <v>-122025.60000000001</v>
      </c>
      <c r="GN45">
        <f t="shared" si="55"/>
        <v>-122025.60000000001</v>
      </c>
      <c r="GO45">
        <f t="shared" si="56"/>
        <v>0</v>
      </c>
      <c r="GP45">
        <f t="shared" si="57"/>
        <v>0</v>
      </c>
      <c r="GR45">
        <v>0</v>
      </c>
      <c r="GS45">
        <v>3</v>
      </c>
      <c r="GT45">
        <v>0</v>
      </c>
      <c r="GU45" t="s">
        <v>3</v>
      </c>
      <c r="GV45">
        <f t="shared" si="58"/>
        <v>0</v>
      </c>
      <c r="GW45">
        <v>1</v>
      </c>
      <c r="GX45">
        <f t="shared" si="59"/>
        <v>0</v>
      </c>
      <c r="HA45">
        <v>0</v>
      </c>
      <c r="HB45">
        <v>0</v>
      </c>
      <c r="HC45">
        <f t="shared" si="60"/>
        <v>0</v>
      </c>
      <c r="HE45" t="s">
        <v>3</v>
      </c>
      <c r="HF45" t="s">
        <v>3</v>
      </c>
      <c r="HM45" t="s">
        <v>3</v>
      </c>
      <c r="HN45" t="s">
        <v>85</v>
      </c>
      <c r="HO45" t="s">
        <v>86</v>
      </c>
      <c r="HP45" t="s">
        <v>83</v>
      </c>
      <c r="HQ45" t="s">
        <v>83</v>
      </c>
      <c r="IK45">
        <v>0</v>
      </c>
    </row>
    <row r="46" spans="1:245" x14ac:dyDescent="0.2">
      <c r="A46">
        <v>18</v>
      </c>
      <c r="B46">
        <v>1</v>
      </c>
      <c r="C46">
        <v>54</v>
      </c>
      <c r="E46" t="s">
        <v>120</v>
      </c>
      <c r="F46" t="s">
        <v>121</v>
      </c>
      <c r="G46" t="s">
        <v>122</v>
      </c>
      <c r="H46" t="s">
        <v>21</v>
      </c>
      <c r="I46">
        <f>I43*J46</f>
        <v>-9.3930000000000007</v>
      </c>
      <c r="J46">
        <v>-3.0300000000000002</v>
      </c>
      <c r="K46">
        <v>-3.03</v>
      </c>
      <c r="O46">
        <f t="shared" si="21"/>
        <v>-5851.84</v>
      </c>
      <c r="P46">
        <f t="shared" si="22"/>
        <v>-5851.84</v>
      </c>
      <c r="Q46">
        <f t="shared" si="23"/>
        <v>0</v>
      </c>
      <c r="R46">
        <f t="shared" si="24"/>
        <v>0</v>
      </c>
      <c r="S46">
        <f t="shared" si="25"/>
        <v>0</v>
      </c>
      <c r="T46">
        <f t="shared" si="26"/>
        <v>0</v>
      </c>
      <c r="U46">
        <f t="shared" si="27"/>
        <v>0</v>
      </c>
      <c r="V46">
        <f t="shared" si="28"/>
        <v>0</v>
      </c>
      <c r="W46">
        <f t="shared" si="29"/>
        <v>0</v>
      </c>
      <c r="X46">
        <f t="shared" si="30"/>
        <v>0</v>
      </c>
      <c r="Y46">
        <f t="shared" si="31"/>
        <v>0</v>
      </c>
      <c r="AA46">
        <v>145026783</v>
      </c>
      <c r="AB46">
        <f t="shared" si="32"/>
        <v>70</v>
      </c>
      <c r="AC46">
        <f t="shared" si="61"/>
        <v>70</v>
      </c>
      <c r="AD46">
        <f t="shared" si="62"/>
        <v>0</v>
      </c>
      <c r="AE46">
        <f t="shared" si="63"/>
        <v>0</v>
      </c>
      <c r="AF46">
        <f t="shared" si="64"/>
        <v>0</v>
      </c>
      <c r="AG46">
        <f t="shared" si="37"/>
        <v>0</v>
      </c>
      <c r="AH46">
        <f t="shared" si="65"/>
        <v>0</v>
      </c>
      <c r="AI46">
        <f t="shared" si="66"/>
        <v>0</v>
      </c>
      <c r="AJ46">
        <f t="shared" si="40"/>
        <v>0</v>
      </c>
      <c r="AK46">
        <v>70</v>
      </c>
      <c r="AL46">
        <v>70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90</v>
      </c>
      <c r="AU46">
        <v>45</v>
      </c>
      <c r="AV46">
        <v>1</v>
      </c>
      <c r="AW46">
        <v>1</v>
      </c>
      <c r="AZ46">
        <v>1</v>
      </c>
      <c r="BA46">
        <v>1</v>
      </c>
      <c r="BB46">
        <v>1</v>
      </c>
      <c r="BC46">
        <v>8.9</v>
      </c>
      <c r="BD46" t="s">
        <v>3</v>
      </c>
      <c r="BE46" t="s">
        <v>3</v>
      </c>
      <c r="BF46" t="s">
        <v>3</v>
      </c>
      <c r="BG46" t="s">
        <v>3</v>
      </c>
      <c r="BH46">
        <v>3</v>
      </c>
      <c r="BI46">
        <v>1</v>
      </c>
      <c r="BJ46" t="s">
        <v>123</v>
      </c>
      <c r="BM46">
        <v>63001</v>
      </c>
      <c r="BN46">
        <v>0</v>
      </c>
      <c r="BO46" t="s">
        <v>3</v>
      </c>
      <c r="BP46">
        <v>0</v>
      </c>
      <c r="BQ46">
        <v>6</v>
      </c>
      <c r="BR46">
        <v>1</v>
      </c>
      <c r="BS46">
        <v>1</v>
      </c>
      <c r="BT46">
        <v>1</v>
      </c>
      <c r="BU46">
        <v>1</v>
      </c>
      <c r="BV46">
        <v>1</v>
      </c>
      <c r="BW46">
        <v>1</v>
      </c>
      <c r="BX46">
        <v>1</v>
      </c>
      <c r="BY46" t="s">
        <v>3</v>
      </c>
      <c r="BZ46">
        <v>90</v>
      </c>
      <c r="CA46">
        <v>45</v>
      </c>
      <c r="CB46" t="s">
        <v>3</v>
      </c>
      <c r="CE46">
        <v>0</v>
      </c>
      <c r="CF46">
        <v>0</v>
      </c>
      <c r="CG46">
        <v>0</v>
      </c>
      <c r="CM46">
        <v>0</v>
      </c>
      <c r="CN46" t="s">
        <v>3</v>
      </c>
      <c r="CO46">
        <v>0</v>
      </c>
      <c r="CP46">
        <f t="shared" si="41"/>
        <v>-5851.84</v>
      </c>
      <c r="CQ46">
        <f t="shared" si="42"/>
        <v>623</v>
      </c>
      <c r="CR46">
        <f t="shared" si="67"/>
        <v>0</v>
      </c>
      <c r="CS46">
        <f t="shared" si="44"/>
        <v>0</v>
      </c>
      <c r="CT46">
        <f t="shared" si="45"/>
        <v>0</v>
      </c>
      <c r="CU46">
        <f t="shared" si="46"/>
        <v>0</v>
      </c>
      <c r="CV46">
        <f t="shared" si="47"/>
        <v>0</v>
      </c>
      <c r="CW46">
        <f t="shared" si="48"/>
        <v>0</v>
      </c>
      <c r="CX46">
        <f t="shared" si="49"/>
        <v>0</v>
      </c>
      <c r="CY46">
        <f t="shared" si="50"/>
        <v>0</v>
      </c>
      <c r="CZ46">
        <f t="shared" si="51"/>
        <v>0</v>
      </c>
      <c r="DC46" t="s">
        <v>3</v>
      </c>
      <c r="DD46" t="s">
        <v>3</v>
      </c>
      <c r="DE46" t="s">
        <v>3</v>
      </c>
      <c r="DF46" t="s">
        <v>3</v>
      </c>
      <c r="DG46" t="s">
        <v>3</v>
      </c>
      <c r="DH46" t="s">
        <v>3</v>
      </c>
      <c r="DI46" t="s">
        <v>3</v>
      </c>
      <c r="DJ46" t="s">
        <v>3</v>
      </c>
      <c r="DK46" t="s">
        <v>3</v>
      </c>
      <c r="DL46" t="s">
        <v>3</v>
      </c>
      <c r="DM46" t="s">
        <v>3</v>
      </c>
      <c r="DN46">
        <v>0</v>
      </c>
      <c r="DO46">
        <v>0</v>
      </c>
      <c r="DP46">
        <v>1</v>
      </c>
      <c r="DQ46">
        <v>1</v>
      </c>
      <c r="DU46">
        <v>1013</v>
      </c>
      <c r="DV46" t="s">
        <v>21</v>
      </c>
      <c r="DW46" t="s">
        <v>21</v>
      </c>
      <c r="DX46">
        <v>1</v>
      </c>
      <c r="DZ46" t="s">
        <v>3</v>
      </c>
      <c r="EA46" t="s">
        <v>3</v>
      </c>
      <c r="EB46" t="s">
        <v>3</v>
      </c>
      <c r="EC46" t="s">
        <v>3</v>
      </c>
      <c r="EE46">
        <v>140625164</v>
      </c>
      <c r="EF46">
        <v>6</v>
      </c>
      <c r="EG46" t="s">
        <v>23</v>
      </c>
      <c r="EH46">
        <v>97</v>
      </c>
      <c r="EI46" t="s">
        <v>82</v>
      </c>
      <c r="EJ46">
        <v>1</v>
      </c>
      <c r="EK46">
        <v>63001</v>
      </c>
      <c r="EL46" t="s">
        <v>83</v>
      </c>
      <c r="EM46" t="s">
        <v>84</v>
      </c>
      <c r="EO46" t="s">
        <v>3</v>
      </c>
      <c r="EQ46">
        <v>0</v>
      </c>
      <c r="ER46">
        <v>70</v>
      </c>
      <c r="ES46">
        <v>70</v>
      </c>
      <c r="ET46">
        <v>0</v>
      </c>
      <c r="EU46">
        <v>0</v>
      </c>
      <c r="EV46">
        <v>0</v>
      </c>
      <c r="EW46">
        <v>0</v>
      </c>
      <c r="EX46">
        <v>0</v>
      </c>
      <c r="FQ46">
        <v>0</v>
      </c>
      <c r="FR46">
        <f t="shared" si="52"/>
        <v>0</v>
      </c>
      <c r="FS46">
        <v>0</v>
      </c>
      <c r="FX46">
        <v>90</v>
      </c>
      <c r="FY46">
        <v>45</v>
      </c>
      <c r="GA46" t="s">
        <v>3</v>
      </c>
      <c r="GD46">
        <v>1</v>
      </c>
      <c r="GF46">
        <v>-1484897950</v>
      </c>
      <c r="GG46">
        <v>2</v>
      </c>
      <c r="GH46">
        <v>1</v>
      </c>
      <c r="GI46">
        <v>4</v>
      </c>
      <c r="GJ46">
        <v>0</v>
      </c>
      <c r="GK46">
        <v>0</v>
      </c>
      <c r="GL46">
        <f t="shared" si="53"/>
        <v>0</v>
      </c>
      <c r="GM46">
        <f t="shared" si="54"/>
        <v>-5851.84</v>
      </c>
      <c r="GN46">
        <f t="shared" si="55"/>
        <v>-5851.84</v>
      </c>
      <c r="GO46">
        <f t="shared" si="56"/>
        <v>0</v>
      </c>
      <c r="GP46">
        <f t="shared" si="57"/>
        <v>0</v>
      </c>
      <c r="GR46">
        <v>0</v>
      </c>
      <c r="GS46">
        <v>3</v>
      </c>
      <c r="GT46">
        <v>0</v>
      </c>
      <c r="GU46" t="s">
        <v>3</v>
      </c>
      <c r="GV46">
        <f t="shared" si="58"/>
        <v>0</v>
      </c>
      <c r="GW46">
        <v>1</v>
      </c>
      <c r="GX46">
        <f t="shared" si="59"/>
        <v>0</v>
      </c>
      <c r="HA46">
        <v>0</v>
      </c>
      <c r="HB46">
        <v>0</v>
      </c>
      <c r="HC46">
        <f t="shared" si="60"/>
        <v>0</v>
      </c>
      <c r="HE46" t="s">
        <v>3</v>
      </c>
      <c r="HF46" t="s">
        <v>3</v>
      </c>
      <c r="HM46" t="s">
        <v>3</v>
      </c>
      <c r="HN46" t="s">
        <v>85</v>
      </c>
      <c r="HO46" t="s">
        <v>86</v>
      </c>
      <c r="HP46" t="s">
        <v>83</v>
      </c>
      <c r="HQ46" t="s">
        <v>83</v>
      </c>
      <c r="IK46">
        <v>0</v>
      </c>
    </row>
    <row r="47" spans="1:245" x14ac:dyDescent="0.2">
      <c r="A47">
        <v>18</v>
      </c>
      <c r="B47">
        <v>1</v>
      </c>
      <c r="C47">
        <v>55</v>
      </c>
      <c r="E47" t="s">
        <v>124</v>
      </c>
      <c r="F47" t="s">
        <v>125</v>
      </c>
      <c r="G47" t="s">
        <v>126</v>
      </c>
      <c r="H47" t="s">
        <v>21</v>
      </c>
      <c r="I47">
        <f>I43*J47</f>
        <v>-2.17</v>
      </c>
      <c r="J47">
        <v>-0.7</v>
      </c>
      <c r="K47">
        <v>-0.7</v>
      </c>
      <c r="O47">
        <f t="shared" si="21"/>
        <v>-7068.56</v>
      </c>
      <c r="P47">
        <f t="shared" si="22"/>
        <v>-7068.56</v>
      </c>
      <c r="Q47">
        <f t="shared" si="23"/>
        <v>0</v>
      </c>
      <c r="R47">
        <f t="shared" si="24"/>
        <v>0</v>
      </c>
      <c r="S47">
        <f t="shared" si="25"/>
        <v>0</v>
      </c>
      <c r="T47">
        <f t="shared" si="26"/>
        <v>0</v>
      </c>
      <c r="U47">
        <f t="shared" si="27"/>
        <v>0</v>
      </c>
      <c r="V47">
        <f t="shared" si="28"/>
        <v>0</v>
      </c>
      <c r="W47">
        <f t="shared" si="29"/>
        <v>0</v>
      </c>
      <c r="X47">
        <f t="shared" si="30"/>
        <v>0</v>
      </c>
      <c r="Y47">
        <f t="shared" si="31"/>
        <v>0</v>
      </c>
      <c r="AA47">
        <v>145026783</v>
      </c>
      <c r="AB47">
        <f t="shared" si="32"/>
        <v>366</v>
      </c>
      <c r="AC47">
        <f t="shared" si="61"/>
        <v>366</v>
      </c>
      <c r="AD47">
        <f t="shared" si="62"/>
        <v>0</v>
      </c>
      <c r="AE47">
        <f t="shared" si="63"/>
        <v>0</v>
      </c>
      <c r="AF47">
        <f t="shared" si="64"/>
        <v>0</v>
      </c>
      <c r="AG47">
        <f t="shared" si="37"/>
        <v>0</v>
      </c>
      <c r="AH47">
        <f t="shared" si="65"/>
        <v>0</v>
      </c>
      <c r="AI47">
        <f t="shared" si="66"/>
        <v>0</v>
      </c>
      <c r="AJ47">
        <f t="shared" si="40"/>
        <v>0</v>
      </c>
      <c r="AK47">
        <v>366</v>
      </c>
      <c r="AL47">
        <v>366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90</v>
      </c>
      <c r="AU47">
        <v>45</v>
      </c>
      <c r="AV47">
        <v>1</v>
      </c>
      <c r="AW47">
        <v>1</v>
      </c>
      <c r="AZ47">
        <v>1</v>
      </c>
      <c r="BA47">
        <v>1</v>
      </c>
      <c r="BB47">
        <v>1</v>
      </c>
      <c r="BC47">
        <v>8.9</v>
      </c>
      <c r="BD47" t="s">
        <v>3</v>
      </c>
      <c r="BE47" t="s">
        <v>3</v>
      </c>
      <c r="BF47" t="s">
        <v>3</v>
      </c>
      <c r="BG47" t="s">
        <v>3</v>
      </c>
      <c r="BH47">
        <v>3</v>
      </c>
      <c r="BI47">
        <v>1</v>
      </c>
      <c r="BJ47" t="s">
        <v>127</v>
      </c>
      <c r="BM47">
        <v>63001</v>
      </c>
      <c r="BN47">
        <v>0</v>
      </c>
      <c r="BO47" t="s">
        <v>3</v>
      </c>
      <c r="BP47">
        <v>0</v>
      </c>
      <c r="BQ47">
        <v>6</v>
      </c>
      <c r="BR47">
        <v>1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90</v>
      </c>
      <c r="CA47">
        <v>45</v>
      </c>
      <c r="CB47" t="s">
        <v>3</v>
      </c>
      <c r="CE47">
        <v>0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41"/>
        <v>-7068.56</v>
      </c>
      <c r="CQ47">
        <f t="shared" si="42"/>
        <v>3257.4</v>
      </c>
      <c r="CR47">
        <f t="shared" si="67"/>
        <v>0</v>
      </c>
      <c r="CS47">
        <f t="shared" si="44"/>
        <v>0</v>
      </c>
      <c r="CT47">
        <f t="shared" si="45"/>
        <v>0</v>
      </c>
      <c r="CU47">
        <f t="shared" si="46"/>
        <v>0</v>
      </c>
      <c r="CV47">
        <f t="shared" si="47"/>
        <v>0</v>
      </c>
      <c r="CW47">
        <f t="shared" si="48"/>
        <v>0</v>
      </c>
      <c r="CX47">
        <f t="shared" si="49"/>
        <v>0</v>
      </c>
      <c r="CY47">
        <f t="shared" si="50"/>
        <v>0</v>
      </c>
      <c r="CZ47">
        <f t="shared" si="51"/>
        <v>0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1013</v>
      </c>
      <c r="DV47" t="s">
        <v>21</v>
      </c>
      <c r="DW47" t="s">
        <v>21</v>
      </c>
      <c r="DX47">
        <v>1</v>
      </c>
      <c r="DZ47" t="s">
        <v>3</v>
      </c>
      <c r="EA47" t="s">
        <v>3</v>
      </c>
      <c r="EB47" t="s">
        <v>3</v>
      </c>
      <c r="EC47" t="s">
        <v>3</v>
      </c>
      <c r="EE47">
        <v>140625164</v>
      </c>
      <c r="EF47">
        <v>6</v>
      </c>
      <c r="EG47" t="s">
        <v>23</v>
      </c>
      <c r="EH47">
        <v>97</v>
      </c>
      <c r="EI47" t="s">
        <v>82</v>
      </c>
      <c r="EJ47">
        <v>1</v>
      </c>
      <c r="EK47">
        <v>63001</v>
      </c>
      <c r="EL47" t="s">
        <v>83</v>
      </c>
      <c r="EM47" t="s">
        <v>84</v>
      </c>
      <c r="EO47" t="s">
        <v>3</v>
      </c>
      <c r="EQ47">
        <v>0</v>
      </c>
      <c r="ER47">
        <v>366</v>
      </c>
      <c r="ES47">
        <v>366</v>
      </c>
      <c r="ET47">
        <v>0</v>
      </c>
      <c r="EU47">
        <v>0</v>
      </c>
      <c r="EV47">
        <v>0</v>
      </c>
      <c r="EW47">
        <v>0</v>
      </c>
      <c r="EX47">
        <v>0</v>
      </c>
      <c r="FQ47">
        <v>0</v>
      </c>
      <c r="FR47">
        <f t="shared" si="52"/>
        <v>0</v>
      </c>
      <c r="FS47">
        <v>0</v>
      </c>
      <c r="FX47">
        <v>90</v>
      </c>
      <c r="FY47">
        <v>45</v>
      </c>
      <c r="GA47" t="s">
        <v>3</v>
      </c>
      <c r="GD47">
        <v>1</v>
      </c>
      <c r="GF47">
        <v>235828204</v>
      </c>
      <c r="GG47">
        <v>2</v>
      </c>
      <c r="GH47">
        <v>1</v>
      </c>
      <c r="GI47">
        <v>4</v>
      </c>
      <c r="GJ47">
        <v>0</v>
      </c>
      <c r="GK47">
        <v>0</v>
      </c>
      <c r="GL47">
        <f t="shared" si="53"/>
        <v>0</v>
      </c>
      <c r="GM47">
        <f t="shared" si="54"/>
        <v>-7068.56</v>
      </c>
      <c r="GN47">
        <f t="shared" si="55"/>
        <v>-7068.56</v>
      </c>
      <c r="GO47">
        <f t="shared" si="56"/>
        <v>0</v>
      </c>
      <c r="GP47">
        <f t="shared" si="57"/>
        <v>0</v>
      </c>
      <c r="GR47">
        <v>0</v>
      </c>
      <c r="GS47">
        <v>3</v>
      </c>
      <c r="GT47">
        <v>0</v>
      </c>
      <c r="GU47" t="s">
        <v>3</v>
      </c>
      <c r="GV47">
        <f t="shared" si="58"/>
        <v>0</v>
      </c>
      <c r="GW47">
        <v>1</v>
      </c>
      <c r="GX47">
        <f t="shared" si="59"/>
        <v>0</v>
      </c>
      <c r="HA47">
        <v>0</v>
      </c>
      <c r="HB47">
        <v>0</v>
      </c>
      <c r="HC47">
        <f t="shared" si="60"/>
        <v>0</v>
      </c>
      <c r="HE47" t="s">
        <v>3</v>
      </c>
      <c r="HF47" t="s">
        <v>3</v>
      </c>
      <c r="HM47" t="s">
        <v>3</v>
      </c>
      <c r="HN47" t="s">
        <v>85</v>
      </c>
      <c r="HO47" t="s">
        <v>86</v>
      </c>
      <c r="HP47" t="s">
        <v>83</v>
      </c>
      <c r="HQ47" t="s">
        <v>83</v>
      </c>
      <c r="IK47">
        <v>0</v>
      </c>
    </row>
    <row r="48" spans="1:245" x14ac:dyDescent="0.2">
      <c r="A48">
        <v>17</v>
      </c>
      <c r="B48">
        <v>1</v>
      </c>
      <c r="E48" t="s">
        <v>128</v>
      </c>
      <c r="F48" t="s">
        <v>29</v>
      </c>
      <c r="G48" t="s">
        <v>129</v>
      </c>
      <c r="H48" t="s">
        <v>72</v>
      </c>
      <c r="I48">
        <f>ROUND(I43*103,9)</f>
        <v>319.3</v>
      </c>
      <c r="J48">
        <v>0</v>
      </c>
      <c r="K48">
        <f>ROUND(I43*103,9)</f>
        <v>319.3</v>
      </c>
      <c r="O48">
        <f t="shared" si="21"/>
        <v>147516.28</v>
      </c>
      <c r="P48">
        <f t="shared" si="22"/>
        <v>147516.28</v>
      </c>
      <c r="Q48">
        <f t="shared" si="23"/>
        <v>0</v>
      </c>
      <c r="R48">
        <f t="shared" si="24"/>
        <v>0</v>
      </c>
      <c r="S48">
        <f t="shared" si="25"/>
        <v>0</v>
      </c>
      <c r="T48">
        <f t="shared" si="26"/>
        <v>0</v>
      </c>
      <c r="U48">
        <f t="shared" si="27"/>
        <v>0</v>
      </c>
      <c r="V48">
        <f t="shared" si="28"/>
        <v>0</v>
      </c>
      <c r="W48">
        <f t="shared" si="29"/>
        <v>0</v>
      </c>
      <c r="X48">
        <f t="shared" si="30"/>
        <v>0</v>
      </c>
      <c r="Y48">
        <f t="shared" si="31"/>
        <v>0</v>
      </c>
      <c r="AA48">
        <v>145026783</v>
      </c>
      <c r="AB48">
        <f t="shared" si="32"/>
        <v>51.91</v>
      </c>
      <c r="AC48">
        <f t="shared" si="61"/>
        <v>51.91</v>
      </c>
      <c r="AD48">
        <f t="shared" si="62"/>
        <v>0</v>
      </c>
      <c r="AE48">
        <f t="shared" si="63"/>
        <v>0</v>
      </c>
      <c r="AF48">
        <f t="shared" si="64"/>
        <v>0</v>
      </c>
      <c r="AG48">
        <f t="shared" si="37"/>
        <v>0</v>
      </c>
      <c r="AH48">
        <f t="shared" si="65"/>
        <v>0</v>
      </c>
      <c r="AI48">
        <f t="shared" si="66"/>
        <v>0</v>
      </c>
      <c r="AJ48">
        <f t="shared" si="40"/>
        <v>0</v>
      </c>
      <c r="AK48">
        <v>51.910000000000004</v>
      </c>
      <c r="AL48">
        <v>51.910000000000004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1</v>
      </c>
      <c r="AW48">
        <v>1</v>
      </c>
      <c r="AZ48">
        <v>1</v>
      </c>
      <c r="BA48">
        <v>1</v>
      </c>
      <c r="BB48">
        <v>1</v>
      </c>
      <c r="BC48">
        <v>8.9</v>
      </c>
      <c r="BD48" t="s">
        <v>3</v>
      </c>
      <c r="BE48" t="s">
        <v>3</v>
      </c>
      <c r="BF48" t="s">
        <v>3</v>
      </c>
      <c r="BG48" t="s">
        <v>3</v>
      </c>
      <c r="BH48">
        <v>3</v>
      </c>
      <c r="BI48">
        <v>1</v>
      </c>
      <c r="BJ48" t="s">
        <v>3</v>
      </c>
      <c r="BM48">
        <v>1100</v>
      </c>
      <c r="BN48">
        <v>0</v>
      </c>
      <c r="BO48" t="s">
        <v>3</v>
      </c>
      <c r="BP48">
        <v>0</v>
      </c>
      <c r="BQ48">
        <v>8</v>
      </c>
      <c r="BR48">
        <v>0</v>
      </c>
      <c r="BS48">
        <v>1</v>
      </c>
      <c r="BT48">
        <v>1</v>
      </c>
      <c r="BU48">
        <v>1</v>
      </c>
      <c r="BV48">
        <v>1</v>
      </c>
      <c r="BW48">
        <v>1</v>
      </c>
      <c r="BX48">
        <v>1</v>
      </c>
      <c r="BY48" t="s">
        <v>3</v>
      </c>
      <c r="BZ48">
        <v>0</v>
      </c>
      <c r="CA48">
        <v>0</v>
      </c>
      <c r="CB48" t="s">
        <v>3</v>
      </c>
      <c r="CE48">
        <v>0</v>
      </c>
      <c r="CF48">
        <v>0</v>
      </c>
      <c r="CG48">
        <v>0</v>
      </c>
      <c r="CM48">
        <v>0</v>
      </c>
      <c r="CN48" t="s">
        <v>3</v>
      </c>
      <c r="CO48">
        <v>0</v>
      </c>
      <c r="CP48">
        <f t="shared" si="41"/>
        <v>147516.28</v>
      </c>
      <c r="CQ48">
        <f t="shared" si="42"/>
        <v>461.99899999999997</v>
      </c>
      <c r="CR48">
        <f t="shared" si="67"/>
        <v>0</v>
      </c>
      <c r="CS48">
        <f t="shared" si="44"/>
        <v>0</v>
      </c>
      <c r="CT48">
        <f t="shared" si="45"/>
        <v>0</v>
      </c>
      <c r="CU48">
        <f t="shared" si="46"/>
        <v>0</v>
      </c>
      <c r="CV48">
        <f t="shared" si="47"/>
        <v>0</v>
      </c>
      <c r="CW48">
        <f t="shared" si="48"/>
        <v>0</v>
      </c>
      <c r="CX48">
        <f t="shared" si="49"/>
        <v>0</v>
      </c>
      <c r="CY48">
        <f t="shared" si="50"/>
        <v>0</v>
      </c>
      <c r="CZ48">
        <f t="shared" si="51"/>
        <v>0</v>
      </c>
      <c r="DC48" t="s">
        <v>3</v>
      </c>
      <c r="DD48" t="s">
        <v>3</v>
      </c>
      <c r="DE48" t="s">
        <v>3</v>
      </c>
      <c r="DF48" t="s">
        <v>3</v>
      </c>
      <c r="DG48" t="s">
        <v>3</v>
      </c>
      <c r="DH48" t="s">
        <v>3</v>
      </c>
      <c r="DI48" t="s">
        <v>3</v>
      </c>
      <c r="DJ48" t="s">
        <v>3</v>
      </c>
      <c r="DK48" t="s">
        <v>3</v>
      </c>
      <c r="DL48" t="s">
        <v>3</v>
      </c>
      <c r="DM48" t="s">
        <v>3</v>
      </c>
      <c r="DN48">
        <v>0</v>
      </c>
      <c r="DO48">
        <v>0</v>
      </c>
      <c r="DP48">
        <v>1</v>
      </c>
      <c r="DQ48">
        <v>1</v>
      </c>
      <c r="DU48">
        <v>1005</v>
      </c>
      <c r="DV48" t="s">
        <v>72</v>
      </c>
      <c r="DW48" t="s">
        <v>72</v>
      </c>
      <c r="DX48">
        <v>1</v>
      </c>
      <c r="DZ48" t="s">
        <v>3</v>
      </c>
      <c r="EA48" t="s">
        <v>3</v>
      </c>
      <c r="EB48" t="s">
        <v>3</v>
      </c>
      <c r="EC48" t="s">
        <v>3</v>
      </c>
      <c r="EE48">
        <v>140625274</v>
      </c>
      <c r="EF48">
        <v>8</v>
      </c>
      <c r="EG48" t="s">
        <v>32</v>
      </c>
      <c r="EH48">
        <v>0</v>
      </c>
      <c r="EI48" t="s">
        <v>3</v>
      </c>
      <c r="EJ48">
        <v>1</v>
      </c>
      <c r="EK48">
        <v>1100</v>
      </c>
      <c r="EL48" t="s">
        <v>33</v>
      </c>
      <c r="EM48" t="s">
        <v>34</v>
      </c>
      <c r="EO48" t="s">
        <v>3</v>
      </c>
      <c r="EQ48">
        <v>0</v>
      </c>
      <c r="ER48">
        <v>51.910000000000004</v>
      </c>
      <c r="ES48">
        <v>51.910000000000004</v>
      </c>
      <c r="ET48">
        <v>0</v>
      </c>
      <c r="EU48">
        <v>0</v>
      </c>
      <c r="EV48">
        <v>0</v>
      </c>
      <c r="EW48">
        <v>0</v>
      </c>
      <c r="EX48">
        <v>0</v>
      </c>
      <c r="EY48">
        <v>0</v>
      </c>
      <c r="EZ48">
        <v>5</v>
      </c>
      <c r="FC48">
        <v>1</v>
      </c>
      <c r="FD48">
        <v>18</v>
      </c>
      <c r="FF48">
        <v>517.64</v>
      </c>
      <c r="FQ48">
        <v>0</v>
      </c>
      <c r="FR48">
        <f t="shared" si="52"/>
        <v>0</v>
      </c>
      <c r="FS48">
        <v>0</v>
      </c>
      <c r="FX48">
        <v>0</v>
      </c>
      <c r="FY48">
        <v>0</v>
      </c>
      <c r="GA48" t="s">
        <v>130</v>
      </c>
      <c r="GD48">
        <v>1</v>
      </c>
      <c r="GF48">
        <v>1572099852</v>
      </c>
      <c r="GG48">
        <v>2</v>
      </c>
      <c r="GH48">
        <v>3</v>
      </c>
      <c r="GI48">
        <v>4</v>
      </c>
      <c r="GJ48">
        <v>0</v>
      </c>
      <c r="GK48">
        <v>0</v>
      </c>
      <c r="GL48">
        <f t="shared" si="53"/>
        <v>0</v>
      </c>
      <c r="GM48">
        <f t="shared" si="54"/>
        <v>147516.28</v>
      </c>
      <c r="GN48">
        <f t="shared" si="55"/>
        <v>147516.28</v>
      </c>
      <c r="GO48">
        <f t="shared" si="56"/>
        <v>0</v>
      </c>
      <c r="GP48">
        <f t="shared" si="57"/>
        <v>0</v>
      </c>
      <c r="GR48">
        <v>1</v>
      </c>
      <c r="GS48">
        <v>1</v>
      </c>
      <c r="GT48">
        <v>0</v>
      </c>
      <c r="GU48" t="s">
        <v>3</v>
      </c>
      <c r="GV48">
        <f t="shared" si="58"/>
        <v>0</v>
      </c>
      <c r="GW48">
        <v>1</v>
      </c>
      <c r="GX48">
        <f t="shared" si="59"/>
        <v>0</v>
      </c>
      <c r="HA48">
        <v>0</v>
      </c>
      <c r="HB48">
        <v>0</v>
      </c>
      <c r="HC48">
        <f t="shared" si="60"/>
        <v>0</v>
      </c>
      <c r="HE48" t="s">
        <v>36</v>
      </c>
      <c r="HF48" t="s">
        <v>28</v>
      </c>
      <c r="HM48" t="s">
        <v>3</v>
      </c>
      <c r="HN48" t="s">
        <v>3</v>
      </c>
      <c r="HO48" t="s">
        <v>3</v>
      </c>
      <c r="HP48" t="s">
        <v>3</v>
      </c>
      <c r="HQ48" t="s">
        <v>3</v>
      </c>
      <c r="IK48">
        <v>0</v>
      </c>
    </row>
    <row r="49" spans="1:245" x14ac:dyDescent="0.2">
      <c r="A49">
        <v>17</v>
      </c>
      <c r="B49">
        <v>1</v>
      </c>
      <c r="E49" t="s">
        <v>131</v>
      </c>
      <c r="F49" t="s">
        <v>29</v>
      </c>
      <c r="G49" t="s">
        <v>132</v>
      </c>
      <c r="H49" t="s">
        <v>72</v>
      </c>
      <c r="I49">
        <f>ROUND(I43*101,9)</f>
        <v>313.10000000000002</v>
      </c>
      <c r="J49">
        <v>0</v>
      </c>
      <c r="K49">
        <f>ROUND(I43*101,9)</f>
        <v>313.10000000000002</v>
      </c>
      <c r="O49">
        <f t="shared" si="21"/>
        <v>73788.899999999994</v>
      </c>
      <c r="P49">
        <f t="shared" si="22"/>
        <v>73788.899999999994</v>
      </c>
      <c r="Q49">
        <f t="shared" si="23"/>
        <v>0</v>
      </c>
      <c r="R49">
        <f t="shared" si="24"/>
        <v>0</v>
      </c>
      <c r="S49">
        <f t="shared" si="25"/>
        <v>0</v>
      </c>
      <c r="T49">
        <f t="shared" si="26"/>
        <v>0</v>
      </c>
      <c r="U49">
        <f t="shared" si="27"/>
        <v>0</v>
      </c>
      <c r="V49">
        <f t="shared" si="28"/>
        <v>0</v>
      </c>
      <c r="W49">
        <f t="shared" si="29"/>
        <v>0</v>
      </c>
      <c r="X49">
        <f t="shared" si="30"/>
        <v>0</v>
      </c>
      <c r="Y49">
        <f t="shared" si="31"/>
        <v>0</v>
      </c>
      <c r="AA49">
        <v>145026783</v>
      </c>
      <c r="AB49">
        <f t="shared" si="32"/>
        <v>26.48</v>
      </c>
      <c r="AC49">
        <f t="shared" si="61"/>
        <v>26.48</v>
      </c>
      <c r="AD49">
        <f t="shared" si="62"/>
        <v>0</v>
      </c>
      <c r="AE49">
        <f t="shared" si="63"/>
        <v>0</v>
      </c>
      <c r="AF49">
        <f t="shared" si="64"/>
        <v>0</v>
      </c>
      <c r="AG49">
        <f t="shared" si="37"/>
        <v>0</v>
      </c>
      <c r="AH49">
        <f t="shared" si="65"/>
        <v>0</v>
      </c>
      <c r="AI49">
        <f t="shared" si="66"/>
        <v>0</v>
      </c>
      <c r="AJ49">
        <f t="shared" si="40"/>
        <v>0</v>
      </c>
      <c r="AK49">
        <v>26.479999999999997</v>
      </c>
      <c r="AL49">
        <v>26.479999999999997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v>8.9</v>
      </c>
      <c r="BD49" t="s">
        <v>3</v>
      </c>
      <c r="BE49" t="s">
        <v>3</v>
      </c>
      <c r="BF49" t="s">
        <v>3</v>
      </c>
      <c r="BG49" t="s">
        <v>3</v>
      </c>
      <c r="BH49">
        <v>3</v>
      </c>
      <c r="BI49">
        <v>1</v>
      </c>
      <c r="BJ49" t="s">
        <v>3</v>
      </c>
      <c r="BM49">
        <v>1100</v>
      </c>
      <c r="BN49">
        <v>0</v>
      </c>
      <c r="BO49" t="s">
        <v>3</v>
      </c>
      <c r="BP49">
        <v>0</v>
      </c>
      <c r="BQ49">
        <v>8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0</v>
      </c>
      <c r="CA49">
        <v>0</v>
      </c>
      <c r="CB49" t="s">
        <v>3</v>
      </c>
      <c r="CE49">
        <v>0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41"/>
        <v>73788.899999999994</v>
      </c>
      <c r="CQ49">
        <f t="shared" si="42"/>
        <v>235.67200000000003</v>
      </c>
      <c r="CR49">
        <f t="shared" si="67"/>
        <v>0</v>
      </c>
      <c r="CS49">
        <f t="shared" si="44"/>
        <v>0</v>
      </c>
      <c r="CT49">
        <f t="shared" si="45"/>
        <v>0</v>
      </c>
      <c r="CU49">
        <f t="shared" si="46"/>
        <v>0</v>
      </c>
      <c r="CV49">
        <f t="shared" si="47"/>
        <v>0</v>
      </c>
      <c r="CW49">
        <f t="shared" si="48"/>
        <v>0</v>
      </c>
      <c r="CX49">
        <f t="shared" si="49"/>
        <v>0</v>
      </c>
      <c r="CY49">
        <f t="shared" si="50"/>
        <v>0</v>
      </c>
      <c r="CZ49">
        <f t="shared" si="51"/>
        <v>0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1005</v>
      </c>
      <c r="DV49" t="s">
        <v>72</v>
      </c>
      <c r="DW49" t="s">
        <v>72</v>
      </c>
      <c r="DX49">
        <v>1</v>
      </c>
      <c r="DZ49" t="s">
        <v>3</v>
      </c>
      <c r="EA49" t="s">
        <v>3</v>
      </c>
      <c r="EB49" t="s">
        <v>3</v>
      </c>
      <c r="EC49" t="s">
        <v>3</v>
      </c>
      <c r="EE49">
        <v>140625274</v>
      </c>
      <c r="EF49">
        <v>8</v>
      </c>
      <c r="EG49" t="s">
        <v>32</v>
      </c>
      <c r="EH49">
        <v>0</v>
      </c>
      <c r="EI49" t="s">
        <v>3</v>
      </c>
      <c r="EJ49">
        <v>1</v>
      </c>
      <c r="EK49">
        <v>1100</v>
      </c>
      <c r="EL49" t="s">
        <v>33</v>
      </c>
      <c r="EM49" t="s">
        <v>34</v>
      </c>
      <c r="EO49" t="s">
        <v>3</v>
      </c>
      <c r="EQ49">
        <v>0</v>
      </c>
      <c r="ER49">
        <v>26.479999999999997</v>
      </c>
      <c r="ES49">
        <v>26.479999999999997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5</v>
      </c>
      <c r="FC49">
        <v>1</v>
      </c>
      <c r="FD49">
        <v>18</v>
      </c>
      <c r="FF49">
        <v>264.04000000000002</v>
      </c>
      <c r="FQ49">
        <v>0</v>
      </c>
      <c r="FR49">
        <f t="shared" si="52"/>
        <v>0</v>
      </c>
      <c r="FS49">
        <v>0</v>
      </c>
      <c r="FX49">
        <v>0</v>
      </c>
      <c r="FY49">
        <v>0</v>
      </c>
      <c r="GA49" t="s">
        <v>133</v>
      </c>
      <c r="GD49">
        <v>1</v>
      </c>
      <c r="GF49">
        <v>-1620144865</v>
      </c>
      <c r="GG49">
        <v>2</v>
      </c>
      <c r="GH49">
        <v>3</v>
      </c>
      <c r="GI49">
        <v>4</v>
      </c>
      <c r="GJ49">
        <v>0</v>
      </c>
      <c r="GK49">
        <v>0</v>
      </c>
      <c r="GL49">
        <f t="shared" si="53"/>
        <v>0</v>
      </c>
      <c r="GM49">
        <f t="shared" si="54"/>
        <v>73788.899999999994</v>
      </c>
      <c r="GN49">
        <f t="shared" si="55"/>
        <v>73788.899999999994</v>
      </c>
      <c r="GO49">
        <f t="shared" si="56"/>
        <v>0</v>
      </c>
      <c r="GP49">
        <f t="shared" si="57"/>
        <v>0</v>
      </c>
      <c r="GR49">
        <v>1</v>
      </c>
      <c r="GS49">
        <v>1</v>
      </c>
      <c r="GT49">
        <v>0</v>
      </c>
      <c r="GU49" t="s">
        <v>3</v>
      </c>
      <c r="GV49">
        <f t="shared" si="58"/>
        <v>0</v>
      </c>
      <c r="GW49">
        <v>1</v>
      </c>
      <c r="GX49">
        <f t="shared" si="59"/>
        <v>0</v>
      </c>
      <c r="HA49">
        <v>0</v>
      </c>
      <c r="HB49">
        <v>0</v>
      </c>
      <c r="HC49">
        <f t="shared" si="60"/>
        <v>0</v>
      </c>
      <c r="HE49" t="s">
        <v>36</v>
      </c>
      <c r="HF49" t="s">
        <v>28</v>
      </c>
      <c r="HM49" t="s">
        <v>3</v>
      </c>
      <c r="HN49" t="s">
        <v>3</v>
      </c>
      <c r="HO49" t="s">
        <v>3</v>
      </c>
      <c r="HP49" t="s">
        <v>3</v>
      </c>
      <c r="HQ49" t="s">
        <v>3</v>
      </c>
      <c r="IK49">
        <v>0</v>
      </c>
    </row>
    <row r="50" spans="1:245" x14ac:dyDescent="0.2">
      <c r="A50">
        <v>17</v>
      </c>
      <c r="B50">
        <v>1</v>
      </c>
      <c r="C50">
        <f>ROW(SmtRes!A60)</f>
        <v>60</v>
      </c>
      <c r="D50">
        <f>ROW(EtalonRes!A65)</f>
        <v>65</v>
      </c>
      <c r="E50" t="s">
        <v>134</v>
      </c>
      <c r="F50" t="s">
        <v>135</v>
      </c>
      <c r="G50" t="s">
        <v>136</v>
      </c>
      <c r="H50" t="s">
        <v>40</v>
      </c>
      <c r="I50">
        <f>ROUND(258/100,9)</f>
        <v>2.58</v>
      </c>
      <c r="J50">
        <v>0</v>
      </c>
      <c r="K50">
        <f>ROUND(258/100,9)</f>
        <v>2.58</v>
      </c>
      <c r="O50">
        <f t="shared" si="21"/>
        <v>50664.91</v>
      </c>
      <c r="P50">
        <f t="shared" si="22"/>
        <v>0</v>
      </c>
      <c r="Q50">
        <f t="shared" si="23"/>
        <v>1444.6</v>
      </c>
      <c r="R50">
        <f t="shared" si="24"/>
        <v>1605.47</v>
      </c>
      <c r="S50">
        <f t="shared" si="25"/>
        <v>49220.31</v>
      </c>
      <c r="T50">
        <f t="shared" si="26"/>
        <v>0</v>
      </c>
      <c r="U50">
        <f t="shared" si="27"/>
        <v>180.26460000000003</v>
      </c>
      <c r="V50">
        <f t="shared" si="28"/>
        <v>3.7151999999999998</v>
      </c>
      <c r="W50">
        <f t="shared" si="29"/>
        <v>0</v>
      </c>
      <c r="X50">
        <f t="shared" si="30"/>
        <v>45234.94</v>
      </c>
      <c r="Y50">
        <f t="shared" si="31"/>
        <v>24904.63</v>
      </c>
      <c r="AA50">
        <v>145026783</v>
      </c>
      <c r="AB50">
        <f t="shared" si="32"/>
        <v>641</v>
      </c>
      <c r="AC50">
        <f t="shared" si="61"/>
        <v>0</v>
      </c>
      <c r="AD50">
        <f t="shared" si="62"/>
        <v>45.01</v>
      </c>
      <c r="AE50">
        <f t="shared" si="63"/>
        <v>19.440000000000001</v>
      </c>
      <c r="AF50">
        <f t="shared" si="64"/>
        <v>595.99</v>
      </c>
      <c r="AG50">
        <f t="shared" si="37"/>
        <v>0</v>
      </c>
      <c r="AH50">
        <f t="shared" si="65"/>
        <v>69.87</v>
      </c>
      <c r="AI50">
        <f t="shared" si="66"/>
        <v>1.44</v>
      </c>
      <c r="AJ50">
        <f t="shared" si="40"/>
        <v>0</v>
      </c>
      <c r="AK50">
        <v>641</v>
      </c>
      <c r="AL50">
        <v>0</v>
      </c>
      <c r="AM50">
        <v>45.01</v>
      </c>
      <c r="AN50">
        <v>19.440000000000001</v>
      </c>
      <c r="AO50">
        <v>595.99</v>
      </c>
      <c r="AP50">
        <v>0</v>
      </c>
      <c r="AQ50">
        <v>69.87</v>
      </c>
      <c r="AR50">
        <v>1.44</v>
      </c>
      <c r="AS50">
        <v>0</v>
      </c>
      <c r="AT50">
        <v>89</v>
      </c>
      <c r="AU50">
        <v>49</v>
      </c>
      <c r="AV50">
        <v>1</v>
      </c>
      <c r="AW50">
        <v>1</v>
      </c>
      <c r="AZ50">
        <v>1</v>
      </c>
      <c r="BA50">
        <v>32.01</v>
      </c>
      <c r="BB50">
        <v>12.44</v>
      </c>
      <c r="BC50">
        <v>8.9</v>
      </c>
      <c r="BD50" t="s">
        <v>3</v>
      </c>
      <c r="BE50" t="s">
        <v>3</v>
      </c>
      <c r="BF50" t="s">
        <v>3</v>
      </c>
      <c r="BG50" t="s">
        <v>3</v>
      </c>
      <c r="BH50">
        <v>0</v>
      </c>
      <c r="BI50">
        <v>1</v>
      </c>
      <c r="BJ50" t="s">
        <v>137</v>
      </c>
      <c r="BM50">
        <v>57001</v>
      </c>
      <c r="BN50">
        <v>0</v>
      </c>
      <c r="BO50" t="s">
        <v>3</v>
      </c>
      <c r="BP50">
        <v>0</v>
      </c>
      <c r="BQ50">
        <v>6</v>
      </c>
      <c r="BR50">
        <v>0</v>
      </c>
      <c r="BS50">
        <v>32.01</v>
      </c>
      <c r="BT50">
        <v>1</v>
      </c>
      <c r="BU50">
        <v>1</v>
      </c>
      <c r="BV50">
        <v>1</v>
      </c>
      <c r="BW50">
        <v>1</v>
      </c>
      <c r="BX50">
        <v>1</v>
      </c>
      <c r="BY50" t="s">
        <v>3</v>
      </c>
      <c r="BZ50">
        <v>89</v>
      </c>
      <c r="CA50">
        <v>49</v>
      </c>
      <c r="CB50" t="s">
        <v>3</v>
      </c>
      <c r="CE50">
        <v>0</v>
      </c>
      <c r="CF50">
        <v>0</v>
      </c>
      <c r="CG50">
        <v>0</v>
      </c>
      <c r="CM50">
        <v>0</v>
      </c>
      <c r="CN50" t="s">
        <v>3</v>
      </c>
      <c r="CO50">
        <v>0</v>
      </c>
      <c r="CP50">
        <f t="shared" si="41"/>
        <v>50664.909999999996</v>
      </c>
      <c r="CQ50">
        <f t="shared" si="42"/>
        <v>0</v>
      </c>
      <c r="CR50">
        <f t="shared" si="67"/>
        <v>559.92439999999999</v>
      </c>
      <c r="CS50">
        <f t="shared" si="44"/>
        <v>622.27440000000001</v>
      </c>
      <c r="CT50">
        <f t="shared" si="45"/>
        <v>19077.639899999998</v>
      </c>
      <c r="CU50">
        <f t="shared" si="46"/>
        <v>0</v>
      </c>
      <c r="CV50">
        <f t="shared" si="47"/>
        <v>69.87</v>
      </c>
      <c r="CW50">
        <f t="shared" si="48"/>
        <v>1.44</v>
      </c>
      <c r="CX50">
        <f t="shared" si="49"/>
        <v>0</v>
      </c>
      <c r="CY50">
        <f t="shared" si="50"/>
        <v>45234.944199999998</v>
      </c>
      <c r="CZ50">
        <f t="shared" si="51"/>
        <v>24904.632199999996</v>
      </c>
      <c r="DC50" t="s">
        <v>3</v>
      </c>
      <c r="DD50" t="s">
        <v>3</v>
      </c>
      <c r="DE50" t="s">
        <v>3</v>
      </c>
      <c r="DF50" t="s">
        <v>3</v>
      </c>
      <c r="DG50" t="s">
        <v>3</v>
      </c>
      <c r="DH50" t="s">
        <v>3</v>
      </c>
      <c r="DI50" t="s">
        <v>3</v>
      </c>
      <c r="DJ50" t="s">
        <v>3</v>
      </c>
      <c r="DK50" t="s">
        <v>3</v>
      </c>
      <c r="DL50" t="s">
        <v>3</v>
      </c>
      <c r="DM50" t="s">
        <v>3</v>
      </c>
      <c r="DN50">
        <v>0</v>
      </c>
      <c r="DO50">
        <v>0</v>
      </c>
      <c r="DP50">
        <v>1</v>
      </c>
      <c r="DQ50">
        <v>1</v>
      </c>
      <c r="DU50">
        <v>1005</v>
      </c>
      <c r="DV50" t="s">
        <v>40</v>
      </c>
      <c r="DW50" t="s">
        <v>40</v>
      </c>
      <c r="DX50">
        <v>100</v>
      </c>
      <c r="DZ50" t="s">
        <v>3</v>
      </c>
      <c r="EA50" t="s">
        <v>3</v>
      </c>
      <c r="EB50" t="s">
        <v>3</v>
      </c>
      <c r="EC50" t="s">
        <v>3</v>
      </c>
      <c r="EE50">
        <v>140625152</v>
      </c>
      <c r="EF50">
        <v>6</v>
      </c>
      <c r="EG50" t="s">
        <v>23</v>
      </c>
      <c r="EH50">
        <v>11</v>
      </c>
      <c r="EI50" t="s">
        <v>42</v>
      </c>
      <c r="EJ50">
        <v>1</v>
      </c>
      <c r="EK50">
        <v>57001</v>
      </c>
      <c r="EL50" t="s">
        <v>42</v>
      </c>
      <c r="EM50" t="s">
        <v>43</v>
      </c>
      <c r="EO50" t="s">
        <v>3</v>
      </c>
      <c r="EQ50">
        <v>0</v>
      </c>
      <c r="ER50">
        <v>641</v>
      </c>
      <c r="ES50">
        <v>0</v>
      </c>
      <c r="ET50">
        <v>45.01</v>
      </c>
      <c r="EU50">
        <v>19.440000000000001</v>
      </c>
      <c r="EV50">
        <v>595.99</v>
      </c>
      <c r="EW50">
        <v>69.87</v>
      </c>
      <c r="EX50">
        <v>1.44</v>
      </c>
      <c r="EY50">
        <v>0</v>
      </c>
      <c r="FQ50">
        <v>0</v>
      </c>
      <c r="FR50">
        <f t="shared" si="52"/>
        <v>0</v>
      </c>
      <c r="FS50">
        <v>0</v>
      </c>
      <c r="FX50">
        <v>89</v>
      </c>
      <c r="FY50">
        <v>49</v>
      </c>
      <c r="GA50" t="s">
        <v>3</v>
      </c>
      <c r="GD50">
        <v>1</v>
      </c>
      <c r="GF50">
        <v>913237570</v>
      </c>
      <c r="GG50">
        <v>2</v>
      </c>
      <c r="GH50">
        <v>1</v>
      </c>
      <c r="GI50">
        <v>4</v>
      </c>
      <c r="GJ50">
        <v>0</v>
      </c>
      <c r="GK50">
        <v>0</v>
      </c>
      <c r="GL50">
        <f t="shared" si="53"/>
        <v>0</v>
      </c>
      <c r="GM50">
        <f t="shared" si="54"/>
        <v>120804.48</v>
      </c>
      <c r="GN50">
        <f t="shared" si="55"/>
        <v>120804.48</v>
      </c>
      <c r="GO50">
        <f t="shared" si="56"/>
        <v>0</v>
      </c>
      <c r="GP50">
        <f t="shared" si="57"/>
        <v>0</v>
      </c>
      <c r="GR50">
        <v>0</v>
      </c>
      <c r="GS50">
        <v>3</v>
      </c>
      <c r="GT50">
        <v>0</v>
      </c>
      <c r="GU50" t="s">
        <v>3</v>
      </c>
      <c r="GV50">
        <f t="shared" si="58"/>
        <v>0</v>
      </c>
      <c r="GW50">
        <v>1</v>
      </c>
      <c r="GX50">
        <f t="shared" si="59"/>
        <v>0</v>
      </c>
      <c r="HA50">
        <v>0</v>
      </c>
      <c r="HB50">
        <v>0</v>
      </c>
      <c r="HC50">
        <f t="shared" si="60"/>
        <v>0</v>
      </c>
      <c r="HE50" t="s">
        <v>3</v>
      </c>
      <c r="HF50" t="s">
        <v>3</v>
      </c>
      <c r="HM50" t="s">
        <v>3</v>
      </c>
      <c r="HN50" t="s">
        <v>44</v>
      </c>
      <c r="HO50" t="s">
        <v>45</v>
      </c>
      <c r="HP50" t="s">
        <v>42</v>
      </c>
      <c r="HQ50" t="s">
        <v>42</v>
      </c>
      <c r="IK50">
        <v>0</v>
      </c>
    </row>
    <row r="51" spans="1:245" x14ac:dyDescent="0.2">
      <c r="A51">
        <v>18</v>
      </c>
      <c r="B51">
        <v>1</v>
      </c>
      <c r="C51">
        <v>60</v>
      </c>
      <c r="E51" t="s">
        <v>138</v>
      </c>
      <c r="F51" t="s">
        <v>47</v>
      </c>
      <c r="G51" t="s">
        <v>48</v>
      </c>
      <c r="H51" t="s">
        <v>49</v>
      </c>
      <c r="I51">
        <f>I50*J51</f>
        <v>13.416</v>
      </c>
      <c r="J51">
        <v>5.2</v>
      </c>
      <c r="K51">
        <v>5.2</v>
      </c>
      <c r="O51">
        <f t="shared" si="21"/>
        <v>0</v>
      </c>
      <c r="P51">
        <f t="shared" si="22"/>
        <v>0</v>
      </c>
      <c r="Q51">
        <f t="shared" si="23"/>
        <v>0</v>
      </c>
      <c r="R51">
        <f t="shared" si="24"/>
        <v>0</v>
      </c>
      <c r="S51">
        <f t="shared" si="25"/>
        <v>0</v>
      </c>
      <c r="T51">
        <f t="shared" si="26"/>
        <v>0</v>
      </c>
      <c r="U51">
        <f t="shared" si="27"/>
        <v>0</v>
      </c>
      <c r="V51">
        <f t="shared" si="28"/>
        <v>0</v>
      </c>
      <c r="W51">
        <f t="shared" si="29"/>
        <v>0</v>
      </c>
      <c r="X51">
        <f t="shared" si="30"/>
        <v>0</v>
      </c>
      <c r="Y51">
        <f t="shared" si="31"/>
        <v>0</v>
      </c>
      <c r="AA51">
        <v>145026783</v>
      </c>
      <c r="AB51">
        <f t="shared" si="32"/>
        <v>0</v>
      </c>
      <c r="AC51">
        <f t="shared" si="61"/>
        <v>0</v>
      </c>
      <c r="AD51">
        <f t="shared" si="62"/>
        <v>0</v>
      </c>
      <c r="AE51">
        <f t="shared" si="63"/>
        <v>0</v>
      </c>
      <c r="AF51">
        <f t="shared" si="64"/>
        <v>0</v>
      </c>
      <c r="AG51">
        <f t="shared" si="37"/>
        <v>0</v>
      </c>
      <c r="AH51">
        <f t="shared" si="65"/>
        <v>0</v>
      </c>
      <c r="AI51">
        <f t="shared" si="66"/>
        <v>0</v>
      </c>
      <c r="AJ51">
        <f t="shared" si="40"/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89</v>
      </c>
      <c r="AU51">
        <v>49</v>
      </c>
      <c r="AV51">
        <v>1</v>
      </c>
      <c r="AW51">
        <v>1</v>
      </c>
      <c r="AZ51">
        <v>1</v>
      </c>
      <c r="BA51">
        <v>1</v>
      </c>
      <c r="BB51">
        <v>1</v>
      </c>
      <c r="BC51">
        <v>8.9</v>
      </c>
      <c r="BD51" t="s">
        <v>3</v>
      </c>
      <c r="BE51" t="s">
        <v>3</v>
      </c>
      <c r="BF51" t="s">
        <v>3</v>
      </c>
      <c r="BG51" t="s">
        <v>3</v>
      </c>
      <c r="BH51">
        <v>3</v>
      </c>
      <c r="BI51">
        <v>1</v>
      </c>
      <c r="BJ51" t="s">
        <v>3</v>
      </c>
      <c r="BM51">
        <v>57001</v>
      </c>
      <c r="BN51">
        <v>0</v>
      </c>
      <c r="BO51" t="s">
        <v>3</v>
      </c>
      <c r="BP51">
        <v>0</v>
      </c>
      <c r="BQ51">
        <v>6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89</v>
      </c>
      <c r="CA51">
        <v>49</v>
      </c>
      <c r="CB51" t="s">
        <v>3</v>
      </c>
      <c r="CE51">
        <v>0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41"/>
        <v>0</v>
      </c>
      <c r="CQ51">
        <f t="shared" si="42"/>
        <v>0</v>
      </c>
      <c r="CR51">
        <f t="shared" si="67"/>
        <v>0</v>
      </c>
      <c r="CS51">
        <f t="shared" si="44"/>
        <v>0</v>
      </c>
      <c r="CT51">
        <f t="shared" si="45"/>
        <v>0</v>
      </c>
      <c r="CU51">
        <f t="shared" si="46"/>
        <v>0</v>
      </c>
      <c r="CV51">
        <f t="shared" si="47"/>
        <v>0</v>
      </c>
      <c r="CW51">
        <f t="shared" si="48"/>
        <v>0</v>
      </c>
      <c r="CX51">
        <f t="shared" si="49"/>
        <v>0</v>
      </c>
      <c r="CY51">
        <f t="shared" si="50"/>
        <v>0</v>
      </c>
      <c r="CZ51">
        <f t="shared" si="51"/>
        <v>0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1009</v>
      </c>
      <c r="DV51" t="s">
        <v>49</v>
      </c>
      <c r="DW51" t="s">
        <v>49</v>
      </c>
      <c r="DX51">
        <v>1000</v>
      </c>
      <c r="DZ51" t="s">
        <v>3</v>
      </c>
      <c r="EA51" t="s">
        <v>3</v>
      </c>
      <c r="EB51" t="s">
        <v>3</v>
      </c>
      <c r="EC51" t="s">
        <v>3</v>
      </c>
      <c r="EE51">
        <v>140625152</v>
      </c>
      <c r="EF51">
        <v>6</v>
      </c>
      <c r="EG51" t="s">
        <v>23</v>
      </c>
      <c r="EH51">
        <v>11</v>
      </c>
      <c r="EI51" t="s">
        <v>42</v>
      </c>
      <c r="EJ51">
        <v>1</v>
      </c>
      <c r="EK51">
        <v>57001</v>
      </c>
      <c r="EL51" t="s">
        <v>42</v>
      </c>
      <c r="EM51" t="s">
        <v>43</v>
      </c>
      <c r="EO51" t="s">
        <v>3</v>
      </c>
      <c r="EQ51">
        <v>0</v>
      </c>
      <c r="ER51">
        <v>0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FQ51">
        <v>0</v>
      </c>
      <c r="FR51">
        <f t="shared" si="52"/>
        <v>0</v>
      </c>
      <c r="FS51">
        <v>0</v>
      </c>
      <c r="FX51">
        <v>89</v>
      </c>
      <c r="FY51">
        <v>49</v>
      </c>
      <c r="GA51" t="s">
        <v>3</v>
      </c>
      <c r="GD51">
        <v>1</v>
      </c>
      <c r="GF51">
        <v>2102561428</v>
      </c>
      <c r="GG51">
        <v>2</v>
      </c>
      <c r="GH51">
        <v>1</v>
      </c>
      <c r="GI51">
        <v>4</v>
      </c>
      <c r="GJ51">
        <v>0</v>
      </c>
      <c r="GK51">
        <v>0</v>
      </c>
      <c r="GL51">
        <f t="shared" si="53"/>
        <v>0</v>
      </c>
      <c r="GM51">
        <f t="shared" si="54"/>
        <v>0</v>
      </c>
      <c r="GN51">
        <f t="shared" si="55"/>
        <v>0</v>
      </c>
      <c r="GO51">
        <f t="shared" si="56"/>
        <v>0</v>
      </c>
      <c r="GP51">
        <f t="shared" si="57"/>
        <v>0</v>
      </c>
      <c r="GR51">
        <v>0</v>
      </c>
      <c r="GS51">
        <v>3</v>
      </c>
      <c r="GT51">
        <v>0</v>
      </c>
      <c r="GU51" t="s">
        <v>3</v>
      </c>
      <c r="GV51">
        <f t="shared" si="58"/>
        <v>0</v>
      </c>
      <c r="GW51">
        <v>1</v>
      </c>
      <c r="GX51">
        <f t="shared" si="59"/>
        <v>0</v>
      </c>
      <c r="HA51">
        <v>0</v>
      </c>
      <c r="HB51">
        <v>0</v>
      </c>
      <c r="HC51">
        <f t="shared" si="60"/>
        <v>0</v>
      </c>
      <c r="HE51" t="s">
        <v>3</v>
      </c>
      <c r="HF51" t="s">
        <v>3</v>
      </c>
      <c r="HM51" t="s">
        <v>3</v>
      </c>
      <c r="HN51" t="s">
        <v>44</v>
      </c>
      <c r="HO51" t="s">
        <v>45</v>
      </c>
      <c r="HP51" t="s">
        <v>42</v>
      </c>
      <c r="HQ51" t="s">
        <v>42</v>
      </c>
      <c r="IK51">
        <v>0</v>
      </c>
    </row>
    <row r="52" spans="1:245" x14ac:dyDescent="0.2">
      <c r="A52">
        <v>17</v>
      </c>
      <c r="B52">
        <v>1</v>
      </c>
      <c r="C52">
        <f>ROW(SmtRes!A66)</f>
        <v>66</v>
      </c>
      <c r="D52">
        <f>ROW(EtalonRes!A71)</f>
        <v>71</v>
      </c>
      <c r="E52" t="s">
        <v>139</v>
      </c>
      <c r="F52" t="s">
        <v>140</v>
      </c>
      <c r="G52" t="s">
        <v>141</v>
      </c>
      <c r="H52" t="s">
        <v>40</v>
      </c>
      <c r="I52">
        <f>ROUND(190.56/100,9)</f>
        <v>1.9056</v>
      </c>
      <c r="J52">
        <v>0</v>
      </c>
      <c r="K52">
        <f>ROUND(190.56/100,9)</f>
        <v>1.9056</v>
      </c>
      <c r="O52">
        <f t="shared" si="21"/>
        <v>37944.1</v>
      </c>
      <c r="P52">
        <f t="shared" si="22"/>
        <v>0</v>
      </c>
      <c r="Q52">
        <f t="shared" si="23"/>
        <v>2275.98</v>
      </c>
      <c r="R52">
        <f t="shared" si="24"/>
        <v>288.52</v>
      </c>
      <c r="S52">
        <f t="shared" si="25"/>
        <v>35668.120000000003</v>
      </c>
      <c r="T52">
        <f t="shared" si="26"/>
        <v>0</v>
      </c>
      <c r="U52">
        <f t="shared" si="27"/>
        <v>141.58607999999998</v>
      </c>
      <c r="V52">
        <f t="shared" si="28"/>
        <v>0.66696</v>
      </c>
      <c r="W52">
        <f t="shared" si="29"/>
        <v>0</v>
      </c>
      <c r="X52">
        <f t="shared" si="30"/>
        <v>32360.98</v>
      </c>
      <c r="Y52">
        <f t="shared" si="31"/>
        <v>16180.49</v>
      </c>
      <c r="AA52">
        <v>145026783</v>
      </c>
      <c r="AB52">
        <f t="shared" si="32"/>
        <v>680.75</v>
      </c>
      <c r="AC52">
        <f t="shared" si="61"/>
        <v>0</v>
      </c>
      <c r="AD52">
        <f t="shared" si="62"/>
        <v>96.01</v>
      </c>
      <c r="AE52">
        <f t="shared" si="63"/>
        <v>4.7300000000000004</v>
      </c>
      <c r="AF52">
        <f t="shared" si="64"/>
        <v>584.74</v>
      </c>
      <c r="AG52">
        <f t="shared" si="37"/>
        <v>0</v>
      </c>
      <c r="AH52">
        <f t="shared" si="65"/>
        <v>74.3</v>
      </c>
      <c r="AI52">
        <f t="shared" si="66"/>
        <v>0.35</v>
      </c>
      <c r="AJ52">
        <f t="shared" si="40"/>
        <v>0</v>
      </c>
      <c r="AK52">
        <v>680.75</v>
      </c>
      <c r="AL52">
        <v>0</v>
      </c>
      <c r="AM52">
        <v>96.01</v>
      </c>
      <c r="AN52">
        <v>4.7300000000000004</v>
      </c>
      <c r="AO52">
        <v>584.74</v>
      </c>
      <c r="AP52">
        <v>0</v>
      </c>
      <c r="AQ52">
        <v>74.3</v>
      </c>
      <c r="AR52">
        <v>0.35</v>
      </c>
      <c r="AS52">
        <v>0</v>
      </c>
      <c r="AT52">
        <v>90</v>
      </c>
      <c r="AU52">
        <v>45</v>
      </c>
      <c r="AV52">
        <v>1</v>
      </c>
      <c r="AW52">
        <v>1</v>
      </c>
      <c r="AZ52">
        <v>1</v>
      </c>
      <c r="BA52">
        <v>32.01</v>
      </c>
      <c r="BB52">
        <v>12.44</v>
      </c>
      <c r="BC52">
        <v>8.9</v>
      </c>
      <c r="BD52" t="s">
        <v>3</v>
      </c>
      <c r="BE52" t="s">
        <v>3</v>
      </c>
      <c r="BF52" t="s">
        <v>3</v>
      </c>
      <c r="BG52" t="s">
        <v>3</v>
      </c>
      <c r="BH52">
        <v>0</v>
      </c>
      <c r="BI52">
        <v>1</v>
      </c>
      <c r="BJ52" t="s">
        <v>142</v>
      </c>
      <c r="BM52">
        <v>63001</v>
      </c>
      <c r="BN52">
        <v>0</v>
      </c>
      <c r="BO52" t="s">
        <v>3</v>
      </c>
      <c r="BP52">
        <v>0</v>
      </c>
      <c r="BQ52">
        <v>6</v>
      </c>
      <c r="BR52">
        <v>0</v>
      </c>
      <c r="BS52">
        <v>32.01</v>
      </c>
      <c r="BT52">
        <v>1</v>
      </c>
      <c r="BU52">
        <v>1</v>
      </c>
      <c r="BV52">
        <v>1</v>
      </c>
      <c r="BW52">
        <v>1</v>
      </c>
      <c r="BX52">
        <v>1</v>
      </c>
      <c r="BY52" t="s">
        <v>3</v>
      </c>
      <c r="BZ52">
        <v>90</v>
      </c>
      <c r="CA52">
        <v>45</v>
      </c>
      <c r="CB52" t="s">
        <v>3</v>
      </c>
      <c r="CE52">
        <v>0</v>
      </c>
      <c r="CF52">
        <v>0</v>
      </c>
      <c r="CG52">
        <v>0</v>
      </c>
      <c r="CM52">
        <v>0</v>
      </c>
      <c r="CN52" t="s">
        <v>3</v>
      </c>
      <c r="CO52">
        <v>0</v>
      </c>
      <c r="CP52">
        <f t="shared" si="41"/>
        <v>37944.100000000006</v>
      </c>
      <c r="CQ52">
        <f t="shared" si="42"/>
        <v>0</v>
      </c>
      <c r="CR52">
        <f t="shared" si="67"/>
        <v>1194.3643999999999</v>
      </c>
      <c r="CS52">
        <f t="shared" si="44"/>
        <v>151.40729999999999</v>
      </c>
      <c r="CT52">
        <f t="shared" si="45"/>
        <v>18717.527399999999</v>
      </c>
      <c r="CU52">
        <f t="shared" si="46"/>
        <v>0</v>
      </c>
      <c r="CV52">
        <f t="shared" si="47"/>
        <v>74.3</v>
      </c>
      <c r="CW52">
        <f t="shared" si="48"/>
        <v>0.35</v>
      </c>
      <c r="CX52">
        <f t="shared" si="49"/>
        <v>0</v>
      </c>
      <c r="CY52">
        <f t="shared" si="50"/>
        <v>32360.976000000002</v>
      </c>
      <c r="CZ52">
        <f t="shared" si="51"/>
        <v>16180.488000000001</v>
      </c>
      <c r="DC52" t="s">
        <v>3</v>
      </c>
      <c r="DD52" t="s">
        <v>3</v>
      </c>
      <c r="DE52" t="s">
        <v>3</v>
      </c>
      <c r="DF52" t="s">
        <v>3</v>
      </c>
      <c r="DG52" t="s">
        <v>3</v>
      </c>
      <c r="DH52" t="s">
        <v>3</v>
      </c>
      <c r="DI52" t="s">
        <v>3</v>
      </c>
      <c r="DJ52" t="s">
        <v>3</v>
      </c>
      <c r="DK52" t="s">
        <v>3</v>
      </c>
      <c r="DL52" t="s">
        <v>3</v>
      </c>
      <c r="DM52" t="s">
        <v>3</v>
      </c>
      <c r="DN52">
        <v>0</v>
      </c>
      <c r="DO52">
        <v>0</v>
      </c>
      <c r="DP52">
        <v>1</v>
      </c>
      <c r="DQ52">
        <v>1</v>
      </c>
      <c r="DU52">
        <v>1005</v>
      </c>
      <c r="DV52" t="s">
        <v>40</v>
      </c>
      <c r="DW52" t="s">
        <v>40</v>
      </c>
      <c r="DX52">
        <v>100</v>
      </c>
      <c r="DZ52" t="s">
        <v>3</v>
      </c>
      <c r="EA52" t="s">
        <v>3</v>
      </c>
      <c r="EB52" t="s">
        <v>3</v>
      </c>
      <c r="EC52" t="s">
        <v>3</v>
      </c>
      <c r="EE52">
        <v>140625164</v>
      </c>
      <c r="EF52">
        <v>6</v>
      </c>
      <c r="EG52" t="s">
        <v>23</v>
      </c>
      <c r="EH52">
        <v>97</v>
      </c>
      <c r="EI52" t="s">
        <v>82</v>
      </c>
      <c r="EJ52">
        <v>1</v>
      </c>
      <c r="EK52">
        <v>63001</v>
      </c>
      <c r="EL52" t="s">
        <v>83</v>
      </c>
      <c r="EM52" t="s">
        <v>84</v>
      </c>
      <c r="EO52" t="s">
        <v>3</v>
      </c>
      <c r="EQ52">
        <v>0</v>
      </c>
      <c r="ER52">
        <v>680.75</v>
      </c>
      <c r="ES52">
        <v>0</v>
      </c>
      <c r="ET52">
        <v>96.01</v>
      </c>
      <c r="EU52">
        <v>4.7300000000000004</v>
      </c>
      <c r="EV52">
        <v>584.74</v>
      </c>
      <c r="EW52">
        <v>74.3</v>
      </c>
      <c r="EX52">
        <v>0.35</v>
      </c>
      <c r="EY52">
        <v>0</v>
      </c>
      <c r="FQ52">
        <v>0</v>
      </c>
      <c r="FR52">
        <f t="shared" si="52"/>
        <v>0</v>
      </c>
      <c r="FS52">
        <v>0</v>
      </c>
      <c r="FX52">
        <v>90</v>
      </c>
      <c r="FY52">
        <v>45</v>
      </c>
      <c r="GA52" t="s">
        <v>3</v>
      </c>
      <c r="GD52">
        <v>1</v>
      </c>
      <c r="GF52">
        <v>385134035</v>
      </c>
      <c r="GG52">
        <v>2</v>
      </c>
      <c r="GH52">
        <v>1</v>
      </c>
      <c r="GI52">
        <v>4</v>
      </c>
      <c r="GJ52">
        <v>0</v>
      </c>
      <c r="GK52">
        <v>0</v>
      </c>
      <c r="GL52">
        <f t="shared" si="53"/>
        <v>0</v>
      </c>
      <c r="GM52">
        <f t="shared" si="54"/>
        <v>86485.57</v>
      </c>
      <c r="GN52">
        <f t="shared" si="55"/>
        <v>86485.57</v>
      </c>
      <c r="GO52">
        <f t="shared" si="56"/>
        <v>0</v>
      </c>
      <c r="GP52">
        <f t="shared" si="57"/>
        <v>0</v>
      </c>
      <c r="GR52">
        <v>0</v>
      </c>
      <c r="GS52">
        <v>3</v>
      </c>
      <c r="GT52">
        <v>0</v>
      </c>
      <c r="GU52" t="s">
        <v>3</v>
      </c>
      <c r="GV52">
        <f t="shared" si="58"/>
        <v>0</v>
      </c>
      <c r="GW52">
        <v>1</v>
      </c>
      <c r="GX52">
        <f t="shared" si="59"/>
        <v>0</v>
      </c>
      <c r="HA52">
        <v>0</v>
      </c>
      <c r="HB52">
        <v>0</v>
      </c>
      <c r="HC52">
        <f t="shared" si="60"/>
        <v>0</v>
      </c>
      <c r="HE52" t="s">
        <v>3</v>
      </c>
      <c r="HF52" t="s">
        <v>3</v>
      </c>
      <c r="HM52" t="s">
        <v>3</v>
      </c>
      <c r="HN52" t="s">
        <v>85</v>
      </c>
      <c r="HO52" t="s">
        <v>86</v>
      </c>
      <c r="HP52" t="s">
        <v>83</v>
      </c>
      <c r="HQ52" t="s">
        <v>83</v>
      </c>
      <c r="IK52">
        <v>0</v>
      </c>
    </row>
    <row r="53" spans="1:245" x14ac:dyDescent="0.2">
      <c r="A53">
        <v>18</v>
      </c>
      <c r="B53">
        <v>1</v>
      </c>
      <c r="C53">
        <v>66</v>
      </c>
      <c r="E53" t="s">
        <v>143</v>
      </c>
      <c r="F53" t="s">
        <v>47</v>
      </c>
      <c r="G53" t="s">
        <v>48</v>
      </c>
      <c r="H53" t="s">
        <v>49</v>
      </c>
      <c r="I53">
        <f>I52*J53</f>
        <v>8.4036960000000001</v>
      </c>
      <c r="J53">
        <v>4.41</v>
      </c>
      <c r="K53">
        <v>4.41</v>
      </c>
      <c r="O53">
        <f t="shared" si="21"/>
        <v>0</v>
      </c>
      <c r="P53">
        <f t="shared" si="22"/>
        <v>0</v>
      </c>
      <c r="Q53">
        <f t="shared" si="23"/>
        <v>0</v>
      </c>
      <c r="R53">
        <f t="shared" si="24"/>
        <v>0</v>
      </c>
      <c r="S53">
        <f t="shared" si="25"/>
        <v>0</v>
      </c>
      <c r="T53">
        <f t="shared" si="26"/>
        <v>0</v>
      </c>
      <c r="U53">
        <f t="shared" si="27"/>
        <v>0</v>
      </c>
      <c r="V53">
        <f t="shared" si="28"/>
        <v>0</v>
      </c>
      <c r="W53">
        <f t="shared" si="29"/>
        <v>0</v>
      </c>
      <c r="X53">
        <f t="shared" si="30"/>
        <v>0</v>
      </c>
      <c r="Y53">
        <f t="shared" si="31"/>
        <v>0</v>
      </c>
      <c r="AA53">
        <v>145026783</v>
      </c>
      <c r="AB53">
        <f t="shared" si="32"/>
        <v>0</v>
      </c>
      <c r="AC53">
        <f t="shared" si="61"/>
        <v>0</v>
      </c>
      <c r="AD53">
        <f t="shared" si="62"/>
        <v>0</v>
      </c>
      <c r="AE53">
        <f t="shared" si="63"/>
        <v>0</v>
      </c>
      <c r="AF53">
        <f t="shared" si="64"/>
        <v>0</v>
      </c>
      <c r="AG53">
        <f t="shared" si="37"/>
        <v>0</v>
      </c>
      <c r="AH53">
        <f t="shared" si="65"/>
        <v>0</v>
      </c>
      <c r="AI53">
        <f t="shared" si="66"/>
        <v>0</v>
      </c>
      <c r="AJ53">
        <f t="shared" si="40"/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90</v>
      </c>
      <c r="AU53">
        <v>45</v>
      </c>
      <c r="AV53">
        <v>1</v>
      </c>
      <c r="AW53">
        <v>1</v>
      </c>
      <c r="AZ53">
        <v>1</v>
      </c>
      <c r="BA53">
        <v>1</v>
      </c>
      <c r="BB53">
        <v>1</v>
      </c>
      <c r="BC53">
        <v>8.9</v>
      </c>
      <c r="BD53" t="s">
        <v>3</v>
      </c>
      <c r="BE53" t="s">
        <v>3</v>
      </c>
      <c r="BF53" t="s">
        <v>3</v>
      </c>
      <c r="BG53" t="s">
        <v>3</v>
      </c>
      <c r="BH53">
        <v>3</v>
      </c>
      <c r="BI53">
        <v>1</v>
      </c>
      <c r="BJ53" t="s">
        <v>3</v>
      </c>
      <c r="BM53">
        <v>63001</v>
      </c>
      <c r="BN53">
        <v>0</v>
      </c>
      <c r="BO53" t="s">
        <v>3</v>
      </c>
      <c r="BP53">
        <v>0</v>
      </c>
      <c r="BQ53">
        <v>6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90</v>
      </c>
      <c r="CA53">
        <v>45</v>
      </c>
      <c r="CB53" t="s">
        <v>3</v>
      </c>
      <c r="CE53">
        <v>0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41"/>
        <v>0</v>
      </c>
      <c r="CQ53">
        <f t="shared" si="42"/>
        <v>0</v>
      </c>
      <c r="CR53">
        <f t="shared" si="67"/>
        <v>0</v>
      </c>
      <c r="CS53">
        <f t="shared" si="44"/>
        <v>0</v>
      </c>
      <c r="CT53">
        <f t="shared" si="45"/>
        <v>0</v>
      </c>
      <c r="CU53">
        <f t="shared" si="46"/>
        <v>0</v>
      </c>
      <c r="CV53">
        <f t="shared" si="47"/>
        <v>0</v>
      </c>
      <c r="CW53">
        <f t="shared" si="48"/>
        <v>0</v>
      </c>
      <c r="CX53">
        <f t="shared" si="49"/>
        <v>0</v>
      </c>
      <c r="CY53">
        <f t="shared" si="50"/>
        <v>0</v>
      </c>
      <c r="CZ53">
        <f t="shared" si="51"/>
        <v>0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1009</v>
      </c>
      <c r="DV53" t="s">
        <v>49</v>
      </c>
      <c r="DW53" t="s">
        <v>49</v>
      </c>
      <c r="DX53">
        <v>1000</v>
      </c>
      <c r="DZ53" t="s">
        <v>3</v>
      </c>
      <c r="EA53" t="s">
        <v>3</v>
      </c>
      <c r="EB53" t="s">
        <v>3</v>
      </c>
      <c r="EC53" t="s">
        <v>3</v>
      </c>
      <c r="EE53">
        <v>140625164</v>
      </c>
      <c r="EF53">
        <v>6</v>
      </c>
      <c r="EG53" t="s">
        <v>23</v>
      </c>
      <c r="EH53">
        <v>97</v>
      </c>
      <c r="EI53" t="s">
        <v>82</v>
      </c>
      <c r="EJ53">
        <v>1</v>
      </c>
      <c r="EK53">
        <v>63001</v>
      </c>
      <c r="EL53" t="s">
        <v>83</v>
      </c>
      <c r="EM53" t="s">
        <v>84</v>
      </c>
      <c r="EO53" t="s">
        <v>3</v>
      </c>
      <c r="EQ53">
        <v>0</v>
      </c>
      <c r="ER53">
        <v>0</v>
      </c>
      <c r="ES53">
        <v>0</v>
      </c>
      <c r="ET53">
        <v>0</v>
      </c>
      <c r="EU53">
        <v>0</v>
      </c>
      <c r="EV53">
        <v>0</v>
      </c>
      <c r="EW53">
        <v>0</v>
      </c>
      <c r="EX53">
        <v>0</v>
      </c>
      <c r="FQ53">
        <v>0</v>
      </c>
      <c r="FR53">
        <f t="shared" si="52"/>
        <v>0</v>
      </c>
      <c r="FS53">
        <v>0</v>
      </c>
      <c r="FX53">
        <v>90</v>
      </c>
      <c r="FY53">
        <v>45</v>
      </c>
      <c r="GA53" t="s">
        <v>3</v>
      </c>
      <c r="GD53">
        <v>1</v>
      </c>
      <c r="GF53">
        <v>2102561428</v>
      </c>
      <c r="GG53">
        <v>2</v>
      </c>
      <c r="GH53">
        <v>1</v>
      </c>
      <c r="GI53">
        <v>4</v>
      </c>
      <c r="GJ53">
        <v>0</v>
      </c>
      <c r="GK53">
        <v>0</v>
      </c>
      <c r="GL53">
        <f t="shared" si="53"/>
        <v>0</v>
      </c>
      <c r="GM53">
        <f t="shared" si="54"/>
        <v>0</v>
      </c>
      <c r="GN53">
        <f t="shared" si="55"/>
        <v>0</v>
      </c>
      <c r="GO53">
        <f t="shared" si="56"/>
        <v>0</v>
      </c>
      <c r="GP53">
        <f t="shared" si="57"/>
        <v>0</v>
      </c>
      <c r="GR53">
        <v>0</v>
      </c>
      <c r="GS53">
        <v>3</v>
      </c>
      <c r="GT53">
        <v>0</v>
      </c>
      <c r="GU53" t="s">
        <v>3</v>
      </c>
      <c r="GV53">
        <f t="shared" si="58"/>
        <v>0</v>
      </c>
      <c r="GW53">
        <v>1</v>
      </c>
      <c r="GX53">
        <f t="shared" si="59"/>
        <v>0</v>
      </c>
      <c r="HA53">
        <v>0</v>
      </c>
      <c r="HB53">
        <v>0</v>
      </c>
      <c r="HC53">
        <f t="shared" si="60"/>
        <v>0</v>
      </c>
      <c r="HE53" t="s">
        <v>3</v>
      </c>
      <c r="HF53" t="s">
        <v>3</v>
      </c>
      <c r="HM53" t="s">
        <v>3</v>
      </c>
      <c r="HN53" t="s">
        <v>85</v>
      </c>
      <c r="HO53" t="s">
        <v>86</v>
      </c>
      <c r="HP53" t="s">
        <v>83</v>
      </c>
      <c r="HQ53" t="s">
        <v>83</v>
      </c>
      <c r="IK53">
        <v>0</v>
      </c>
    </row>
    <row r="54" spans="1:245" x14ac:dyDescent="0.2">
      <c r="A54">
        <v>17</v>
      </c>
      <c r="B54">
        <v>1</v>
      </c>
      <c r="C54">
        <f>ROW(SmtRes!A73)</f>
        <v>73</v>
      </c>
      <c r="D54">
        <f>ROW(EtalonRes!A79)</f>
        <v>79</v>
      </c>
      <c r="E54" t="s">
        <v>144</v>
      </c>
      <c r="F54" t="s">
        <v>145</v>
      </c>
      <c r="G54" t="s">
        <v>146</v>
      </c>
      <c r="H54" t="s">
        <v>40</v>
      </c>
      <c r="I54">
        <f>ROUND(258/100,9)</f>
        <v>2.58</v>
      </c>
      <c r="J54">
        <v>0</v>
      </c>
      <c r="K54">
        <f>ROUND(258/100,9)</f>
        <v>2.58</v>
      </c>
      <c r="O54">
        <f t="shared" si="21"/>
        <v>4147.62</v>
      </c>
      <c r="P54">
        <f t="shared" si="22"/>
        <v>42.25</v>
      </c>
      <c r="Q54">
        <f t="shared" si="23"/>
        <v>888.65</v>
      </c>
      <c r="R54">
        <f t="shared" si="24"/>
        <v>60.29</v>
      </c>
      <c r="S54">
        <f t="shared" si="25"/>
        <v>3216.72</v>
      </c>
      <c r="T54">
        <f t="shared" si="26"/>
        <v>0</v>
      </c>
      <c r="U54">
        <f t="shared" si="27"/>
        <v>10.948230000000001</v>
      </c>
      <c r="V54">
        <f t="shared" si="28"/>
        <v>0.16125</v>
      </c>
      <c r="W54">
        <f t="shared" si="29"/>
        <v>0</v>
      </c>
      <c r="X54">
        <f t="shared" si="30"/>
        <v>3277.01</v>
      </c>
      <c r="Y54">
        <f t="shared" si="31"/>
        <v>1364.87</v>
      </c>
      <c r="AA54">
        <v>145026783</v>
      </c>
      <c r="AB54">
        <f t="shared" si="32"/>
        <v>68.47</v>
      </c>
      <c r="AC54">
        <f t="shared" si="61"/>
        <v>1.84</v>
      </c>
      <c r="AD54">
        <f>ROUND(((((ET54*1.25))-((EU54*1.25)))+AE54),2)</f>
        <v>27.68</v>
      </c>
      <c r="AE54">
        <f>ROUND(((EU54*1.25)),2)</f>
        <v>0.73</v>
      </c>
      <c r="AF54">
        <f>ROUND(((EV54*1.15)),2)</f>
        <v>38.950000000000003</v>
      </c>
      <c r="AG54">
        <f t="shared" si="37"/>
        <v>0</v>
      </c>
      <c r="AH54">
        <f>((EW54*1.15))</f>
        <v>4.2435</v>
      </c>
      <c r="AI54">
        <f>((EX54*1.25))</f>
        <v>6.25E-2</v>
      </c>
      <c r="AJ54">
        <f t="shared" si="40"/>
        <v>0</v>
      </c>
      <c r="AK54">
        <v>57.85</v>
      </c>
      <c r="AL54">
        <v>1.84</v>
      </c>
      <c r="AM54">
        <v>22.14</v>
      </c>
      <c r="AN54">
        <v>0.57999999999999996</v>
      </c>
      <c r="AO54">
        <v>33.869999999999997</v>
      </c>
      <c r="AP54">
        <v>0</v>
      </c>
      <c r="AQ54">
        <v>3.69</v>
      </c>
      <c r="AR54">
        <v>0.05</v>
      </c>
      <c r="AS54">
        <v>0</v>
      </c>
      <c r="AT54">
        <v>100</v>
      </c>
      <c r="AU54">
        <v>41.65</v>
      </c>
      <c r="AV54">
        <v>1</v>
      </c>
      <c r="AW54">
        <v>1</v>
      </c>
      <c r="AZ54">
        <v>1</v>
      </c>
      <c r="BA54">
        <v>32.01</v>
      </c>
      <c r="BB54">
        <v>12.44</v>
      </c>
      <c r="BC54">
        <v>8.9</v>
      </c>
      <c r="BD54" t="s">
        <v>3</v>
      </c>
      <c r="BE54" t="s">
        <v>3</v>
      </c>
      <c r="BF54" t="s">
        <v>3</v>
      </c>
      <c r="BG54" t="s">
        <v>3</v>
      </c>
      <c r="BH54">
        <v>0</v>
      </c>
      <c r="BI54">
        <v>1</v>
      </c>
      <c r="BJ54" t="s">
        <v>147</v>
      </c>
      <c r="BM54">
        <v>15001</v>
      </c>
      <c r="BN54">
        <v>0</v>
      </c>
      <c r="BO54" t="s">
        <v>3</v>
      </c>
      <c r="BP54">
        <v>0</v>
      </c>
      <c r="BQ54">
        <v>2</v>
      </c>
      <c r="BR54">
        <v>0</v>
      </c>
      <c r="BS54">
        <v>32.01</v>
      </c>
      <c r="BT54">
        <v>1</v>
      </c>
      <c r="BU54">
        <v>1</v>
      </c>
      <c r="BV54">
        <v>1</v>
      </c>
      <c r="BW54">
        <v>1</v>
      </c>
      <c r="BX54">
        <v>1</v>
      </c>
      <c r="BY54" t="s">
        <v>3</v>
      </c>
      <c r="BZ54">
        <v>100</v>
      </c>
      <c r="CA54">
        <v>49</v>
      </c>
      <c r="CB54" t="s">
        <v>3</v>
      </c>
      <c r="CE54">
        <v>0</v>
      </c>
      <c r="CF54">
        <v>0</v>
      </c>
      <c r="CG54">
        <v>0</v>
      </c>
      <c r="CM54">
        <v>0</v>
      </c>
      <c r="CN54" t="s">
        <v>863</v>
      </c>
      <c r="CO54">
        <v>0</v>
      </c>
      <c r="CP54">
        <f t="shared" si="41"/>
        <v>4147.62</v>
      </c>
      <c r="CQ54">
        <f t="shared" si="42"/>
        <v>16.376000000000001</v>
      </c>
      <c r="CR54">
        <f>((((ET54*1.25))*BB54-((EU54*1.25))*BS54)+AE54*BS54)</f>
        <v>344.43705</v>
      </c>
      <c r="CS54">
        <f t="shared" si="44"/>
        <v>23.367299999999997</v>
      </c>
      <c r="CT54">
        <f t="shared" si="45"/>
        <v>1246.7895000000001</v>
      </c>
      <c r="CU54">
        <f t="shared" si="46"/>
        <v>0</v>
      </c>
      <c r="CV54">
        <f t="shared" si="47"/>
        <v>4.2435</v>
      </c>
      <c r="CW54">
        <f t="shared" si="48"/>
        <v>6.25E-2</v>
      </c>
      <c r="CX54">
        <f t="shared" si="49"/>
        <v>0</v>
      </c>
      <c r="CY54">
        <f t="shared" si="50"/>
        <v>3277.01</v>
      </c>
      <c r="CZ54">
        <f t="shared" si="51"/>
        <v>1364.8746649999998</v>
      </c>
      <c r="DC54" t="s">
        <v>3</v>
      </c>
      <c r="DD54" t="s">
        <v>3</v>
      </c>
      <c r="DE54" t="s">
        <v>148</v>
      </c>
      <c r="DF54" t="s">
        <v>148</v>
      </c>
      <c r="DG54" t="s">
        <v>149</v>
      </c>
      <c r="DH54" t="s">
        <v>3</v>
      </c>
      <c r="DI54" t="s">
        <v>149</v>
      </c>
      <c r="DJ54" t="s">
        <v>148</v>
      </c>
      <c r="DK54" t="s">
        <v>3</v>
      </c>
      <c r="DL54" t="s">
        <v>3</v>
      </c>
      <c r="DM54" t="s">
        <v>150</v>
      </c>
      <c r="DN54">
        <v>0</v>
      </c>
      <c r="DO54">
        <v>0</v>
      </c>
      <c r="DP54">
        <v>1</v>
      </c>
      <c r="DQ54">
        <v>1</v>
      </c>
      <c r="DU54">
        <v>1005</v>
      </c>
      <c r="DV54" t="s">
        <v>40</v>
      </c>
      <c r="DW54" t="s">
        <v>40</v>
      </c>
      <c r="DX54">
        <v>100</v>
      </c>
      <c r="DZ54" t="s">
        <v>3</v>
      </c>
      <c r="EA54" t="s">
        <v>3</v>
      </c>
      <c r="EB54" t="s">
        <v>3</v>
      </c>
      <c r="EC54" t="s">
        <v>3</v>
      </c>
      <c r="EE54">
        <v>140625061</v>
      </c>
      <c r="EF54">
        <v>2</v>
      </c>
      <c r="EG54" t="s">
        <v>95</v>
      </c>
      <c r="EH54">
        <v>15</v>
      </c>
      <c r="EI54" t="s">
        <v>105</v>
      </c>
      <c r="EJ54">
        <v>1</v>
      </c>
      <c r="EK54">
        <v>15001</v>
      </c>
      <c r="EL54" t="s">
        <v>105</v>
      </c>
      <c r="EM54" t="s">
        <v>106</v>
      </c>
      <c r="EO54" t="s">
        <v>151</v>
      </c>
      <c r="EQ54">
        <v>2097152</v>
      </c>
      <c r="ER54">
        <v>57.85</v>
      </c>
      <c r="ES54">
        <v>1.84</v>
      </c>
      <c r="ET54">
        <v>22.14</v>
      </c>
      <c r="EU54">
        <v>0.57999999999999996</v>
      </c>
      <c r="EV54">
        <v>33.869999999999997</v>
      </c>
      <c r="EW54">
        <v>3.69</v>
      </c>
      <c r="EX54">
        <v>0.05</v>
      </c>
      <c r="EY54">
        <v>0</v>
      </c>
      <c r="FQ54">
        <v>0</v>
      </c>
      <c r="FR54">
        <f t="shared" si="52"/>
        <v>0</v>
      </c>
      <c r="FS54">
        <v>0</v>
      </c>
      <c r="FX54">
        <v>100</v>
      </c>
      <c r="FY54">
        <v>41.65</v>
      </c>
      <c r="GA54" t="s">
        <v>3</v>
      </c>
      <c r="GD54">
        <v>1</v>
      </c>
      <c r="GF54">
        <v>2114869218</v>
      </c>
      <c r="GG54">
        <v>2</v>
      </c>
      <c r="GH54">
        <v>1</v>
      </c>
      <c r="GI54">
        <v>4</v>
      </c>
      <c r="GJ54">
        <v>0</v>
      </c>
      <c r="GK54">
        <v>0</v>
      </c>
      <c r="GL54">
        <f t="shared" si="53"/>
        <v>0</v>
      </c>
      <c r="GM54">
        <f t="shared" si="54"/>
        <v>8789.5</v>
      </c>
      <c r="GN54">
        <f t="shared" si="55"/>
        <v>8789.5</v>
      </c>
      <c r="GO54">
        <f t="shared" si="56"/>
        <v>0</v>
      </c>
      <c r="GP54">
        <f t="shared" si="57"/>
        <v>0</v>
      </c>
      <c r="GR54">
        <v>0</v>
      </c>
      <c r="GS54">
        <v>3</v>
      </c>
      <c r="GT54">
        <v>0</v>
      </c>
      <c r="GU54" t="s">
        <v>3</v>
      </c>
      <c r="GV54">
        <f t="shared" si="58"/>
        <v>0</v>
      </c>
      <c r="GW54">
        <v>1</v>
      </c>
      <c r="GX54">
        <f t="shared" si="59"/>
        <v>0</v>
      </c>
      <c r="HA54">
        <v>0</v>
      </c>
      <c r="HB54">
        <v>0</v>
      </c>
      <c r="HC54">
        <f t="shared" si="60"/>
        <v>0</v>
      </c>
      <c r="HE54" t="s">
        <v>3</v>
      </c>
      <c r="HF54" t="s">
        <v>3</v>
      </c>
      <c r="HM54" t="s">
        <v>3</v>
      </c>
      <c r="HN54" t="s">
        <v>107</v>
      </c>
      <c r="HO54" t="s">
        <v>108</v>
      </c>
      <c r="HP54" t="s">
        <v>105</v>
      </c>
      <c r="HQ54" t="s">
        <v>105</v>
      </c>
      <c r="IK54">
        <v>0</v>
      </c>
    </row>
    <row r="55" spans="1:245" x14ac:dyDescent="0.2">
      <c r="A55">
        <v>17</v>
      </c>
      <c r="B55">
        <v>1</v>
      </c>
      <c r="E55" t="s">
        <v>152</v>
      </c>
      <c r="F55" t="s">
        <v>29</v>
      </c>
      <c r="G55" t="s">
        <v>153</v>
      </c>
      <c r="H55" t="s">
        <v>154</v>
      </c>
      <c r="I55">
        <f>ROUND(I54*13.8,9)</f>
        <v>35.603999999999999</v>
      </c>
      <c r="J55">
        <v>0</v>
      </c>
      <c r="K55">
        <f>ROUND(I54*13.8,9)</f>
        <v>35.603999999999999</v>
      </c>
      <c r="O55">
        <f t="shared" si="21"/>
        <v>2775.83</v>
      </c>
      <c r="P55">
        <f t="shared" si="22"/>
        <v>2775.83</v>
      </c>
      <c r="Q55">
        <f t="shared" si="23"/>
        <v>0</v>
      </c>
      <c r="R55">
        <f t="shared" si="24"/>
        <v>0</v>
      </c>
      <c r="S55">
        <f t="shared" si="25"/>
        <v>0</v>
      </c>
      <c r="T55">
        <f t="shared" si="26"/>
        <v>0</v>
      </c>
      <c r="U55">
        <f t="shared" si="27"/>
        <v>0</v>
      </c>
      <c r="V55">
        <f t="shared" si="28"/>
        <v>0</v>
      </c>
      <c r="W55">
        <f t="shared" si="29"/>
        <v>0</v>
      </c>
      <c r="X55">
        <f t="shared" si="30"/>
        <v>0</v>
      </c>
      <c r="Y55">
        <f t="shared" si="31"/>
        <v>0</v>
      </c>
      <c r="AA55">
        <v>145026783</v>
      </c>
      <c r="AB55">
        <f t="shared" si="32"/>
        <v>8.76</v>
      </c>
      <c r="AC55">
        <f t="shared" si="61"/>
        <v>8.76</v>
      </c>
      <c r="AD55">
        <f>ROUND((((ET55)-(EU55))+AE55),2)</f>
        <v>0</v>
      </c>
      <c r="AE55">
        <f>ROUND((EU55),2)</f>
        <v>0</v>
      </c>
      <c r="AF55">
        <f>ROUND((EV55),2)</f>
        <v>0</v>
      </c>
      <c r="AG55">
        <f t="shared" si="37"/>
        <v>0</v>
      </c>
      <c r="AH55">
        <f>(EW55)</f>
        <v>0</v>
      </c>
      <c r="AI55">
        <f>(EX55)</f>
        <v>0</v>
      </c>
      <c r="AJ55">
        <f t="shared" si="40"/>
        <v>0</v>
      </c>
      <c r="AK55">
        <v>8.76</v>
      </c>
      <c r="AL55">
        <v>8.76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1</v>
      </c>
      <c r="AW55">
        <v>1</v>
      </c>
      <c r="AZ55">
        <v>1</v>
      </c>
      <c r="BA55">
        <v>1</v>
      </c>
      <c r="BB55">
        <v>1</v>
      </c>
      <c r="BC55">
        <v>8.9</v>
      </c>
      <c r="BD55" t="s">
        <v>3</v>
      </c>
      <c r="BE55" t="s">
        <v>3</v>
      </c>
      <c r="BF55" t="s">
        <v>3</v>
      </c>
      <c r="BG55" t="s">
        <v>3</v>
      </c>
      <c r="BH55">
        <v>3</v>
      </c>
      <c r="BI55">
        <v>1</v>
      </c>
      <c r="BJ55" t="s">
        <v>3</v>
      </c>
      <c r="BM55">
        <v>1100</v>
      </c>
      <c r="BN55">
        <v>0</v>
      </c>
      <c r="BO55" t="s">
        <v>3</v>
      </c>
      <c r="BP55">
        <v>0</v>
      </c>
      <c r="BQ55">
        <v>8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0</v>
      </c>
      <c r="CA55">
        <v>0</v>
      </c>
      <c r="CB55" t="s">
        <v>3</v>
      </c>
      <c r="CE55">
        <v>0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41"/>
        <v>2775.83</v>
      </c>
      <c r="CQ55">
        <f t="shared" si="42"/>
        <v>77.963999999999999</v>
      </c>
      <c r="CR55">
        <f>(((ET55)*BB55-(EU55)*BS55)+AE55*BS55)</f>
        <v>0</v>
      </c>
      <c r="CS55">
        <f t="shared" si="44"/>
        <v>0</v>
      </c>
      <c r="CT55">
        <f t="shared" si="45"/>
        <v>0</v>
      </c>
      <c r="CU55">
        <f t="shared" si="46"/>
        <v>0</v>
      </c>
      <c r="CV55">
        <f t="shared" si="47"/>
        <v>0</v>
      </c>
      <c r="CW55">
        <f t="shared" si="48"/>
        <v>0</v>
      </c>
      <c r="CX55">
        <f t="shared" si="49"/>
        <v>0</v>
      </c>
      <c r="CY55">
        <f t="shared" si="50"/>
        <v>0</v>
      </c>
      <c r="CZ55">
        <f t="shared" si="51"/>
        <v>0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1009</v>
      </c>
      <c r="DV55" t="s">
        <v>154</v>
      </c>
      <c r="DW55" t="s">
        <v>154</v>
      </c>
      <c r="DX55">
        <v>1</v>
      </c>
      <c r="DZ55" t="s">
        <v>3</v>
      </c>
      <c r="EA55" t="s">
        <v>3</v>
      </c>
      <c r="EB55" t="s">
        <v>3</v>
      </c>
      <c r="EC55" t="s">
        <v>3</v>
      </c>
      <c r="EE55">
        <v>140625274</v>
      </c>
      <c r="EF55">
        <v>8</v>
      </c>
      <c r="EG55" t="s">
        <v>32</v>
      </c>
      <c r="EH55">
        <v>0</v>
      </c>
      <c r="EI55" t="s">
        <v>3</v>
      </c>
      <c r="EJ55">
        <v>1</v>
      </c>
      <c r="EK55">
        <v>1100</v>
      </c>
      <c r="EL55" t="s">
        <v>33</v>
      </c>
      <c r="EM55" t="s">
        <v>34</v>
      </c>
      <c r="EO55" t="s">
        <v>3</v>
      </c>
      <c r="EQ55">
        <v>0</v>
      </c>
      <c r="ER55">
        <v>8.91</v>
      </c>
      <c r="ES55">
        <v>8.76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5</v>
      </c>
      <c r="FC55">
        <v>1</v>
      </c>
      <c r="FD55">
        <v>18</v>
      </c>
      <c r="FF55">
        <v>87.4</v>
      </c>
      <c r="FQ55">
        <v>0</v>
      </c>
      <c r="FR55">
        <f t="shared" si="52"/>
        <v>0</v>
      </c>
      <c r="FS55">
        <v>0</v>
      </c>
      <c r="FX55">
        <v>0</v>
      </c>
      <c r="FY55">
        <v>0</v>
      </c>
      <c r="GA55" t="s">
        <v>155</v>
      </c>
      <c r="GD55">
        <v>1</v>
      </c>
      <c r="GF55">
        <v>-752850908</v>
      </c>
      <c r="GG55">
        <v>2</v>
      </c>
      <c r="GH55">
        <v>3</v>
      </c>
      <c r="GI55">
        <v>4</v>
      </c>
      <c r="GJ55">
        <v>0</v>
      </c>
      <c r="GK55">
        <v>0</v>
      </c>
      <c r="GL55">
        <f t="shared" si="53"/>
        <v>0</v>
      </c>
      <c r="GM55">
        <f t="shared" si="54"/>
        <v>2775.83</v>
      </c>
      <c r="GN55">
        <f t="shared" si="55"/>
        <v>2775.83</v>
      </c>
      <c r="GO55">
        <f t="shared" si="56"/>
        <v>0</v>
      </c>
      <c r="GP55">
        <f t="shared" si="57"/>
        <v>0</v>
      </c>
      <c r="GR55">
        <v>1</v>
      </c>
      <c r="GS55">
        <v>1</v>
      </c>
      <c r="GT55">
        <v>0</v>
      </c>
      <c r="GU55" t="s">
        <v>3</v>
      </c>
      <c r="GV55">
        <f t="shared" si="58"/>
        <v>0</v>
      </c>
      <c r="GW55">
        <v>1</v>
      </c>
      <c r="GX55">
        <f t="shared" si="59"/>
        <v>0</v>
      </c>
      <c r="HA55">
        <v>0</v>
      </c>
      <c r="HB55">
        <v>0</v>
      </c>
      <c r="HC55">
        <f t="shared" si="60"/>
        <v>0</v>
      </c>
      <c r="HE55" t="s">
        <v>36</v>
      </c>
      <c r="HF55" t="s">
        <v>28</v>
      </c>
      <c r="HM55" t="s">
        <v>3</v>
      </c>
      <c r="HN55" t="s">
        <v>3</v>
      </c>
      <c r="HO55" t="s">
        <v>3</v>
      </c>
      <c r="HP55" t="s">
        <v>3</v>
      </c>
      <c r="HQ55" t="s">
        <v>3</v>
      </c>
      <c r="IK55">
        <v>0</v>
      </c>
    </row>
    <row r="56" spans="1:245" x14ac:dyDescent="0.2">
      <c r="A56">
        <v>17</v>
      </c>
      <c r="B56">
        <v>1</v>
      </c>
      <c r="C56">
        <f>ROW(SmtRes!A84)</f>
        <v>84</v>
      </c>
      <c r="D56">
        <f>ROW(EtalonRes!A90)</f>
        <v>90</v>
      </c>
      <c r="E56" t="s">
        <v>156</v>
      </c>
      <c r="F56" t="s">
        <v>157</v>
      </c>
      <c r="G56" t="s">
        <v>158</v>
      </c>
      <c r="H56" t="s">
        <v>40</v>
      </c>
      <c r="I56">
        <f>ROUND(258/100,9)</f>
        <v>2.58</v>
      </c>
      <c r="J56">
        <v>0</v>
      </c>
      <c r="K56">
        <f>ROUND(258/100,9)</f>
        <v>2.58</v>
      </c>
      <c r="O56">
        <f t="shared" si="21"/>
        <v>285579.83</v>
      </c>
      <c r="P56">
        <f t="shared" si="22"/>
        <v>180456.06</v>
      </c>
      <c r="Q56">
        <f t="shared" si="23"/>
        <v>5697.9</v>
      </c>
      <c r="R56">
        <f t="shared" si="24"/>
        <v>5534.07</v>
      </c>
      <c r="S56">
        <f t="shared" si="25"/>
        <v>99425.87</v>
      </c>
      <c r="T56">
        <f t="shared" si="26"/>
        <v>0</v>
      </c>
      <c r="U56">
        <f t="shared" si="27"/>
        <v>355.38725999999997</v>
      </c>
      <c r="V56">
        <f t="shared" si="28"/>
        <v>14.512500000000001</v>
      </c>
      <c r="W56">
        <f t="shared" si="29"/>
        <v>0</v>
      </c>
      <c r="X56">
        <f t="shared" si="30"/>
        <v>117555.13</v>
      </c>
      <c r="Y56">
        <f t="shared" si="31"/>
        <v>57990.37</v>
      </c>
      <c r="AA56">
        <v>145026783</v>
      </c>
      <c r="AB56">
        <f t="shared" si="32"/>
        <v>9240.35</v>
      </c>
      <c r="AC56">
        <f t="shared" si="61"/>
        <v>7858.9</v>
      </c>
      <c r="AD56">
        <f>ROUND(((((ET56*1.25))-((EU56*1.25)))+AE56),2)</f>
        <v>177.54</v>
      </c>
      <c r="AE56">
        <f>ROUND(((EU56*1.25)),2)</f>
        <v>67.010000000000005</v>
      </c>
      <c r="AF56">
        <f>ROUND(((EV56*1.15)),2)</f>
        <v>1203.9100000000001</v>
      </c>
      <c r="AG56">
        <f t="shared" si="37"/>
        <v>0</v>
      </c>
      <c r="AH56">
        <f>((EW56*1.15))</f>
        <v>137.74699999999999</v>
      </c>
      <c r="AI56">
        <f>((EX56*1.25))</f>
        <v>5.625</v>
      </c>
      <c r="AJ56">
        <f t="shared" si="40"/>
        <v>0</v>
      </c>
      <c r="AK56">
        <v>9047.81</v>
      </c>
      <c r="AL56">
        <v>7858.9</v>
      </c>
      <c r="AM56">
        <v>142.03</v>
      </c>
      <c r="AN56">
        <v>53.61</v>
      </c>
      <c r="AO56">
        <v>1046.8800000000001</v>
      </c>
      <c r="AP56">
        <v>0</v>
      </c>
      <c r="AQ56">
        <v>119.78</v>
      </c>
      <c r="AR56">
        <v>4.5</v>
      </c>
      <c r="AS56">
        <v>0</v>
      </c>
      <c r="AT56">
        <v>112</v>
      </c>
      <c r="AU56">
        <v>55.25</v>
      </c>
      <c r="AV56">
        <v>1</v>
      </c>
      <c r="AW56">
        <v>1</v>
      </c>
      <c r="AZ56">
        <v>1</v>
      </c>
      <c r="BA56">
        <v>32.01</v>
      </c>
      <c r="BB56">
        <v>12.44</v>
      </c>
      <c r="BC56">
        <v>8.9</v>
      </c>
      <c r="BD56" t="s">
        <v>3</v>
      </c>
      <c r="BE56" t="s">
        <v>3</v>
      </c>
      <c r="BF56" t="s">
        <v>3</v>
      </c>
      <c r="BG56" t="s">
        <v>3</v>
      </c>
      <c r="BH56">
        <v>0</v>
      </c>
      <c r="BI56">
        <v>1</v>
      </c>
      <c r="BJ56" t="s">
        <v>159</v>
      </c>
      <c r="BM56">
        <v>11001</v>
      </c>
      <c r="BN56">
        <v>0</v>
      </c>
      <c r="BO56" t="s">
        <v>3</v>
      </c>
      <c r="BP56">
        <v>0</v>
      </c>
      <c r="BQ56">
        <v>2</v>
      </c>
      <c r="BR56">
        <v>0</v>
      </c>
      <c r="BS56">
        <v>32.01</v>
      </c>
      <c r="BT56">
        <v>1</v>
      </c>
      <c r="BU56">
        <v>1</v>
      </c>
      <c r="BV56">
        <v>1</v>
      </c>
      <c r="BW56">
        <v>1</v>
      </c>
      <c r="BX56">
        <v>1</v>
      </c>
      <c r="BY56" t="s">
        <v>3</v>
      </c>
      <c r="BZ56">
        <v>112</v>
      </c>
      <c r="CA56">
        <v>65</v>
      </c>
      <c r="CB56" t="s">
        <v>3</v>
      </c>
      <c r="CE56">
        <v>0</v>
      </c>
      <c r="CF56">
        <v>0</v>
      </c>
      <c r="CG56">
        <v>0</v>
      </c>
      <c r="CM56">
        <v>0</v>
      </c>
      <c r="CN56" t="s">
        <v>160</v>
      </c>
      <c r="CO56">
        <v>0</v>
      </c>
      <c r="CP56">
        <f t="shared" si="41"/>
        <v>285579.82999999996</v>
      </c>
      <c r="CQ56">
        <f t="shared" si="42"/>
        <v>69944.210000000006</v>
      </c>
      <c r="CR56">
        <f>((((ET56*1.25))*BB56-((EU56*1.25))*BS56)+AE56*BS56)</f>
        <v>2208.4864750000002</v>
      </c>
      <c r="CS56">
        <f t="shared" si="44"/>
        <v>2144.9901</v>
      </c>
      <c r="CT56">
        <f t="shared" si="45"/>
        <v>38537.159099999997</v>
      </c>
      <c r="CU56">
        <f t="shared" si="46"/>
        <v>0</v>
      </c>
      <c r="CV56">
        <f t="shared" si="47"/>
        <v>137.74699999999999</v>
      </c>
      <c r="CW56">
        <f t="shared" si="48"/>
        <v>5.625</v>
      </c>
      <c r="CX56">
        <f t="shared" si="49"/>
        <v>0</v>
      </c>
      <c r="CY56">
        <f t="shared" si="50"/>
        <v>117555.13280000001</v>
      </c>
      <c r="CZ56">
        <f t="shared" si="51"/>
        <v>57990.366850000006</v>
      </c>
      <c r="DC56" t="s">
        <v>3</v>
      </c>
      <c r="DD56" t="s">
        <v>3</v>
      </c>
      <c r="DE56" t="s">
        <v>148</v>
      </c>
      <c r="DF56" t="s">
        <v>148</v>
      </c>
      <c r="DG56" t="s">
        <v>149</v>
      </c>
      <c r="DH56" t="s">
        <v>3</v>
      </c>
      <c r="DI56" t="s">
        <v>149</v>
      </c>
      <c r="DJ56" t="s">
        <v>148</v>
      </c>
      <c r="DK56" t="s">
        <v>3</v>
      </c>
      <c r="DL56" t="s">
        <v>3</v>
      </c>
      <c r="DM56" t="s">
        <v>150</v>
      </c>
      <c r="DN56">
        <v>0</v>
      </c>
      <c r="DO56">
        <v>0</v>
      </c>
      <c r="DP56">
        <v>1</v>
      </c>
      <c r="DQ56">
        <v>1</v>
      </c>
      <c r="DU56">
        <v>1005</v>
      </c>
      <c r="DV56" t="s">
        <v>40</v>
      </c>
      <c r="DW56" t="s">
        <v>40</v>
      </c>
      <c r="DX56">
        <v>100</v>
      </c>
      <c r="DZ56" t="s">
        <v>3</v>
      </c>
      <c r="EA56" t="s">
        <v>3</v>
      </c>
      <c r="EB56" t="s">
        <v>3</v>
      </c>
      <c r="EC56" t="s">
        <v>3</v>
      </c>
      <c r="EE56">
        <v>140625030</v>
      </c>
      <c r="EF56">
        <v>2</v>
      </c>
      <c r="EG56" t="s">
        <v>95</v>
      </c>
      <c r="EH56">
        <v>11</v>
      </c>
      <c r="EI56" t="s">
        <v>42</v>
      </c>
      <c r="EJ56">
        <v>1</v>
      </c>
      <c r="EK56">
        <v>11001</v>
      </c>
      <c r="EL56" t="s">
        <v>42</v>
      </c>
      <c r="EM56" t="s">
        <v>161</v>
      </c>
      <c r="EO56" t="s">
        <v>162</v>
      </c>
      <c r="EQ56">
        <v>0</v>
      </c>
      <c r="ER56">
        <v>9047.81</v>
      </c>
      <c r="ES56">
        <v>7858.9</v>
      </c>
      <c r="ET56">
        <v>142.03</v>
      </c>
      <c r="EU56">
        <v>53.61</v>
      </c>
      <c r="EV56">
        <v>1046.8800000000001</v>
      </c>
      <c r="EW56">
        <v>119.78</v>
      </c>
      <c r="EX56">
        <v>4.5</v>
      </c>
      <c r="EY56">
        <v>0</v>
      </c>
      <c r="FQ56">
        <v>0</v>
      </c>
      <c r="FR56">
        <f t="shared" si="52"/>
        <v>0</v>
      </c>
      <c r="FS56">
        <v>0</v>
      </c>
      <c r="FX56">
        <v>112</v>
      </c>
      <c r="FY56">
        <v>55.25</v>
      </c>
      <c r="GA56" t="s">
        <v>3</v>
      </c>
      <c r="GD56">
        <v>1</v>
      </c>
      <c r="GF56">
        <v>-518158177</v>
      </c>
      <c r="GG56">
        <v>2</v>
      </c>
      <c r="GH56">
        <v>1</v>
      </c>
      <c r="GI56">
        <v>4</v>
      </c>
      <c r="GJ56">
        <v>0</v>
      </c>
      <c r="GK56">
        <v>0</v>
      </c>
      <c r="GL56">
        <f t="shared" si="53"/>
        <v>0</v>
      </c>
      <c r="GM56">
        <f t="shared" si="54"/>
        <v>461125.33</v>
      </c>
      <c r="GN56">
        <f t="shared" si="55"/>
        <v>461125.33</v>
      </c>
      <c r="GO56">
        <f t="shared" si="56"/>
        <v>0</v>
      </c>
      <c r="GP56">
        <f t="shared" si="57"/>
        <v>0</v>
      </c>
      <c r="GR56">
        <v>0</v>
      </c>
      <c r="GS56">
        <v>3</v>
      </c>
      <c r="GT56">
        <v>0</v>
      </c>
      <c r="GU56" t="s">
        <v>3</v>
      </c>
      <c r="GV56">
        <f t="shared" si="58"/>
        <v>0</v>
      </c>
      <c r="GW56">
        <v>1</v>
      </c>
      <c r="GX56">
        <f t="shared" si="59"/>
        <v>0</v>
      </c>
      <c r="HA56">
        <v>0</v>
      </c>
      <c r="HB56">
        <v>0</v>
      </c>
      <c r="HC56">
        <f t="shared" si="60"/>
        <v>0</v>
      </c>
      <c r="HE56" t="s">
        <v>3</v>
      </c>
      <c r="HF56" t="s">
        <v>3</v>
      </c>
      <c r="HM56" t="s">
        <v>3</v>
      </c>
      <c r="HN56" t="s">
        <v>163</v>
      </c>
      <c r="HO56" t="s">
        <v>164</v>
      </c>
      <c r="HP56" t="s">
        <v>42</v>
      </c>
      <c r="HQ56" t="s">
        <v>42</v>
      </c>
      <c r="IK56">
        <v>0</v>
      </c>
    </row>
    <row r="57" spans="1:245" x14ac:dyDescent="0.2">
      <c r="A57">
        <v>18</v>
      </c>
      <c r="B57">
        <v>1</v>
      </c>
      <c r="C57">
        <v>83</v>
      </c>
      <c r="E57" t="s">
        <v>165</v>
      </c>
      <c r="F57" t="s">
        <v>166</v>
      </c>
      <c r="G57" t="s">
        <v>167</v>
      </c>
      <c r="H57" t="s">
        <v>72</v>
      </c>
      <c r="I57">
        <f>I56*J57</f>
        <v>-263.16000000000003</v>
      </c>
      <c r="J57">
        <v>-102</v>
      </c>
      <c r="K57">
        <v>-102</v>
      </c>
      <c r="O57">
        <f t="shared" si="21"/>
        <v>-158796.01</v>
      </c>
      <c r="P57">
        <f t="shared" si="22"/>
        <v>-158796.01</v>
      </c>
      <c r="Q57">
        <f t="shared" si="23"/>
        <v>0</v>
      </c>
      <c r="R57">
        <f t="shared" si="24"/>
        <v>0</v>
      </c>
      <c r="S57">
        <f t="shared" si="25"/>
        <v>0</v>
      </c>
      <c r="T57">
        <f t="shared" si="26"/>
        <v>0</v>
      </c>
      <c r="U57">
        <f t="shared" si="27"/>
        <v>0</v>
      </c>
      <c r="V57">
        <f t="shared" si="28"/>
        <v>0</v>
      </c>
      <c r="W57">
        <f t="shared" si="29"/>
        <v>0</v>
      </c>
      <c r="X57">
        <f t="shared" si="30"/>
        <v>0</v>
      </c>
      <c r="Y57">
        <f t="shared" si="31"/>
        <v>0</v>
      </c>
      <c r="AA57">
        <v>145026783</v>
      </c>
      <c r="AB57">
        <f t="shared" si="32"/>
        <v>67.8</v>
      </c>
      <c r="AC57">
        <f t="shared" si="61"/>
        <v>67.8</v>
      </c>
      <c r="AD57">
        <f t="shared" ref="AD57:AD62" si="68">ROUND((((ET57)-(EU57))+AE57),2)</f>
        <v>0</v>
      </c>
      <c r="AE57">
        <f t="shared" ref="AE57:AF62" si="69">ROUND((EU57),2)</f>
        <v>0</v>
      </c>
      <c r="AF57">
        <f t="shared" si="69"/>
        <v>0</v>
      </c>
      <c r="AG57">
        <f t="shared" si="37"/>
        <v>0</v>
      </c>
      <c r="AH57">
        <f t="shared" ref="AH57:AI62" si="70">(EW57)</f>
        <v>0</v>
      </c>
      <c r="AI57">
        <f t="shared" si="70"/>
        <v>0</v>
      </c>
      <c r="AJ57">
        <f t="shared" si="40"/>
        <v>0</v>
      </c>
      <c r="AK57">
        <v>67.8</v>
      </c>
      <c r="AL57">
        <v>67.8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112</v>
      </c>
      <c r="AU57">
        <v>65</v>
      </c>
      <c r="AV57">
        <v>1</v>
      </c>
      <c r="AW57">
        <v>1</v>
      </c>
      <c r="AZ57">
        <v>1</v>
      </c>
      <c r="BA57">
        <v>1</v>
      </c>
      <c r="BB57">
        <v>1</v>
      </c>
      <c r="BC57">
        <v>8.9</v>
      </c>
      <c r="BD57" t="s">
        <v>3</v>
      </c>
      <c r="BE57" t="s">
        <v>3</v>
      </c>
      <c r="BF57" t="s">
        <v>3</v>
      </c>
      <c r="BG57" t="s">
        <v>3</v>
      </c>
      <c r="BH57">
        <v>3</v>
      </c>
      <c r="BI57">
        <v>1</v>
      </c>
      <c r="BJ57" t="s">
        <v>168</v>
      </c>
      <c r="BM57">
        <v>11001</v>
      </c>
      <c r="BN57">
        <v>0</v>
      </c>
      <c r="BO57" t="s">
        <v>3</v>
      </c>
      <c r="BP57">
        <v>0</v>
      </c>
      <c r="BQ57">
        <v>2</v>
      </c>
      <c r="BR57">
        <v>1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112</v>
      </c>
      <c r="CA57">
        <v>65</v>
      </c>
      <c r="CB57" t="s">
        <v>3</v>
      </c>
      <c r="CE57">
        <v>0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 t="shared" si="41"/>
        <v>-158796.01</v>
      </c>
      <c r="CQ57">
        <f t="shared" si="42"/>
        <v>603.41999999999996</v>
      </c>
      <c r="CR57">
        <f t="shared" ref="CR57:CR62" si="71">(((ET57)*BB57-(EU57)*BS57)+AE57*BS57)</f>
        <v>0</v>
      </c>
      <c r="CS57">
        <f t="shared" si="44"/>
        <v>0</v>
      </c>
      <c r="CT57">
        <f t="shared" si="45"/>
        <v>0</v>
      </c>
      <c r="CU57">
        <f t="shared" si="46"/>
        <v>0</v>
      </c>
      <c r="CV57">
        <f t="shared" si="47"/>
        <v>0</v>
      </c>
      <c r="CW57">
        <f t="shared" si="48"/>
        <v>0</v>
      </c>
      <c r="CX57">
        <f t="shared" si="49"/>
        <v>0</v>
      </c>
      <c r="CY57">
        <f t="shared" si="50"/>
        <v>0</v>
      </c>
      <c r="CZ57">
        <f t="shared" si="51"/>
        <v>0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0</v>
      </c>
      <c r="DO57">
        <v>0</v>
      </c>
      <c r="DP57">
        <v>1</v>
      </c>
      <c r="DQ57">
        <v>1</v>
      </c>
      <c r="DU57">
        <v>1005</v>
      </c>
      <c r="DV57" t="s">
        <v>72</v>
      </c>
      <c r="DW57" t="s">
        <v>72</v>
      </c>
      <c r="DX57">
        <v>1</v>
      </c>
      <c r="DZ57" t="s">
        <v>3</v>
      </c>
      <c r="EA57" t="s">
        <v>3</v>
      </c>
      <c r="EB57" t="s">
        <v>3</v>
      </c>
      <c r="EC57" t="s">
        <v>3</v>
      </c>
      <c r="EE57">
        <v>140625030</v>
      </c>
      <c r="EF57">
        <v>2</v>
      </c>
      <c r="EG57" t="s">
        <v>95</v>
      </c>
      <c r="EH57">
        <v>11</v>
      </c>
      <c r="EI57" t="s">
        <v>42</v>
      </c>
      <c r="EJ57">
        <v>1</v>
      </c>
      <c r="EK57">
        <v>11001</v>
      </c>
      <c r="EL57" t="s">
        <v>42</v>
      </c>
      <c r="EM57" t="s">
        <v>161</v>
      </c>
      <c r="EO57" t="s">
        <v>3</v>
      </c>
      <c r="EQ57">
        <v>0</v>
      </c>
      <c r="ER57">
        <v>67.8</v>
      </c>
      <c r="ES57">
        <v>67.8</v>
      </c>
      <c r="ET57">
        <v>0</v>
      </c>
      <c r="EU57">
        <v>0</v>
      </c>
      <c r="EV57">
        <v>0</v>
      </c>
      <c r="EW57">
        <v>0</v>
      </c>
      <c r="EX57">
        <v>0</v>
      </c>
      <c r="FQ57">
        <v>0</v>
      </c>
      <c r="FR57">
        <f t="shared" si="52"/>
        <v>0</v>
      </c>
      <c r="FS57">
        <v>0</v>
      </c>
      <c r="FX57">
        <v>112</v>
      </c>
      <c r="FY57">
        <v>65</v>
      </c>
      <c r="GA57" t="s">
        <v>3</v>
      </c>
      <c r="GD57">
        <v>1</v>
      </c>
      <c r="GF57">
        <v>-581727036</v>
      </c>
      <c r="GG57">
        <v>2</v>
      </c>
      <c r="GH57">
        <v>1</v>
      </c>
      <c r="GI57">
        <v>4</v>
      </c>
      <c r="GJ57">
        <v>0</v>
      </c>
      <c r="GK57">
        <v>0</v>
      </c>
      <c r="GL57">
        <f t="shared" si="53"/>
        <v>0</v>
      </c>
      <c r="GM57">
        <f t="shared" si="54"/>
        <v>-158796.01</v>
      </c>
      <c r="GN57">
        <f t="shared" si="55"/>
        <v>-158796.01</v>
      </c>
      <c r="GO57">
        <f t="shared" si="56"/>
        <v>0</v>
      </c>
      <c r="GP57">
        <f t="shared" si="57"/>
        <v>0</v>
      </c>
      <c r="GR57">
        <v>0</v>
      </c>
      <c r="GS57">
        <v>3</v>
      </c>
      <c r="GT57">
        <v>0</v>
      </c>
      <c r="GU57" t="s">
        <v>3</v>
      </c>
      <c r="GV57">
        <f t="shared" si="58"/>
        <v>0</v>
      </c>
      <c r="GW57">
        <v>1</v>
      </c>
      <c r="GX57">
        <f t="shared" si="59"/>
        <v>0</v>
      </c>
      <c r="HA57">
        <v>0</v>
      </c>
      <c r="HB57">
        <v>0</v>
      </c>
      <c r="HC57">
        <f t="shared" si="60"/>
        <v>0</v>
      </c>
      <c r="HE57" t="s">
        <v>3</v>
      </c>
      <c r="HF57" t="s">
        <v>3</v>
      </c>
      <c r="HM57" t="s">
        <v>3</v>
      </c>
      <c r="HN57" t="s">
        <v>163</v>
      </c>
      <c r="HO57" t="s">
        <v>164</v>
      </c>
      <c r="HP57" t="s">
        <v>42</v>
      </c>
      <c r="HQ57" t="s">
        <v>42</v>
      </c>
      <c r="IK57">
        <v>0</v>
      </c>
    </row>
    <row r="58" spans="1:245" x14ac:dyDescent="0.2">
      <c r="A58">
        <v>18</v>
      </c>
      <c r="B58">
        <v>1</v>
      </c>
      <c r="C58">
        <v>82</v>
      </c>
      <c r="E58" t="s">
        <v>169</v>
      </c>
      <c r="F58" t="s">
        <v>170</v>
      </c>
      <c r="G58" t="s">
        <v>171</v>
      </c>
      <c r="H58" t="s">
        <v>49</v>
      </c>
      <c r="I58">
        <f>I56*J58</f>
        <v>-0.129</v>
      </c>
      <c r="J58">
        <v>-0.05</v>
      </c>
      <c r="K58">
        <v>-0.05</v>
      </c>
      <c r="O58">
        <f t="shared" si="21"/>
        <v>-7477.58</v>
      </c>
      <c r="P58">
        <f t="shared" si="22"/>
        <v>-7477.58</v>
      </c>
      <c r="Q58">
        <f t="shared" si="23"/>
        <v>0</v>
      </c>
      <c r="R58">
        <f t="shared" si="24"/>
        <v>0</v>
      </c>
      <c r="S58">
        <f t="shared" si="25"/>
        <v>0</v>
      </c>
      <c r="T58">
        <f t="shared" si="26"/>
        <v>0</v>
      </c>
      <c r="U58">
        <f t="shared" si="27"/>
        <v>0</v>
      </c>
      <c r="V58">
        <f t="shared" si="28"/>
        <v>0</v>
      </c>
      <c r="W58">
        <f t="shared" si="29"/>
        <v>0</v>
      </c>
      <c r="X58">
        <f t="shared" si="30"/>
        <v>0</v>
      </c>
      <c r="Y58">
        <f t="shared" si="31"/>
        <v>0</v>
      </c>
      <c r="AA58">
        <v>145026783</v>
      </c>
      <c r="AB58">
        <f t="shared" si="32"/>
        <v>6513</v>
      </c>
      <c r="AC58">
        <f t="shared" si="61"/>
        <v>6513</v>
      </c>
      <c r="AD58">
        <f t="shared" si="68"/>
        <v>0</v>
      </c>
      <c r="AE58">
        <f t="shared" si="69"/>
        <v>0</v>
      </c>
      <c r="AF58">
        <f t="shared" si="69"/>
        <v>0</v>
      </c>
      <c r="AG58">
        <f t="shared" si="37"/>
        <v>0</v>
      </c>
      <c r="AH58">
        <f t="shared" si="70"/>
        <v>0</v>
      </c>
      <c r="AI58">
        <f t="shared" si="70"/>
        <v>0</v>
      </c>
      <c r="AJ58">
        <f t="shared" si="40"/>
        <v>0</v>
      </c>
      <c r="AK58">
        <v>6513</v>
      </c>
      <c r="AL58">
        <v>6513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112</v>
      </c>
      <c r="AU58">
        <v>65</v>
      </c>
      <c r="AV58">
        <v>1</v>
      </c>
      <c r="AW58">
        <v>1</v>
      </c>
      <c r="AZ58">
        <v>1</v>
      </c>
      <c r="BA58">
        <v>1</v>
      </c>
      <c r="BB58">
        <v>1</v>
      </c>
      <c r="BC58">
        <v>8.9</v>
      </c>
      <c r="BD58" t="s">
        <v>3</v>
      </c>
      <c r="BE58" t="s">
        <v>3</v>
      </c>
      <c r="BF58" t="s">
        <v>3</v>
      </c>
      <c r="BG58" t="s">
        <v>3</v>
      </c>
      <c r="BH58">
        <v>3</v>
      </c>
      <c r="BI58">
        <v>1</v>
      </c>
      <c r="BJ58" t="s">
        <v>172</v>
      </c>
      <c r="BM58">
        <v>11001</v>
      </c>
      <c r="BN58">
        <v>0</v>
      </c>
      <c r="BO58" t="s">
        <v>3</v>
      </c>
      <c r="BP58">
        <v>0</v>
      </c>
      <c r="BQ58">
        <v>2</v>
      </c>
      <c r="BR58">
        <v>1</v>
      </c>
      <c r="BS58">
        <v>1</v>
      </c>
      <c r="BT58">
        <v>1</v>
      </c>
      <c r="BU58">
        <v>1</v>
      </c>
      <c r="BV58">
        <v>1</v>
      </c>
      <c r="BW58">
        <v>1</v>
      </c>
      <c r="BX58">
        <v>1</v>
      </c>
      <c r="BY58" t="s">
        <v>3</v>
      </c>
      <c r="BZ58">
        <v>112</v>
      </c>
      <c r="CA58">
        <v>65</v>
      </c>
      <c r="CB58" t="s">
        <v>3</v>
      </c>
      <c r="CE58">
        <v>0</v>
      </c>
      <c r="CF58">
        <v>0</v>
      </c>
      <c r="CG58">
        <v>0</v>
      </c>
      <c r="CM58">
        <v>0</v>
      </c>
      <c r="CN58" t="s">
        <v>3</v>
      </c>
      <c r="CO58">
        <v>0</v>
      </c>
      <c r="CP58">
        <f t="shared" si="41"/>
        <v>-7477.58</v>
      </c>
      <c r="CQ58">
        <f t="shared" si="42"/>
        <v>57965.700000000004</v>
      </c>
      <c r="CR58">
        <f t="shared" si="71"/>
        <v>0</v>
      </c>
      <c r="CS58">
        <f t="shared" si="44"/>
        <v>0</v>
      </c>
      <c r="CT58">
        <f t="shared" si="45"/>
        <v>0</v>
      </c>
      <c r="CU58">
        <f t="shared" si="46"/>
        <v>0</v>
      </c>
      <c r="CV58">
        <f t="shared" si="47"/>
        <v>0</v>
      </c>
      <c r="CW58">
        <f t="shared" si="48"/>
        <v>0</v>
      </c>
      <c r="CX58">
        <f t="shared" si="49"/>
        <v>0</v>
      </c>
      <c r="CY58">
        <f t="shared" si="50"/>
        <v>0</v>
      </c>
      <c r="CZ58">
        <f t="shared" si="51"/>
        <v>0</v>
      </c>
      <c r="DC58" t="s">
        <v>3</v>
      </c>
      <c r="DD58" t="s">
        <v>3</v>
      </c>
      <c r="DE58" t="s">
        <v>3</v>
      </c>
      <c r="DF58" t="s">
        <v>3</v>
      </c>
      <c r="DG58" t="s">
        <v>3</v>
      </c>
      <c r="DH58" t="s">
        <v>3</v>
      </c>
      <c r="DI58" t="s">
        <v>3</v>
      </c>
      <c r="DJ58" t="s">
        <v>3</v>
      </c>
      <c r="DK58" t="s">
        <v>3</v>
      </c>
      <c r="DL58" t="s">
        <v>3</v>
      </c>
      <c r="DM58" t="s">
        <v>3</v>
      </c>
      <c r="DN58">
        <v>0</v>
      </c>
      <c r="DO58">
        <v>0</v>
      </c>
      <c r="DP58">
        <v>1</v>
      </c>
      <c r="DQ58">
        <v>1</v>
      </c>
      <c r="DU58">
        <v>1009</v>
      </c>
      <c r="DV58" t="s">
        <v>49</v>
      </c>
      <c r="DW58" t="s">
        <v>49</v>
      </c>
      <c r="DX58">
        <v>1000</v>
      </c>
      <c r="DZ58" t="s">
        <v>3</v>
      </c>
      <c r="EA58" t="s">
        <v>3</v>
      </c>
      <c r="EB58" t="s">
        <v>3</v>
      </c>
      <c r="EC58" t="s">
        <v>3</v>
      </c>
      <c r="EE58">
        <v>140625030</v>
      </c>
      <c r="EF58">
        <v>2</v>
      </c>
      <c r="EG58" t="s">
        <v>95</v>
      </c>
      <c r="EH58">
        <v>11</v>
      </c>
      <c r="EI58" t="s">
        <v>42</v>
      </c>
      <c r="EJ58">
        <v>1</v>
      </c>
      <c r="EK58">
        <v>11001</v>
      </c>
      <c r="EL58" t="s">
        <v>42</v>
      </c>
      <c r="EM58" t="s">
        <v>161</v>
      </c>
      <c r="EO58" t="s">
        <v>3</v>
      </c>
      <c r="EQ58">
        <v>0</v>
      </c>
      <c r="ER58">
        <v>6513</v>
      </c>
      <c r="ES58">
        <v>6513</v>
      </c>
      <c r="ET58">
        <v>0</v>
      </c>
      <c r="EU58">
        <v>0</v>
      </c>
      <c r="EV58">
        <v>0</v>
      </c>
      <c r="EW58">
        <v>0</v>
      </c>
      <c r="EX58">
        <v>0</v>
      </c>
      <c r="FQ58">
        <v>0</v>
      </c>
      <c r="FR58">
        <f t="shared" si="52"/>
        <v>0</v>
      </c>
      <c r="FS58">
        <v>0</v>
      </c>
      <c r="FX58">
        <v>112</v>
      </c>
      <c r="FY58">
        <v>65</v>
      </c>
      <c r="GA58" t="s">
        <v>3</v>
      </c>
      <c r="GD58">
        <v>1</v>
      </c>
      <c r="GF58">
        <v>-1724628855</v>
      </c>
      <c r="GG58">
        <v>2</v>
      </c>
      <c r="GH58">
        <v>1</v>
      </c>
      <c r="GI58">
        <v>4</v>
      </c>
      <c r="GJ58">
        <v>0</v>
      </c>
      <c r="GK58">
        <v>0</v>
      </c>
      <c r="GL58">
        <f t="shared" si="53"/>
        <v>0</v>
      </c>
      <c r="GM58">
        <f t="shared" si="54"/>
        <v>-7477.58</v>
      </c>
      <c r="GN58">
        <f t="shared" si="55"/>
        <v>-7477.58</v>
      </c>
      <c r="GO58">
        <f t="shared" si="56"/>
        <v>0</v>
      </c>
      <c r="GP58">
        <f t="shared" si="57"/>
        <v>0</v>
      </c>
      <c r="GR58">
        <v>0</v>
      </c>
      <c r="GS58">
        <v>3</v>
      </c>
      <c r="GT58">
        <v>0</v>
      </c>
      <c r="GU58" t="s">
        <v>3</v>
      </c>
      <c r="GV58">
        <f t="shared" si="58"/>
        <v>0</v>
      </c>
      <c r="GW58">
        <v>1</v>
      </c>
      <c r="GX58">
        <f t="shared" si="59"/>
        <v>0</v>
      </c>
      <c r="HA58">
        <v>0</v>
      </c>
      <c r="HB58">
        <v>0</v>
      </c>
      <c r="HC58">
        <f t="shared" si="60"/>
        <v>0</v>
      </c>
      <c r="HE58" t="s">
        <v>3</v>
      </c>
      <c r="HF58" t="s">
        <v>3</v>
      </c>
      <c r="HM58" t="s">
        <v>3</v>
      </c>
      <c r="HN58" t="s">
        <v>163</v>
      </c>
      <c r="HO58" t="s">
        <v>164</v>
      </c>
      <c r="HP58" t="s">
        <v>42</v>
      </c>
      <c r="HQ58" t="s">
        <v>42</v>
      </c>
      <c r="IK58">
        <v>0</v>
      </c>
    </row>
    <row r="59" spans="1:245" x14ac:dyDescent="0.2">
      <c r="A59">
        <v>18</v>
      </c>
      <c r="B59">
        <v>1</v>
      </c>
      <c r="C59">
        <v>84</v>
      </c>
      <c r="E59" t="s">
        <v>173</v>
      </c>
      <c r="F59" t="s">
        <v>174</v>
      </c>
      <c r="G59" t="s">
        <v>175</v>
      </c>
      <c r="H59" t="s">
        <v>154</v>
      </c>
      <c r="I59">
        <f>I56*J59</f>
        <v>-1161</v>
      </c>
      <c r="J59">
        <v>-450</v>
      </c>
      <c r="K59">
        <v>-450</v>
      </c>
      <c r="O59">
        <f t="shared" si="21"/>
        <v>-14156.07</v>
      </c>
      <c r="P59">
        <f t="shared" si="22"/>
        <v>-14156.07</v>
      </c>
      <c r="Q59">
        <f t="shared" si="23"/>
        <v>0</v>
      </c>
      <c r="R59">
        <f t="shared" si="24"/>
        <v>0</v>
      </c>
      <c r="S59">
        <f t="shared" si="25"/>
        <v>0</v>
      </c>
      <c r="T59">
        <f t="shared" si="26"/>
        <v>0</v>
      </c>
      <c r="U59">
        <f t="shared" si="27"/>
        <v>0</v>
      </c>
      <c r="V59">
        <f t="shared" si="28"/>
        <v>0</v>
      </c>
      <c r="W59">
        <f t="shared" si="29"/>
        <v>0</v>
      </c>
      <c r="X59">
        <f t="shared" si="30"/>
        <v>0</v>
      </c>
      <c r="Y59">
        <f t="shared" si="31"/>
        <v>0</v>
      </c>
      <c r="AA59">
        <v>145026783</v>
      </c>
      <c r="AB59">
        <f t="shared" si="32"/>
        <v>1.37</v>
      </c>
      <c r="AC59">
        <f t="shared" si="61"/>
        <v>1.37</v>
      </c>
      <c r="AD59">
        <f t="shared" si="68"/>
        <v>0</v>
      </c>
      <c r="AE59">
        <f t="shared" si="69"/>
        <v>0</v>
      </c>
      <c r="AF59">
        <f t="shared" si="69"/>
        <v>0</v>
      </c>
      <c r="AG59">
        <f t="shared" si="37"/>
        <v>0</v>
      </c>
      <c r="AH59">
        <f t="shared" si="70"/>
        <v>0</v>
      </c>
      <c r="AI59">
        <f t="shared" si="70"/>
        <v>0</v>
      </c>
      <c r="AJ59">
        <f t="shared" si="40"/>
        <v>0</v>
      </c>
      <c r="AK59">
        <v>1.37</v>
      </c>
      <c r="AL59">
        <v>1.37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112</v>
      </c>
      <c r="AU59">
        <v>65</v>
      </c>
      <c r="AV59">
        <v>1</v>
      </c>
      <c r="AW59">
        <v>1</v>
      </c>
      <c r="AZ59">
        <v>1</v>
      </c>
      <c r="BA59">
        <v>1</v>
      </c>
      <c r="BB59">
        <v>1</v>
      </c>
      <c r="BC59">
        <v>8.9</v>
      </c>
      <c r="BD59" t="s">
        <v>3</v>
      </c>
      <c r="BE59" t="s">
        <v>3</v>
      </c>
      <c r="BF59" t="s">
        <v>3</v>
      </c>
      <c r="BG59" t="s">
        <v>3</v>
      </c>
      <c r="BH59">
        <v>3</v>
      </c>
      <c r="BI59">
        <v>1</v>
      </c>
      <c r="BJ59" t="s">
        <v>176</v>
      </c>
      <c r="BM59">
        <v>11001</v>
      </c>
      <c r="BN59">
        <v>0</v>
      </c>
      <c r="BO59" t="s">
        <v>3</v>
      </c>
      <c r="BP59">
        <v>0</v>
      </c>
      <c r="BQ59">
        <v>2</v>
      </c>
      <c r="BR59">
        <v>1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112</v>
      </c>
      <c r="CA59">
        <v>65</v>
      </c>
      <c r="CB59" t="s">
        <v>3</v>
      </c>
      <c r="CE59">
        <v>0</v>
      </c>
      <c r="CF59">
        <v>0</v>
      </c>
      <c r="CG59">
        <v>0</v>
      </c>
      <c r="CM59">
        <v>0</v>
      </c>
      <c r="CN59" t="s">
        <v>3</v>
      </c>
      <c r="CO59">
        <v>0</v>
      </c>
      <c r="CP59">
        <f t="shared" si="41"/>
        <v>-14156.07</v>
      </c>
      <c r="CQ59">
        <f t="shared" si="42"/>
        <v>12.193000000000001</v>
      </c>
      <c r="CR59">
        <f t="shared" si="71"/>
        <v>0</v>
      </c>
      <c r="CS59">
        <f t="shared" si="44"/>
        <v>0</v>
      </c>
      <c r="CT59">
        <f t="shared" si="45"/>
        <v>0</v>
      </c>
      <c r="CU59">
        <f t="shared" si="46"/>
        <v>0</v>
      </c>
      <c r="CV59">
        <f t="shared" si="47"/>
        <v>0</v>
      </c>
      <c r="CW59">
        <f t="shared" si="48"/>
        <v>0</v>
      </c>
      <c r="CX59">
        <f t="shared" si="49"/>
        <v>0</v>
      </c>
      <c r="CY59">
        <f t="shared" si="50"/>
        <v>0</v>
      </c>
      <c r="CZ59">
        <f t="shared" si="51"/>
        <v>0</v>
      </c>
      <c r="DC59" t="s">
        <v>3</v>
      </c>
      <c r="DD59" t="s">
        <v>3</v>
      </c>
      <c r="DE59" t="s">
        <v>3</v>
      </c>
      <c r="DF59" t="s">
        <v>3</v>
      </c>
      <c r="DG59" t="s">
        <v>3</v>
      </c>
      <c r="DH59" t="s">
        <v>3</v>
      </c>
      <c r="DI59" t="s">
        <v>3</v>
      </c>
      <c r="DJ59" t="s">
        <v>3</v>
      </c>
      <c r="DK59" t="s">
        <v>3</v>
      </c>
      <c r="DL59" t="s">
        <v>3</v>
      </c>
      <c r="DM59" t="s">
        <v>3</v>
      </c>
      <c r="DN59">
        <v>0</v>
      </c>
      <c r="DO59">
        <v>0</v>
      </c>
      <c r="DP59">
        <v>1</v>
      </c>
      <c r="DQ59">
        <v>1</v>
      </c>
      <c r="DU59">
        <v>1009</v>
      </c>
      <c r="DV59" t="s">
        <v>154</v>
      </c>
      <c r="DW59" t="s">
        <v>154</v>
      </c>
      <c r="DX59">
        <v>1</v>
      </c>
      <c r="DZ59" t="s">
        <v>3</v>
      </c>
      <c r="EA59" t="s">
        <v>3</v>
      </c>
      <c r="EB59" t="s">
        <v>3</v>
      </c>
      <c r="EC59" t="s">
        <v>3</v>
      </c>
      <c r="EE59">
        <v>140625030</v>
      </c>
      <c r="EF59">
        <v>2</v>
      </c>
      <c r="EG59" t="s">
        <v>95</v>
      </c>
      <c r="EH59">
        <v>11</v>
      </c>
      <c r="EI59" t="s">
        <v>42</v>
      </c>
      <c r="EJ59">
        <v>1</v>
      </c>
      <c r="EK59">
        <v>11001</v>
      </c>
      <c r="EL59" t="s">
        <v>42</v>
      </c>
      <c r="EM59" t="s">
        <v>161</v>
      </c>
      <c r="EO59" t="s">
        <v>3</v>
      </c>
      <c r="EQ59">
        <v>0</v>
      </c>
      <c r="ER59">
        <v>1.37</v>
      </c>
      <c r="ES59">
        <v>1.37</v>
      </c>
      <c r="ET59">
        <v>0</v>
      </c>
      <c r="EU59">
        <v>0</v>
      </c>
      <c r="EV59">
        <v>0</v>
      </c>
      <c r="EW59">
        <v>0</v>
      </c>
      <c r="EX59">
        <v>0</v>
      </c>
      <c r="FQ59">
        <v>0</v>
      </c>
      <c r="FR59">
        <f t="shared" si="52"/>
        <v>0</v>
      </c>
      <c r="FS59">
        <v>0</v>
      </c>
      <c r="FX59">
        <v>112</v>
      </c>
      <c r="FY59">
        <v>65</v>
      </c>
      <c r="GA59" t="s">
        <v>3</v>
      </c>
      <c r="GD59">
        <v>1</v>
      </c>
      <c r="GF59">
        <v>-1263215297</v>
      </c>
      <c r="GG59">
        <v>2</v>
      </c>
      <c r="GH59">
        <v>1</v>
      </c>
      <c r="GI59">
        <v>4</v>
      </c>
      <c r="GJ59">
        <v>0</v>
      </c>
      <c r="GK59">
        <v>0</v>
      </c>
      <c r="GL59">
        <f t="shared" si="53"/>
        <v>0</v>
      </c>
      <c r="GM59">
        <f t="shared" si="54"/>
        <v>-14156.07</v>
      </c>
      <c r="GN59">
        <f t="shared" si="55"/>
        <v>-14156.07</v>
      </c>
      <c r="GO59">
        <f t="shared" si="56"/>
        <v>0</v>
      </c>
      <c r="GP59">
        <f t="shared" si="57"/>
        <v>0</v>
      </c>
      <c r="GR59">
        <v>0</v>
      </c>
      <c r="GS59">
        <v>3</v>
      </c>
      <c r="GT59">
        <v>0</v>
      </c>
      <c r="GU59" t="s">
        <v>3</v>
      </c>
      <c r="GV59">
        <f t="shared" si="58"/>
        <v>0</v>
      </c>
      <c r="GW59">
        <v>1</v>
      </c>
      <c r="GX59">
        <f t="shared" si="59"/>
        <v>0</v>
      </c>
      <c r="HA59">
        <v>0</v>
      </c>
      <c r="HB59">
        <v>0</v>
      </c>
      <c r="HC59">
        <f t="shared" si="60"/>
        <v>0</v>
      </c>
      <c r="HE59" t="s">
        <v>3</v>
      </c>
      <c r="HF59" t="s">
        <v>3</v>
      </c>
      <c r="HM59" t="s">
        <v>3</v>
      </c>
      <c r="HN59" t="s">
        <v>163</v>
      </c>
      <c r="HO59" t="s">
        <v>164</v>
      </c>
      <c r="HP59" t="s">
        <v>42</v>
      </c>
      <c r="HQ59" t="s">
        <v>42</v>
      </c>
      <c r="IK59">
        <v>0</v>
      </c>
    </row>
    <row r="60" spans="1:245" x14ac:dyDescent="0.2">
      <c r="A60">
        <v>17</v>
      </c>
      <c r="B60">
        <v>1</v>
      </c>
      <c r="E60" t="s">
        <v>177</v>
      </c>
      <c r="F60" t="s">
        <v>29</v>
      </c>
      <c r="G60" t="s">
        <v>178</v>
      </c>
      <c r="H60" t="s">
        <v>72</v>
      </c>
      <c r="I60">
        <f>ROUND(I56*102,9)</f>
        <v>263.16000000000003</v>
      </c>
      <c r="J60">
        <v>0</v>
      </c>
      <c r="K60">
        <f>ROUND(I56*102,9)</f>
        <v>263.16000000000003</v>
      </c>
      <c r="O60">
        <f t="shared" ref="O60:O91" si="72">ROUND(CP60,2)</f>
        <v>149591.46</v>
      </c>
      <c r="P60">
        <f t="shared" ref="P60:P91" si="73">ROUND(CQ60*I60,2)</f>
        <v>149591.46</v>
      </c>
      <c r="Q60">
        <f t="shared" ref="Q60:Q91" si="74">ROUND(CR60*I60,2)</f>
        <v>0</v>
      </c>
      <c r="R60">
        <f t="shared" ref="R60:R91" si="75">ROUND(CS60*I60,2)</f>
        <v>0</v>
      </c>
      <c r="S60">
        <f t="shared" ref="S60:S91" si="76">ROUND(CT60*I60,2)</f>
        <v>0</v>
      </c>
      <c r="T60">
        <f t="shared" ref="T60:T91" si="77">ROUND(CU60*I60,2)</f>
        <v>0</v>
      </c>
      <c r="U60">
        <f t="shared" ref="U60:U91" si="78">CV60*I60</f>
        <v>0</v>
      </c>
      <c r="V60">
        <f t="shared" ref="V60:V91" si="79">CW60*I60</f>
        <v>0</v>
      </c>
      <c r="W60">
        <f t="shared" ref="W60:W91" si="80">ROUND(CX60*I60,2)</f>
        <v>0</v>
      </c>
      <c r="X60">
        <f t="shared" ref="X60:X91" si="81">ROUND(CY60,2)</f>
        <v>0</v>
      </c>
      <c r="Y60">
        <f t="shared" ref="Y60:Y91" si="82">ROUND(CZ60,2)</f>
        <v>0</v>
      </c>
      <c r="AA60">
        <v>145026783</v>
      </c>
      <c r="AB60">
        <f t="shared" ref="AB60:AB91" si="83">ROUND((AC60+AD60+AF60),2)</f>
        <v>63.87</v>
      </c>
      <c r="AC60">
        <f t="shared" si="61"/>
        <v>63.87</v>
      </c>
      <c r="AD60">
        <f t="shared" si="68"/>
        <v>0</v>
      </c>
      <c r="AE60">
        <f t="shared" si="69"/>
        <v>0</v>
      </c>
      <c r="AF60">
        <f t="shared" si="69"/>
        <v>0</v>
      </c>
      <c r="AG60">
        <f t="shared" ref="AG60:AG91" si="84">ROUND((AP60),2)</f>
        <v>0</v>
      </c>
      <c r="AH60">
        <f t="shared" si="70"/>
        <v>0</v>
      </c>
      <c r="AI60">
        <f t="shared" si="70"/>
        <v>0</v>
      </c>
      <c r="AJ60">
        <f t="shared" ref="AJ60:AJ91" si="85">(AS60)</f>
        <v>0</v>
      </c>
      <c r="AK60">
        <v>63.87</v>
      </c>
      <c r="AL60">
        <v>63.87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1</v>
      </c>
      <c r="AW60">
        <v>1</v>
      </c>
      <c r="AZ60">
        <v>1</v>
      </c>
      <c r="BA60">
        <v>1</v>
      </c>
      <c r="BB60">
        <v>1</v>
      </c>
      <c r="BC60">
        <v>8.9</v>
      </c>
      <c r="BD60" t="s">
        <v>3</v>
      </c>
      <c r="BE60" t="s">
        <v>3</v>
      </c>
      <c r="BF60" t="s">
        <v>3</v>
      </c>
      <c r="BG60" t="s">
        <v>3</v>
      </c>
      <c r="BH60">
        <v>3</v>
      </c>
      <c r="BI60">
        <v>1</v>
      </c>
      <c r="BJ60" t="s">
        <v>3</v>
      </c>
      <c r="BM60">
        <v>1100</v>
      </c>
      <c r="BN60">
        <v>0</v>
      </c>
      <c r="BO60" t="s">
        <v>3</v>
      </c>
      <c r="BP60">
        <v>0</v>
      </c>
      <c r="BQ60">
        <v>8</v>
      </c>
      <c r="BR60">
        <v>0</v>
      </c>
      <c r="BS60">
        <v>1</v>
      </c>
      <c r="BT60">
        <v>1</v>
      </c>
      <c r="BU60">
        <v>1</v>
      </c>
      <c r="BV60">
        <v>1</v>
      </c>
      <c r="BW60">
        <v>1</v>
      </c>
      <c r="BX60">
        <v>1</v>
      </c>
      <c r="BY60" t="s">
        <v>3</v>
      </c>
      <c r="BZ60">
        <v>0</v>
      </c>
      <c r="CA60">
        <v>0</v>
      </c>
      <c r="CB60" t="s">
        <v>3</v>
      </c>
      <c r="CE60">
        <v>0</v>
      </c>
      <c r="CF60">
        <v>0</v>
      </c>
      <c r="CG60">
        <v>0</v>
      </c>
      <c r="CM60">
        <v>0</v>
      </c>
      <c r="CN60" t="s">
        <v>3</v>
      </c>
      <c r="CO60">
        <v>0</v>
      </c>
      <c r="CP60">
        <f t="shared" ref="CP60:CP91" si="86">(P60+Q60+S60)</f>
        <v>149591.46</v>
      </c>
      <c r="CQ60">
        <f t="shared" ref="CQ60:CQ91" si="87">AC60*BC60</f>
        <v>568.44299999999998</v>
      </c>
      <c r="CR60">
        <f t="shared" si="71"/>
        <v>0</v>
      </c>
      <c r="CS60">
        <f t="shared" ref="CS60:CS91" si="88">AE60*BS60</f>
        <v>0</v>
      </c>
      <c r="CT60">
        <f t="shared" ref="CT60:CT91" si="89">AF60*BA60</f>
        <v>0</v>
      </c>
      <c r="CU60">
        <f t="shared" ref="CU60:CU91" si="90">AG60</f>
        <v>0</v>
      </c>
      <c r="CV60">
        <f t="shared" ref="CV60:CV91" si="91">AH60</f>
        <v>0</v>
      </c>
      <c r="CW60">
        <f t="shared" ref="CW60:CW91" si="92">AI60</f>
        <v>0</v>
      </c>
      <c r="CX60">
        <f t="shared" ref="CX60:CX91" si="93">AJ60</f>
        <v>0</v>
      </c>
      <c r="CY60">
        <f t="shared" ref="CY60:CY91" si="94">(((S60+R60)*AT60)/100)</f>
        <v>0</v>
      </c>
      <c r="CZ60">
        <f t="shared" ref="CZ60:CZ91" si="95">(((S60+R60)*AU60)/100)</f>
        <v>0</v>
      </c>
      <c r="DC60" t="s">
        <v>3</v>
      </c>
      <c r="DD60" t="s">
        <v>3</v>
      </c>
      <c r="DE60" t="s">
        <v>3</v>
      </c>
      <c r="DF60" t="s">
        <v>3</v>
      </c>
      <c r="DG60" t="s">
        <v>3</v>
      </c>
      <c r="DH60" t="s">
        <v>3</v>
      </c>
      <c r="DI60" t="s">
        <v>3</v>
      </c>
      <c r="DJ60" t="s">
        <v>3</v>
      </c>
      <c r="DK60" t="s">
        <v>3</v>
      </c>
      <c r="DL60" t="s">
        <v>3</v>
      </c>
      <c r="DM60" t="s">
        <v>3</v>
      </c>
      <c r="DN60">
        <v>0</v>
      </c>
      <c r="DO60">
        <v>0</v>
      </c>
      <c r="DP60">
        <v>1</v>
      </c>
      <c r="DQ60">
        <v>1</v>
      </c>
      <c r="DU60">
        <v>1005</v>
      </c>
      <c r="DV60" t="s">
        <v>72</v>
      </c>
      <c r="DW60" t="s">
        <v>72</v>
      </c>
      <c r="DX60">
        <v>1</v>
      </c>
      <c r="DZ60" t="s">
        <v>3</v>
      </c>
      <c r="EA60" t="s">
        <v>3</v>
      </c>
      <c r="EB60" t="s">
        <v>3</v>
      </c>
      <c r="EC60" t="s">
        <v>3</v>
      </c>
      <c r="EE60">
        <v>140625274</v>
      </c>
      <c r="EF60">
        <v>8</v>
      </c>
      <c r="EG60" t="s">
        <v>32</v>
      </c>
      <c r="EH60">
        <v>0</v>
      </c>
      <c r="EI60" t="s">
        <v>3</v>
      </c>
      <c r="EJ60">
        <v>1</v>
      </c>
      <c r="EK60">
        <v>1100</v>
      </c>
      <c r="EL60" t="s">
        <v>33</v>
      </c>
      <c r="EM60" t="s">
        <v>34</v>
      </c>
      <c r="EO60" t="s">
        <v>3</v>
      </c>
      <c r="EQ60">
        <v>0</v>
      </c>
      <c r="ER60">
        <v>63.87</v>
      </c>
      <c r="ES60">
        <v>63.87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5</v>
      </c>
      <c r="FC60">
        <v>1</v>
      </c>
      <c r="FD60">
        <v>18</v>
      </c>
      <c r="FF60">
        <v>637</v>
      </c>
      <c r="FQ60">
        <v>0</v>
      </c>
      <c r="FR60">
        <f t="shared" ref="FR60:FR91" si="96">ROUND(IF(BI60=3,GM60,0),2)</f>
        <v>0</v>
      </c>
      <c r="FS60">
        <v>0</v>
      </c>
      <c r="FX60">
        <v>0</v>
      </c>
      <c r="FY60">
        <v>0</v>
      </c>
      <c r="GA60" t="s">
        <v>179</v>
      </c>
      <c r="GD60">
        <v>1</v>
      </c>
      <c r="GF60">
        <v>1483509074</v>
      </c>
      <c r="GG60">
        <v>2</v>
      </c>
      <c r="GH60">
        <v>3</v>
      </c>
      <c r="GI60">
        <v>4</v>
      </c>
      <c r="GJ60">
        <v>0</v>
      </c>
      <c r="GK60">
        <v>0</v>
      </c>
      <c r="GL60">
        <f t="shared" ref="GL60:GL91" si="97">ROUND(IF(AND(BH60=3,BI60=3,FS60&lt;&gt;0),P60,0),2)</f>
        <v>0</v>
      </c>
      <c r="GM60">
        <f t="shared" ref="GM60:GM91" si="98">ROUND(O60+X60+Y60,2)+GX60</f>
        <v>149591.46</v>
      </c>
      <c r="GN60">
        <f t="shared" ref="GN60:GN91" si="99">IF(OR(BI60=0,BI60=1),ROUND(O60+X60+Y60,2),0)</f>
        <v>149591.46</v>
      </c>
      <c r="GO60">
        <f t="shared" ref="GO60:GO91" si="100">IF(BI60=2,ROUND(O60+X60+Y60,2),0)</f>
        <v>0</v>
      </c>
      <c r="GP60">
        <f t="shared" ref="GP60:GP91" si="101">IF(BI60=4,ROUND(O60+X60+Y60,2)+GX60,0)</f>
        <v>0</v>
      </c>
      <c r="GR60">
        <v>1</v>
      </c>
      <c r="GS60">
        <v>1</v>
      </c>
      <c r="GT60">
        <v>0</v>
      </c>
      <c r="GU60" t="s">
        <v>3</v>
      </c>
      <c r="GV60">
        <f t="shared" ref="GV60:GV91" si="102">ROUND((GT60),2)</f>
        <v>0</v>
      </c>
      <c r="GW60">
        <v>1</v>
      </c>
      <c r="GX60">
        <f t="shared" ref="GX60:GX91" si="103">ROUND(HC60*I60,2)</f>
        <v>0</v>
      </c>
      <c r="HA60">
        <v>0</v>
      </c>
      <c r="HB60">
        <v>0</v>
      </c>
      <c r="HC60">
        <f t="shared" ref="HC60:HC91" si="104">GV60*GW60</f>
        <v>0</v>
      </c>
      <c r="HE60" t="s">
        <v>36</v>
      </c>
      <c r="HF60" t="s">
        <v>28</v>
      </c>
      <c r="HM60" t="s">
        <v>3</v>
      </c>
      <c r="HN60" t="s">
        <v>3</v>
      </c>
      <c r="HO60" t="s">
        <v>3</v>
      </c>
      <c r="HP60" t="s">
        <v>3</v>
      </c>
      <c r="HQ60" t="s">
        <v>3</v>
      </c>
      <c r="IK60">
        <v>0</v>
      </c>
    </row>
    <row r="61" spans="1:245" x14ac:dyDescent="0.2">
      <c r="A61">
        <v>17</v>
      </c>
      <c r="B61">
        <v>1</v>
      </c>
      <c r="E61" t="s">
        <v>180</v>
      </c>
      <c r="F61" t="s">
        <v>29</v>
      </c>
      <c r="G61" t="s">
        <v>181</v>
      </c>
      <c r="H61" t="s">
        <v>154</v>
      </c>
      <c r="I61">
        <v>1161</v>
      </c>
      <c r="J61">
        <v>0</v>
      </c>
      <c r="K61">
        <v>1161</v>
      </c>
      <c r="O61">
        <f t="shared" si="72"/>
        <v>22422.39</v>
      </c>
      <c r="P61">
        <f t="shared" si="73"/>
        <v>22422.39</v>
      </c>
      <c r="Q61">
        <f t="shared" si="74"/>
        <v>0</v>
      </c>
      <c r="R61">
        <f t="shared" si="75"/>
        <v>0</v>
      </c>
      <c r="S61">
        <f t="shared" si="76"/>
        <v>0</v>
      </c>
      <c r="T61">
        <f t="shared" si="77"/>
        <v>0</v>
      </c>
      <c r="U61">
        <f t="shared" si="78"/>
        <v>0</v>
      </c>
      <c r="V61">
        <f t="shared" si="79"/>
        <v>0</v>
      </c>
      <c r="W61">
        <f t="shared" si="80"/>
        <v>0</v>
      </c>
      <c r="X61">
        <f t="shared" si="81"/>
        <v>0</v>
      </c>
      <c r="Y61">
        <f t="shared" si="82"/>
        <v>0</v>
      </c>
      <c r="AA61">
        <v>145026783</v>
      </c>
      <c r="AB61">
        <f t="shared" si="83"/>
        <v>2.17</v>
      </c>
      <c r="AC61">
        <f t="shared" si="61"/>
        <v>2.17</v>
      </c>
      <c r="AD61">
        <f t="shared" si="68"/>
        <v>0</v>
      </c>
      <c r="AE61">
        <f t="shared" si="69"/>
        <v>0</v>
      </c>
      <c r="AF61">
        <f t="shared" si="69"/>
        <v>0</v>
      </c>
      <c r="AG61">
        <f t="shared" si="84"/>
        <v>0</v>
      </c>
      <c r="AH61">
        <f t="shared" si="70"/>
        <v>0</v>
      </c>
      <c r="AI61">
        <f t="shared" si="70"/>
        <v>0</v>
      </c>
      <c r="AJ61">
        <f t="shared" si="85"/>
        <v>0</v>
      </c>
      <c r="AK61">
        <v>2.17</v>
      </c>
      <c r="AL61">
        <v>2.17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v>8.9</v>
      </c>
      <c r="BD61" t="s">
        <v>3</v>
      </c>
      <c r="BE61" t="s">
        <v>3</v>
      </c>
      <c r="BF61" t="s">
        <v>3</v>
      </c>
      <c r="BG61" t="s">
        <v>3</v>
      </c>
      <c r="BH61">
        <v>3</v>
      </c>
      <c r="BI61">
        <v>1</v>
      </c>
      <c r="BJ61" t="s">
        <v>3</v>
      </c>
      <c r="BM61">
        <v>1100</v>
      </c>
      <c r="BN61">
        <v>0</v>
      </c>
      <c r="BO61" t="s">
        <v>3</v>
      </c>
      <c r="BP61">
        <v>0</v>
      </c>
      <c r="BQ61">
        <v>8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3</v>
      </c>
      <c r="BZ61">
        <v>0</v>
      </c>
      <c r="CA61">
        <v>0</v>
      </c>
      <c r="CB61" t="s">
        <v>3</v>
      </c>
      <c r="CE61">
        <v>0</v>
      </c>
      <c r="CF61">
        <v>0</v>
      </c>
      <c r="CG61">
        <v>0</v>
      </c>
      <c r="CM61">
        <v>0</v>
      </c>
      <c r="CN61" t="s">
        <v>3</v>
      </c>
      <c r="CO61">
        <v>0</v>
      </c>
      <c r="CP61">
        <f t="shared" si="86"/>
        <v>22422.39</v>
      </c>
      <c r="CQ61">
        <f t="shared" si="87"/>
        <v>19.312999999999999</v>
      </c>
      <c r="CR61">
        <f t="shared" si="71"/>
        <v>0</v>
      </c>
      <c r="CS61">
        <f t="shared" si="88"/>
        <v>0</v>
      </c>
      <c r="CT61">
        <f t="shared" si="89"/>
        <v>0</v>
      </c>
      <c r="CU61">
        <f t="shared" si="90"/>
        <v>0</v>
      </c>
      <c r="CV61">
        <f t="shared" si="91"/>
        <v>0</v>
      </c>
      <c r="CW61">
        <f t="shared" si="92"/>
        <v>0</v>
      </c>
      <c r="CX61">
        <f t="shared" si="93"/>
        <v>0</v>
      </c>
      <c r="CY61">
        <f t="shared" si="94"/>
        <v>0</v>
      </c>
      <c r="CZ61">
        <f t="shared" si="95"/>
        <v>0</v>
      </c>
      <c r="DC61" t="s">
        <v>3</v>
      </c>
      <c r="DD61" t="s">
        <v>3</v>
      </c>
      <c r="DE61" t="s">
        <v>3</v>
      </c>
      <c r="DF61" t="s">
        <v>3</v>
      </c>
      <c r="DG61" t="s">
        <v>3</v>
      </c>
      <c r="DH61" t="s">
        <v>3</v>
      </c>
      <c r="DI61" t="s">
        <v>3</v>
      </c>
      <c r="DJ61" t="s">
        <v>3</v>
      </c>
      <c r="DK61" t="s">
        <v>3</v>
      </c>
      <c r="DL61" t="s">
        <v>3</v>
      </c>
      <c r="DM61" t="s">
        <v>3</v>
      </c>
      <c r="DN61">
        <v>0</v>
      </c>
      <c r="DO61">
        <v>0</v>
      </c>
      <c r="DP61">
        <v>1</v>
      </c>
      <c r="DQ61">
        <v>1</v>
      </c>
      <c r="DU61">
        <v>1009</v>
      </c>
      <c r="DV61" t="s">
        <v>154</v>
      </c>
      <c r="DW61" t="s">
        <v>154</v>
      </c>
      <c r="DX61">
        <v>1</v>
      </c>
      <c r="DZ61" t="s">
        <v>3</v>
      </c>
      <c r="EA61" t="s">
        <v>3</v>
      </c>
      <c r="EB61" t="s">
        <v>3</v>
      </c>
      <c r="EC61" t="s">
        <v>3</v>
      </c>
      <c r="EE61">
        <v>140625274</v>
      </c>
      <c r="EF61">
        <v>8</v>
      </c>
      <c r="EG61" t="s">
        <v>32</v>
      </c>
      <c r="EH61">
        <v>0</v>
      </c>
      <c r="EI61" t="s">
        <v>3</v>
      </c>
      <c r="EJ61">
        <v>1</v>
      </c>
      <c r="EK61">
        <v>1100</v>
      </c>
      <c r="EL61" t="s">
        <v>33</v>
      </c>
      <c r="EM61" t="s">
        <v>34</v>
      </c>
      <c r="EO61" t="s">
        <v>3</v>
      </c>
      <c r="EQ61">
        <v>0</v>
      </c>
      <c r="ER61">
        <v>2.17</v>
      </c>
      <c r="ES61">
        <v>2.17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5</v>
      </c>
      <c r="FC61">
        <v>1</v>
      </c>
      <c r="FD61">
        <v>18</v>
      </c>
      <c r="FF61">
        <v>21.64</v>
      </c>
      <c r="FQ61">
        <v>0</v>
      </c>
      <c r="FR61">
        <f t="shared" si="96"/>
        <v>0</v>
      </c>
      <c r="FS61">
        <v>0</v>
      </c>
      <c r="FX61">
        <v>0</v>
      </c>
      <c r="FY61">
        <v>0</v>
      </c>
      <c r="GA61" t="s">
        <v>182</v>
      </c>
      <c r="GD61">
        <v>1</v>
      </c>
      <c r="GF61">
        <v>-707210353</v>
      </c>
      <c r="GG61">
        <v>2</v>
      </c>
      <c r="GH61">
        <v>3</v>
      </c>
      <c r="GI61">
        <v>4</v>
      </c>
      <c r="GJ61">
        <v>0</v>
      </c>
      <c r="GK61">
        <v>0</v>
      </c>
      <c r="GL61">
        <f t="shared" si="97"/>
        <v>0</v>
      </c>
      <c r="GM61">
        <f t="shared" si="98"/>
        <v>22422.39</v>
      </c>
      <c r="GN61">
        <f t="shared" si="99"/>
        <v>22422.39</v>
      </c>
      <c r="GO61">
        <f t="shared" si="100"/>
        <v>0</v>
      </c>
      <c r="GP61">
        <f t="shared" si="101"/>
        <v>0</v>
      </c>
      <c r="GR61">
        <v>1</v>
      </c>
      <c r="GS61">
        <v>1</v>
      </c>
      <c r="GT61">
        <v>0</v>
      </c>
      <c r="GU61" t="s">
        <v>3</v>
      </c>
      <c r="GV61">
        <f t="shared" si="102"/>
        <v>0</v>
      </c>
      <c r="GW61">
        <v>1</v>
      </c>
      <c r="GX61">
        <f t="shared" si="103"/>
        <v>0</v>
      </c>
      <c r="HA61">
        <v>0</v>
      </c>
      <c r="HB61">
        <v>0</v>
      </c>
      <c r="HC61">
        <f t="shared" si="104"/>
        <v>0</v>
      </c>
      <c r="HE61" t="s">
        <v>36</v>
      </c>
      <c r="HF61" t="s">
        <v>28</v>
      </c>
      <c r="HM61" t="s">
        <v>3</v>
      </c>
      <c r="HN61" t="s">
        <v>3</v>
      </c>
      <c r="HO61" t="s">
        <v>3</v>
      </c>
      <c r="HP61" t="s">
        <v>3</v>
      </c>
      <c r="HQ61" t="s">
        <v>3</v>
      </c>
      <c r="IK61">
        <v>0</v>
      </c>
    </row>
    <row r="62" spans="1:245" x14ac:dyDescent="0.2">
      <c r="A62">
        <v>17</v>
      </c>
      <c r="B62">
        <v>1</v>
      </c>
      <c r="E62" t="s">
        <v>183</v>
      </c>
      <c r="F62" t="s">
        <v>29</v>
      </c>
      <c r="G62" t="s">
        <v>184</v>
      </c>
      <c r="H62" t="s">
        <v>154</v>
      </c>
      <c r="I62">
        <v>129</v>
      </c>
      <c r="J62">
        <v>0</v>
      </c>
      <c r="K62">
        <v>129</v>
      </c>
      <c r="O62">
        <f t="shared" si="72"/>
        <v>15545.27</v>
      </c>
      <c r="P62">
        <f t="shared" si="73"/>
        <v>15545.27</v>
      </c>
      <c r="Q62">
        <f t="shared" si="74"/>
        <v>0</v>
      </c>
      <c r="R62">
        <f t="shared" si="75"/>
        <v>0</v>
      </c>
      <c r="S62">
        <f t="shared" si="76"/>
        <v>0</v>
      </c>
      <c r="T62">
        <f t="shared" si="77"/>
        <v>0</v>
      </c>
      <c r="U62">
        <f t="shared" si="78"/>
        <v>0</v>
      </c>
      <c r="V62">
        <f t="shared" si="79"/>
        <v>0</v>
      </c>
      <c r="W62">
        <f t="shared" si="80"/>
        <v>0</v>
      </c>
      <c r="X62">
        <f t="shared" si="81"/>
        <v>0</v>
      </c>
      <c r="Y62">
        <f t="shared" si="82"/>
        <v>0</v>
      </c>
      <c r="AA62">
        <v>145026783</v>
      </c>
      <c r="AB62">
        <f t="shared" si="83"/>
        <v>13.54</v>
      </c>
      <c r="AC62">
        <f t="shared" si="61"/>
        <v>13.54</v>
      </c>
      <c r="AD62">
        <f t="shared" si="68"/>
        <v>0</v>
      </c>
      <c r="AE62">
        <f t="shared" si="69"/>
        <v>0</v>
      </c>
      <c r="AF62">
        <f t="shared" si="69"/>
        <v>0</v>
      </c>
      <c r="AG62">
        <f t="shared" si="84"/>
        <v>0</v>
      </c>
      <c r="AH62">
        <f t="shared" si="70"/>
        <v>0</v>
      </c>
      <c r="AI62">
        <f t="shared" si="70"/>
        <v>0</v>
      </c>
      <c r="AJ62">
        <f t="shared" si="85"/>
        <v>0</v>
      </c>
      <c r="AK62">
        <v>13.540000000000001</v>
      </c>
      <c r="AL62">
        <v>13.540000000000001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1</v>
      </c>
      <c r="AW62">
        <v>1</v>
      </c>
      <c r="AZ62">
        <v>1</v>
      </c>
      <c r="BA62">
        <v>1</v>
      </c>
      <c r="BB62">
        <v>1</v>
      </c>
      <c r="BC62">
        <v>8.9</v>
      </c>
      <c r="BD62" t="s">
        <v>3</v>
      </c>
      <c r="BE62" t="s">
        <v>3</v>
      </c>
      <c r="BF62" t="s">
        <v>3</v>
      </c>
      <c r="BG62" t="s">
        <v>3</v>
      </c>
      <c r="BH62">
        <v>3</v>
      </c>
      <c r="BI62">
        <v>1</v>
      </c>
      <c r="BJ62" t="s">
        <v>3</v>
      </c>
      <c r="BM62">
        <v>1100</v>
      </c>
      <c r="BN62">
        <v>0</v>
      </c>
      <c r="BO62" t="s">
        <v>3</v>
      </c>
      <c r="BP62">
        <v>0</v>
      </c>
      <c r="BQ62">
        <v>8</v>
      </c>
      <c r="BR62">
        <v>0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 t="s">
        <v>3</v>
      </c>
      <c r="BZ62">
        <v>0</v>
      </c>
      <c r="CA62">
        <v>0</v>
      </c>
      <c r="CB62" t="s">
        <v>3</v>
      </c>
      <c r="CE62">
        <v>0</v>
      </c>
      <c r="CF62">
        <v>0</v>
      </c>
      <c r="CG62">
        <v>0</v>
      </c>
      <c r="CM62">
        <v>0</v>
      </c>
      <c r="CN62" t="s">
        <v>3</v>
      </c>
      <c r="CO62">
        <v>0</v>
      </c>
      <c r="CP62">
        <f t="shared" si="86"/>
        <v>15545.27</v>
      </c>
      <c r="CQ62">
        <f t="shared" si="87"/>
        <v>120.506</v>
      </c>
      <c r="CR62">
        <f t="shared" si="71"/>
        <v>0</v>
      </c>
      <c r="CS62">
        <f t="shared" si="88"/>
        <v>0</v>
      </c>
      <c r="CT62">
        <f t="shared" si="89"/>
        <v>0</v>
      </c>
      <c r="CU62">
        <f t="shared" si="90"/>
        <v>0</v>
      </c>
      <c r="CV62">
        <f t="shared" si="91"/>
        <v>0</v>
      </c>
      <c r="CW62">
        <f t="shared" si="92"/>
        <v>0</v>
      </c>
      <c r="CX62">
        <f t="shared" si="93"/>
        <v>0</v>
      </c>
      <c r="CY62">
        <f t="shared" si="94"/>
        <v>0</v>
      </c>
      <c r="CZ62">
        <f t="shared" si="95"/>
        <v>0</v>
      </c>
      <c r="DC62" t="s">
        <v>3</v>
      </c>
      <c r="DD62" t="s">
        <v>3</v>
      </c>
      <c r="DE62" t="s">
        <v>3</v>
      </c>
      <c r="DF62" t="s">
        <v>3</v>
      </c>
      <c r="DG62" t="s">
        <v>3</v>
      </c>
      <c r="DH62" t="s">
        <v>3</v>
      </c>
      <c r="DI62" t="s">
        <v>3</v>
      </c>
      <c r="DJ62" t="s">
        <v>3</v>
      </c>
      <c r="DK62" t="s">
        <v>3</v>
      </c>
      <c r="DL62" t="s">
        <v>3</v>
      </c>
      <c r="DM62" t="s">
        <v>3</v>
      </c>
      <c r="DN62">
        <v>0</v>
      </c>
      <c r="DO62">
        <v>0</v>
      </c>
      <c r="DP62">
        <v>1</v>
      </c>
      <c r="DQ62">
        <v>1</v>
      </c>
      <c r="DU62">
        <v>1009</v>
      </c>
      <c r="DV62" t="s">
        <v>154</v>
      </c>
      <c r="DW62" t="s">
        <v>154</v>
      </c>
      <c r="DX62">
        <v>1</v>
      </c>
      <c r="DZ62" t="s">
        <v>3</v>
      </c>
      <c r="EA62" t="s">
        <v>3</v>
      </c>
      <c r="EB62" t="s">
        <v>3</v>
      </c>
      <c r="EC62" t="s">
        <v>3</v>
      </c>
      <c r="EE62">
        <v>140625274</v>
      </c>
      <c r="EF62">
        <v>8</v>
      </c>
      <c r="EG62" t="s">
        <v>32</v>
      </c>
      <c r="EH62">
        <v>0</v>
      </c>
      <c r="EI62" t="s">
        <v>3</v>
      </c>
      <c r="EJ62">
        <v>1</v>
      </c>
      <c r="EK62">
        <v>1100</v>
      </c>
      <c r="EL62" t="s">
        <v>33</v>
      </c>
      <c r="EM62" t="s">
        <v>34</v>
      </c>
      <c r="EO62" t="s">
        <v>3</v>
      </c>
      <c r="EQ62">
        <v>0</v>
      </c>
      <c r="ER62">
        <v>13.540000000000001</v>
      </c>
      <c r="ES62">
        <v>13.540000000000001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5</v>
      </c>
      <c r="FC62">
        <v>1</v>
      </c>
      <c r="FD62">
        <v>18</v>
      </c>
      <c r="FF62">
        <v>135</v>
      </c>
      <c r="FQ62">
        <v>0</v>
      </c>
      <c r="FR62">
        <f t="shared" si="96"/>
        <v>0</v>
      </c>
      <c r="FS62">
        <v>0</v>
      </c>
      <c r="FX62">
        <v>0</v>
      </c>
      <c r="FY62">
        <v>0</v>
      </c>
      <c r="GA62" t="s">
        <v>185</v>
      </c>
      <c r="GD62">
        <v>1</v>
      </c>
      <c r="GF62">
        <v>-1854833190</v>
      </c>
      <c r="GG62">
        <v>2</v>
      </c>
      <c r="GH62">
        <v>3</v>
      </c>
      <c r="GI62">
        <v>4</v>
      </c>
      <c r="GJ62">
        <v>0</v>
      </c>
      <c r="GK62">
        <v>0</v>
      </c>
      <c r="GL62">
        <f t="shared" si="97"/>
        <v>0</v>
      </c>
      <c r="GM62">
        <f t="shared" si="98"/>
        <v>15545.27</v>
      </c>
      <c r="GN62">
        <f t="shared" si="99"/>
        <v>15545.27</v>
      </c>
      <c r="GO62">
        <f t="shared" si="100"/>
        <v>0</v>
      </c>
      <c r="GP62">
        <f t="shared" si="101"/>
        <v>0</v>
      </c>
      <c r="GR62">
        <v>1</v>
      </c>
      <c r="GS62">
        <v>1</v>
      </c>
      <c r="GT62">
        <v>0</v>
      </c>
      <c r="GU62" t="s">
        <v>3</v>
      </c>
      <c r="GV62">
        <f t="shared" si="102"/>
        <v>0</v>
      </c>
      <c r="GW62">
        <v>1</v>
      </c>
      <c r="GX62">
        <f t="shared" si="103"/>
        <v>0</v>
      </c>
      <c r="HA62">
        <v>0</v>
      </c>
      <c r="HB62">
        <v>0</v>
      </c>
      <c r="HC62">
        <f t="shared" si="104"/>
        <v>0</v>
      </c>
      <c r="HE62" t="s">
        <v>36</v>
      </c>
      <c r="HF62" t="s">
        <v>28</v>
      </c>
      <c r="HM62" t="s">
        <v>3</v>
      </c>
      <c r="HN62" t="s">
        <v>3</v>
      </c>
      <c r="HO62" t="s">
        <v>3</v>
      </c>
      <c r="HP62" t="s">
        <v>3</v>
      </c>
      <c r="HQ62" t="s">
        <v>3</v>
      </c>
      <c r="IK62">
        <v>0</v>
      </c>
    </row>
    <row r="63" spans="1:245" x14ac:dyDescent="0.2">
      <c r="A63">
        <v>17</v>
      </c>
      <c r="B63">
        <v>1</v>
      </c>
      <c r="C63">
        <f>ROW(SmtRes!A100)</f>
        <v>100</v>
      </c>
      <c r="D63">
        <f>ROW(EtalonRes!A107)</f>
        <v>107</v>
      </c>
      <c r="E63" t="s">
        <v>186</v>
      </c>
      <c r="F63" t="s">
        <v>89</v>
      </c>
      <c r="G63" t="s">
        <v>187</v>
      </c>
      <c r="H63" t="s">
        <v>40</v>
      </c>
      <c r="I63">
        <f>ROUND(179.22/100,9)</f>
        <v>1.7922</v>
      </c>
      <c r="J63">
        <v>0</v>
      </c>
      <c r="K63">
        <f>ROUND(179.22/100,9)</f>
        <v>1.7922</v>
      </c>
      <c r="O63">
        <f t="shared" si="72"/>
        <v>76565.25</v>
      </c>
      <c r="P63">
        <f t="shared" si="73"/>
        <v>28671.65</v>
      </c>
      <c r="Q63">
        <f t="shared" si="74"/>
        <v>94.89</v>
      </c>
      <c r="R63">
        <f t="shared" si="75"/>
        <v>100.97</v>
      </c>
      <c r="S63">
        <f t="shared" si="76"/>
        <v>47798.71</v>
      </c>
      <c r="T63">
        <f t="shared" si="77"/>
        <v>0</v>
      </c>
      <c r="U63">
        <f t="shared" si="78"/>
        <v>166.46939309999999</v>
      </c>
      <c r="V63">
        <f t="shared" si="79"/>
        <v>0.31363500000000005</v>
      </c>
      <c r="W63">
        <f t="shared" si="80"/>
        <v>0</v>
      </c>
      <c r="X63">
        <f t="shared" si="81"/>
        <v>51731.65</v>
      </c>
      <c r="Y63">
        <f t="shared" si="82"/>
        <v>22393.1</v>
      </c>
      <c r="AA63">
        <v>145026783</v>
      </c>
      <c r="AB63">
        <f t="shared" si="83"/>
        <v>2634.98</v>
      </c>
      <c r="AC63">
        <f t="shared" si="61"/>
        <v>1797.53</v>
      </c>
      <c r="AD63">
        <f>ROUND(((((ET63*1.25))-((EU63*1.25)))+AE63),2)</f>
        <v>4.26</v>
      </c>
      <c r="AE63">
        <f>ROUND(((EU63*1.25)),2)</f>
        <v>1.76</v>
      </c>
      <c r="AF63">
        <f>ROUND(((EV63*1.15)),2)</f>
        <v>833.19</v>
      </c>
      <c r="AG63">
        <f t="shared" si="84"/>
        <v>0</v>
      </c>
      <c r="AH63">
        <f>((EW63*1.15))</f>
        <v>92.885499999999993</v>
      </c>
      <c r="AI63">
        <f>((EX63*1.25))</f>
        <v>0.17500000000000002</v>
      </c>
      <c r="AJ63">
        <f t="shared" si="85"/>
        <v>0</v>
      </c>
      <c r="AK63">
        <v>2525.4499999999998</v>
      </c>
      <c r="AL63">
        <v>1797.53</v>
      </c>
      <c r="AM63">
        <v>3.41</v>
      </c>
      <c r="AN63">
        <v>1.41</v>
      </c>
      <c r="AO63">
        <v>724.51</v>
      </c>
      <c r="AP63">
        <v>0</v>
      </c>
      <c r="AQ63">
        <v>80.77</v>
      </c>
      <c r="AR63">
        <v>0.14000000000000001</v>
      </c>
      <c r="AS63">
        <v>0</v>
      </c>
      <c r="AT63">
        <v>108</v>
      </c>
      <c r="AU63">
        <v>46.75</v>
      </c>
      <c r="AV63">
        <v>1</v>
      </c>
      <c r="AW63">
        <v>1</v>
      </c>
      <c r="AZ63">
        <v>1</v>
      </c>
      <c r="BA63">
        <v>32.01</v>
      </c>
      <c r="BB63">
        <v>12.44</v>
      </c>
      <c r="BC63">
        <v>8.9</v>
      </c>
      <c r="BD63" t="s">
        <v>3</v>
      </c>
      <c r="BE63" t="s">
        <v>3</v>
      </c>
      <c r="BF63" t="s">
        <v>3</v>
      </c>
      <c r="BG63" t="s">
        <v>3</v>
      </c>
      <c r="BH63">
        <v>0</v>
      </c>
      <c r="BI63">
        <v>1</v>
      </c>
      <c r="BJ63" t="s">
        <v>91</v>
      </c>
      <c r="BM63">
        <v>10001</v>
      </c>
      <c r="BN63">
        <v>0</v>
      </c>
      <c r="BO63" t="s">
        <v>3</v>
      </c>
      <c r="BP63">
        <v>0</v>
      </c>
      <c r="BQ63">
        <v>2</v>
      </c>
      <c r="BR63">
        <v>0</v>
      </c>
      <c r="BS63">
        <v>32.01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3</v>
      </c>
      <c r="BZ63">
        <v>108</v>
      </c>
      <c r="CA63">
        <v>55</v>
      </c>
      <c r="CB63" t="s">
        <v>3</v>
      </c>
      <c r="CE63">
        <v>0</v>
      </c>
      <c r="CF63">
        <v>0</v>
      </c>
      <c r="CG63">
        <v>0</v>
      </c>
      <c r="CM63">
        <v>0</v>
      </c>
      <c r="CN63" t="s">
        <v>863</v>
      </c>
      <c r="CO63">
        <v>0</v>
      </c>
      <c r="CP63">
        <f t="shared" si="86"/>
        <v>76565.25</v>
      </c>
      <c r="CQ63">
        <f t="shared" si="87"/>
        <v>15998.017</v>
      </c>
      <c r="CR63">
        <f>((((ET63*1.25))*BB63-((EU63*1.25))*BS63)+AE63*BS63)</f>
        <v>52.945475000000002</v>
      </c>
      <c r="CS63">
        <f t="shared" si="88"/>
        <v>56.337599999999995</v>
      </c>
      <c r="CT63">
        <f t="shared" si="89"/>
        <v>26670.411899999999</v>
      </c>
      <c r="CU63">
        <f t="shared" si="90"/>
        <v>0</v>
      </c>
      <c r="CV63">
        <f t="shared" si="91"/>
        <v>92.885499999999993</v>
      </c>
      <c r="CW63">
        <f t="shared" si="92"/>
        <v>0.17500000000000002</v>
      </c>
      <c r="CX63">
        <f t="shared" si="93"/>
        <v>0</v>
      </c>
      <c r="CY63">
        <f t="shared" si="94"/>
        <v>51731.654400000007</v>
      </c>
      <c r="CZ63">
        <f t="shared" si="95"/>
        <v>22393.100399999999</v>
      </c>
      <c r="DC63" t="s">
        <v>3</v>
      </c>
      <c r="DD63" t="s">
        <v>3</v>
      </c>
      <c r="DE63" t="s">
        <v>148</v>
      </c>
      <c r="DF63" t="s">
        <v>148</v>
      </c>
      <c r="DG63" t="s">
        <v>149</v>
      </c>
      <c r="DH63" t="s">
        <v>3</v>
      </c>
      <c r="DI63" t="s">
        <v>149</v>
      </c>
      <c r="DJ63" t="s">
        <v>148</v>
      </c>
      <c r="DK63" t="s">
        <v>3</v>
      </c>
      <c r="DL63" t="s">
        <v>3</v>
      </c>
      <c r="DM63" t="s">
        <v>150</v>
      </c>
      <c r="DN63">
        <v>0</v>
      </c>
      <c r="DO63">
        <v>0</v>
      </c>
      <c r="DP63">
        <v>1</v>
      </c>
      <c r="DQ63">
        <v>1</v>
      </c>
      <c r="DU63">
        <v>1005</v>
      </c>
      <c r="DV63" t="s">
        <v>40</v>
      </c>
      <c r="DW63" t="s">
        <v>40</v>
      </c>
      <c r="DX63">
        <v>100</v>
      </c>
      <c r="DZ63" t="s">
        <v>3</v>
      </c>
      <c r="EA63" t="s">
        <v>3</v>
      </c>
      <c r="EB63" t="s">
        <v>3</v>
      </c>
      <c r="EC63" t="s">
        <v>3</v>
      </c>
      <c r="EE63">
        <v>140625028</v>
      </c>
      <c r="EF63">
        <v>2</v>
      </c>
      <c r="EG63" t="s">
        <v>95</v>
      </c>
      <c r="EH63">
        <v>10</v>
      </c>
      <c r="EI63" t="s">
        <v>96</v>
      </c>
      <c r="EJ63">
        <v>1</v>
      </c>
      <c r="EK63">
        <v>10001</v>
      </c>
      <c r="EL63" t="s">
        <v>96</v>
      </c>
      <c r="EM63" t="s">
        <v>97</v>
      </c>
      <c r="EO63" t="s">
        <v>151</v>
      </c>
      <c r="EQ63">
        <v>1310720</v>
      </c>
      <c r="ER63">
        <v>2525.4499999999998</v>
      </c>
      <c r="ES63">
        <v>1797.53</v>
      </c>
      <c r="ET63">
        <v>3.41</v>
      </c>
      <c r="EU63">
        <v>1.41</v>
      </c>
      <c r="EV63">
        <v>724.51</v>
      </c>
      <c r="EW63">
        <v>80.77</v>
      </c>
      <c r="EX63">
        <v>0.14000000000000001</v>
      </c>
      <c r="EY63">
        <v>0</v>
      </c>
      <c r="FQ63">
        <v>0</v>
      </c>
      <c r="FR63">
        <f t="shared" si="96"/>
        <v>0</v>
      </c>
      <c r="FS63">
        <v>0</v>
      </c>
      <c r="FX63">
        <v>108</v>
      </c>
      <c r="FY63">
        <v>46.75</v>
      </c>
      <c r="GA63" t="s">
        <v>3</v>
      </c>
      <c r="GD63">
        <v>1</v>
      </c>
      <c r="GF63">
        <v>-2048421373</v>
      </c>
      <c r="GG63">
        <v>2</v>
      </c>
      <c r="GH63">
        <v>1</v>
      </c>
      <c r="GI63">
        <v>4</v>
      </c>
      <c r="GJ63">
        <v>0</v>
      </c>
      <c r="GK63">
        <v>0</v>
      </c>
      <c r="GL63">
        <f t="shared" si="97"/>
        <v>0</v>
      </c>
      <c r="GM63">
        <f t="shared" si="98"/>
        <v>150690</v>
      </c>
      <c r="GN63">
        <f t="shared" si="99"/>
        <v>150690</v>
      </c>
      <c r="GO63">
        <f t="shared" si="100"/>
        <v>0</v>
      </c>
      <c r="GP63">
        <f t="shared" si="101"/>
        <v>0</v>
      </c>
      <c r="GR63">
        <v>0</v>
      </c>
      <c r="GS63">
        <v>3</v>
      </c>
      <c r="GT63">
        <v>0</v>
      </c>
      <c r="GU63" t="s">
        <v>3</v>
      </c>
      <c r="GV63">
        <f t="shared" si="102"/>
        <v>0</v>
      </c>
      <c r="GW63">
        <v>1</v>
      </c>
      <c r="GX63">
        <f t="shared" si="103"/>
        <v>0</v>
      </c>
      <c r="HA63">
        <v>0</v>
      </c>
      <c r="HB63">
        <v>0</v>
      </c>
      <c r="HC63">
        <f t="shared" si="104"/>
        <v>0</v>
      </c>
      <c r="HE63" t="s">
        <v>3</v>
      </c>
      <c r="HF63" t="s">
        <v>3</v>
      </c>
      <c r="HM63" t="s">
        <v>3</v>
      </c>
      <c r="HN63" t="s">
        <v>99</v>
      </c>
      <c r="HO63" t="s">
        <v>100</v>
      </c>
      <c r="HP63" t="s">
        <v>96</v>
      </c>
      <c r="HQ63" t="s">
        <v>96</v>
      </c>
      <c r="IK63">
        <v>0</v>
      </c>
    </row>
    <row r="64" spans="1:245" x14ac:dyDescent="0.2">
      <c r="A64">
        <v>18</v>
      </c>
      <c r="B64">
        <v>1</v>
      </c>
      <c r="C64">
        <v>95</v>
      </c>
      <c r="E64" t="s">
        <v>188</v>
      </c>
      <c r="F64" t="s">
        <v>189</v>
      </c>
      <c r="G64" t="s">
        <v>190</v>
      </c>
      <c r="H64" t="s">
        <v>191</v>
      </c>
      <c r="I64">
        <f>I63*J64</f>
        <v>-145.07858999999999</v>
      </c>
      <c r="J64">
        <v>-80.949999999999989</v>
      </c>
      <c r="K64">
        <v>-80.95</v>
      </c>
      <c r="O64">
        <f t="shared" si="72"/>
        <v>-5164.8</v>
      </c>
      <c r="P64">
        <f t="shared" si="73"/>
        <v>-5164.8</v>
      </c>
      <c r="Q64">
        <f t="shared" si="74"/>
        <v>0</v>
      </c>
      <c r="R64">
        <f t="shared" si="75"/>
        <v>0</v>
      </c>
      <c r="S64">
        <f t="shared" si="76"/>
        <v>0</v>
      </c>
      <c r="T64">
        <f t="shared" si="77"/>
        <v>0</v>
      </c>
      <c r="U64">
        <f t="shared" si="78"/>
        <v>0</v>
      </c>
      <c r="V64">
        <f t="shared" si="79"/>
        <v>0</v>
      </c>
      <c r="W64">
        <f t="shared" si="80"/>
        <v>0</v>
      </c>
      <c r="X64">
        <f t="shared" si="81"/>
        <v>0</v>
      </c>
      <c r="Y64">
        <f t="shared" si="82"/>
        <v>0</v>
      </c>
      <c r="AA64">
        <v>145026783</v>
      </c>
      <c r="AB64">
        <f t="shared" si="83"/>
        <v>4</v>
      </c>
      <c r="AC64">
        <f t="shared" si="61"/>
        <v>4</v>
      </c>
      <c r="AD64">
        <f t="shared" ref="AD64:AD72" si="105">ROUND((((ET64)-(EU64))+AE64),2)</f>
        <v>0</v>
      </c>
      <c r="AE64">
        <f t="shared" ref="AE64:AE72" si="106">ROUND((EU64),2)</f>
        <v>0</v>
      </c>
      <c r="AF64">
        <f t="shared" ref="AF64:AF72" si="107">ROUND((EV64),2)</f>
        <v>0</v>
      </c>
      <c r="AG64">
        <f t="shared" si="84"/>
        <v>0</v>
      </c>
      <c r="AH64">
        <f t="shared" ref="AH64:AH72" si="108">(EW64)</f>
        <v>0</v>
      </c>
      <c r="AI64">
        <f t="shared" ref="AI64:AI72" si="109">(EX64)</f>
        <v>0</v>
      </c>
      <c r="AJ64">
        <f t="shared" si="85"/>
        <v>0</v>
      </c>
      <c r="AK64">
        <v>4</v>
      </c>
      <c r="AL64">
        <v>4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108</v>
      </c>
      <c r="AU64">
        <v>55</v>
      </c>
      <c r="AV64">
        <v>1</v>
      </c>
      <c r="AW64">
        <v>1</v>
      </c>
      <c r="AZ64">
        <v>1</v>
      </c>
      <c r="BA64">
        <v>1</v>
      </c>
      <c r="BB64">
        <v>1</v>
      </c>
      <c r="BC64">
        <v>8.9</v>
      </c>
      <c r="BD64" t="s">
        <v>3</v>
      </c>
      <c r="BE64" t="s">
        <v>3</v>
      </c>
      <c r="BF64" t="s">
        <v>3</v>
      </c>
      <c r="BG64" t="s">
        <v>3</v>
      </c>
      <c r="BH64">
        <v>3</v>
      </c>
      <c r="BI64">
        <v>1</v>
      </c>
      <c r="BJ64" t="s">
        <v>192</v>
      </c>
      <c r="BM64">
        <v>10001</v>
      </c>
      <c r="BN64">
        <v>0</v>
      </c>
      <c r="BO64" t="s">
        <v>3</v>
      </c>
      <c r="BP64">
        <v>0</v>
      </c>
      <c r="BQ64">
        <v>2</v>
      </c>
      <c r="BR64">
        <v>1</v>
      </c>
      <c r="BS64">
        <v>1</v>
      </c>
      <c r="BT64">
        <v>1</v>
      </c>
      <c r="BU64">
        <v>1</v>
      </c>
      <c r="BV64">
        <v>1</v>
      </c>
      <c r="BW64">
        <v>1</v>
      </c>
      <c r="BX64">
        <v>1</v>
      </c>
      <c r="BY64" t="s">
        <v>3</v>
      </c>
      <c r="BZ64">
        <v>108</v>
      </c>
      <c r="CA64">
        <v>55</v>
      </c>
      <c r="CB64" t="s">
        <v>3</v>
      </c>
      <c r="CE64">
        <v>0</v>
      </c>
      <c r="CF64">
        <v>0</v>
      </c>
      <c r="CG64">
        <v>0</v>
      </c>
      <c r="CM64">
        <v>0</v>
      </c>
      <c r="CN64" t="s">
        <v>3</v>
      </c>
      <c r="CO64">
        <v>0</v>
      </c>
      <c r="CP64">
        <f t="shared" si="86"/>
        <v>-5164.8</v>
      </c>
      <c r="CQ64">
        <f t="shared" si="87"/>
        <v>35.6</v>
      </c>
      <c r="CR64">
        <f t="shared" ref="CR64:CR72" si="110">(((ET64)*BB64-(EU64)*BS64)+AE64*BS64)</f>
        <v>0</v>
      </c>
      <c r="CS64">
        <f t="shared" si="88"/>
        <v>0</v>
      </c>
      <c r="CT64">
        <f t="shared" si="89"/>
        <v>0</v>
      </c>
      <c r="CU64">
        <f t="shared" si="90"/>
        <v>0</v>
      </c>
      <c r="CV64">
        <f t="shared" si="91"/>
        <v>0</v>
      </c>
      <c r="CW64">
        <f t="shared" si="92"/>
        <v>0</v>
      </c>
      <c r="CX64">
        <f t="shared" si="93"/>
        <v>0</v>
      </c>
      <c r="CY64">
        <f t="shared" si="94"/>
        <v>0</v>
      </c>
      <c r="CZ64">
        <f t="shared" si="95"/>
        <v>0</v>
      </c>
      <c r="DC64" t="s">
        <v>3</v>
      </c>
      <c r="DD64" t="s">
        <v>3</v>
      </c>
      <c r="DE64" t="s">
        <v>3</v>
      </c>
      <c r="DF64" t="s">
        <v>3</v>
      </c>
      <c r="DG64" t="s">
        <v>3</v>
      </c>
      <c r="DH64" t="s">
        <v>3</v>
      </c>
      <c r="DI64" t="s">
        <v>3</v>
      </c>
      <c r="DJ64" t="s">
        <v>3</v>
      </c>
      <c r="DK64" t="s">
        <v>3</v>
      </c>
      <c r="DL64" t="s">
        <v>3</v>
      </c>
      <c r="DM64" t="s">
        <v>3</v>
      </c>
      <c r="DN64">
        <v>0</v>
      </c>
      <c r="DO64">
        <v>0</v>
      </c>
      <c r="DP64">
        <v>1</v>
      </c>
      <c r="DQ64">
        <v>1</v>
      </c>
      <c r="DU64">
        <v>1003</v>
      </c>
      <c r="DV64" t="s">
        <v>191</v>
      </c>
      <c r="DW64" t="s">
        <v>191</v>
      </c>
      <c r="DX64">
        <v>1</v>
      </c>
      <c r="DZ64" t="s">
        <v>3</v>
      </c>
      <c r="EA64" t="s">
        <v>3</v>
      </c>
      <c r="EB64" t="s">
        <v>3</v>
      </c>
      <c r="EC64" t="s">
        <v>3</v>
      </c>
      <c r="EE64">
        <v>140625028</v>
      </c>
      <c r="EF64">
        <v>2</v>
      </c>
      <c r="EG64" t="s">
        <v>95</v>
      </c>
      <c r="EH64">
        <v>10</v>
      </c>
      <c r="EI64" t="s">
        <v>96</v>
      </c>
      <c r="EJ64">
        <v>1</v>
      </c>
      <c r="EK64">
        <v>10001</v>
      </c>
      <c r="EL64" t="s">
        <v>96</v>
      </c>
      <c r="EM64" t="s">
        <v>97</v>
      </c>
      <c r="EO64" t="s">
        <v>3</v>
      </c>
      <c r="EQ64">
        <v>32768</v>
      </c>
      <c r="ER64">
        <v>4</v>
      </c>
      <c r="ES64">
        <v>4</v>
      </c>
      <c r="ET64">
        <v>0</v>
      </c>
      <c r="EU64">
        <v>0</v>
      </c>
      <c r="EV64">
        <v>0</v>
      </c>
      <c r="EW64">
        <v>0</v>
      </c>
      <c r="EX64">
        <v>0</v>
      </c>
      <c r="FQ64">
        <v>0</v>
      </c>
      <c r="FR64">
        <f t="shared" si="96"/>
        <v>0</v>
      </c>
      <c r="FS64">
        <v>0</v>
      </c>
      <c r="FX64">
        <v>108</v>
      </c>
      <c r="FY64">
        <v>55</v>
      </c>
      <c r="GA64" t="s">
        <v>3</v>
      </c>
      <c r="GD64">
        <v>1</v>
      </c>
      <c r="GF64">
        <v>711507403</v>
      </c>
      <c r="GG64">
        <v>2</v>
      </c>
      <c r="GH64">
        <v>1</v>
      </c>
      <c r="GI64">
        <v>4</v>
      </c>
      <c r="GJ64">
        <v>0</v>
      </c>
      <c r="GK64">
        <v>0</v>
      </c>
      <c r="GL64">
        <f t="shared" si="97"/>
        <v>0</v>
      </c>
      <c r="GM64">
        <f t="shared" si="98"/>
        <v>-5164.8</v>
      </c>
      <c r="GN64">
        <f t="shared" si="99"/>
        <v>-5164.8</v>
      </c>
      <c r="GO64">
        <f t="shared" si="100"/>
        <v>0</v>
      </c>
      <c r="GP64">
        <f t="shared" si="101"/>
        <v>0</v>
      </c>
      <c r="GR64">
        <v>0</v>
      </c>
      <c r="GS64">
        <v>3</v>
      </c>
      <c r="GT64">
        <v>0</v>
      </c>
      <c r="GU64" t="s">
        <v>3</v>
      </c>
      <c r="GV64">
        <f t="shared" si="102"/>
        <v>0</v>
      </c>
      <c r="GW64">
        <v>1</v>
      </c>
      <c r="GX64">
        <f t="shared" si="103"/>
        <v>0</v>
      </c>
      <c r="HA64">
        <v>0</v>
      </c>
      <c r="HB64">
        <v>0</v>
      </c>
      <c r="HC64">
        <f t="shared" si="104"/>
        <v>0</v>
      </c>
      <c r="HE64" t="s">
        <v>3</v>
      </c>
      <c r="HF64" t="s">
        <v>3</v>
      </c>
      <c r="HM64" t="s">
        <v>3</v>
      </c>
      <c r="HN64" t="s">
        <v>99</v>
      </c>
      <c r="HO64" t="s">
        <v>100</v>
      </c>
      <c r="HP64" t="s">
        <v>96</v>
      </c>
      <c r="HQ64" t="s">
        <v>96</v>
      </c>
      <c r="IK64">
        <v>0</v>
      </c>
    </row>
    <row r="65" spans="1:245" x14ac:dyDescent="0.2">
      <c r="A65">
        <v>18</v>
      </c>
      <c r="B65">
        <v>1</v>
      </c>
      <c r="C65">
        <v>96</v>
      </c>
      <c r="E65" t="s">
        <v>193</v>
      </c>
      <c r="F65" t="s">
        <v>194</v>
      </c>
      <c r="G65" t="s">
        <v>195</v>
      </c>
      <c r="H65" t="s">
        <v>191</v>
      </c>
      <c r="I65">
        <f>I63*J65</f>
        <v>-307.95372600000002</v>
      </c>
      <c r="J65">
        <v>-171.83</v>
      </c>
      <c r="K65">
        <v>-171.83</v>
      </c>
      <c r="O65">
        <f t="shared" si="72"/>
        <v>-15074.33</v>
      </c>
      <c r="P65">
        <f t="shared" si="73"/>
        <v>-15074.33</v>
      </c>
      <c r="Q65">
        <f t="shared" si="74"/>
        <v>0</v>
      </c>
      <c r="R65">
        <f t="shared" si="75"/>
        <v>0</v>
      </c>
      <c r="S65">
        <f t="shared" si="76"/>
        <v>0</v>
      </c>
      <c r="T65">
        <f t="shared" si="77"/>
        <v>0</v>
      </c>
      <c r="U65">
        <f t="shared" si="78"/>
        <v>0</v>
      </c>
      <c r="V65">
        <f t="shared" si="79"/>
        <v>0</v>
      </c>
      <c r="W65">
        <f t="shared" si="80"/>
        <v>0</v>
      </c>
      <c r="X65">
        <f t="shared" si="81"/>
        <v>0</v>
      </c>
      <c r="Y65">
        <f t="shared" si="82"/>
        <v>0</v>
      </c>
      <c r="AA65">
        <v>145026783</v>
      </c>
      <c r="AB65">
        <f t="shared" si="83"/>
        <v>5.5</v>
      </c>
      <c r="AC65">
        <f t="shared" si="61"/>
        <v>5.5</v>
      </c>
      <c r="AD65">
        <f t="shared" si="105"/>
        <v>0</v>
      </c>
      <c r="AE65">
        <f t="shared" si="106"/>
        <v>0</v>
      </c>
      <c r="AF65">
        <f t="shared" si="107"/>
        <v>0</v>
      </c>
      <c r="AG65">
        <f t="shared" si="84"/>
        <v>0</v>
      </c>
      <c r="AH65">
        <f t="shared" si="108"/>
        <v>0</v>
      </c>
      <c r="AI65">
        <f t="shared" si="109"/>
        <v>0</v>
      </c>
      <c r="AJ65">
        <f t="shared" si="85"/>
        <v>0</v>
      </c>
      <c r="AK65">
        <v>5.5</v>
      </c>
      <c r="AL65">
        <v>5.5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108</v>
      </c>
      <c r="AU65">
        <v>55</v>
      </c>
      <c r="AV65">
        <v>1</v>
      </c>
      <c r="AW65">
        <v>1</v>
      </c>
      <c r="AZ65">
        <v>1</v>
      </c>
      <c r="BA65">
        <v>1</v>
      </c>
      <c r="BB65">
        <v>1</v>
      </c>
      <c r="BC65">
        <v>8.9</v>
      </c>
      <c r="BD65" t="s">
        <v>3</v>
      </c>
      <c r="BE65" t="s">
        <v>3</v>
      </c>
      <c r="BF65" t="s">
        <v>3</v>
      </c>
      <c r="BG65" t="s">
        <v>3</v>
      </c>
      <c r="BH65">
        <v>3</v>
      </c>
      <c r="BI65">
        <v>1</v>
      </c>
      <c r="BJ65" t="s">
        <v>196</v>
      </c>
      <c r="BM65">
        <v>10001</v>
      </c>
      <c r="BN65">
        <v>0</v>
      </c>
      <c r="BO65" t="s">
        <v>3</v>
      </c>
      <c r="BP65">
        <v>0</v>
      </c>
      <c r="BQ65">
        <v>2</v>
      </c>
      <c r="BR65">
        <v>1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3</v>
      </c>
      <c r="BZ65">
        <v>108</v>
      </c>
      <c r="CA65">
        <v>55</v>
      </c>
      <c r="CB65" t="s">
        <v>3</v>
      </c>
      <c r="CE65">
        <v>0</v>
      </c>
      <c r="CF65">
        <v>0</v>
      </c>
      <c r="CG65">
        <v>0</v>
      </c>
      <c r="CM65">
        <v>0</v>
      </c>
      <c r="CN65" t="s">
        <v>3</v>
      </c>
      <c r="CO65">
        <v>0</v>
      </c>
      <c r="CP65">
        <f t="shared" si="86"/>
        <v>-15074.33</v>
      </c>
      <c r="CQ65">
        <f t="shared" si="87"/>
        <v>48.95</v>
      </c>
      <c r="CR65">
        <f t="shared" si="110"/>
        <v>0</v>
      </c>
      <c r="CS65">
        <f t="shared" si="88"/>
        <v>0</v>
      </c>
      <c r="CT65">
        <f t="shared" si="89"/>
        <v>0</v>
      </c>
      <c r="CU65">
        <f t="shared" si="90"/>
        <v>0</v>
      </c>
      <c r="CV65">
        <f t="shared" si="91"/>
        <v>0</v>
      </c>
      <c r="CW65">
        <f t="shared" si="92"/>
        <v>0</v>
      </c>
      <c r="CX65">
        <f t="shared" si="93"/>
        <v>0</v>
      </c>
      <c r="CY65">
        <f t="shared" si="94"/>
        <v>0</v>
      </c>
      <c r="CZ65">
        <f t="shared" si="95"/>
        <v>0</v>
      </c>
      <c r="DC65" t="s">
        <v>3</v>
      </c>
      <c r="DD65" t="s">
        <v>3</v>
      </c>
      <c r="DE65" t="s">
        <v>3</v>
      </c>
      <c r="DF65" t="s">
        <v>3</v>
      </c>
      <c r="DG65" t="s">
        <v>3</v>
      </c>
      <c r="DH65" t="s">
        <v>3</v>
      </c>
      <c r="DI65" t="s">
        <v>3</v>
      </c>
      <c r="DJ65" t="s">
        <v>3</v>
      </c>
      <c r="DK65" t="s">
        <v>3</v>
      </c>
      <c r="DL65" t="s">
        <v>3</v>
      </c>
      <c r="DM65" t="s">
        <v>3</v>
      </c>
      <c r="DN65">
        <v>0</v>
      </c>
      <c r="DO65">
        <v>0</v>
      </c>
      <c r="DP65">
        <v>1</v>
      </c>
      <c r="DQ65">
        <v>1</v>
      </c>
      <c r="DU65">
        <v>1003</v>
      </c>
      <c r="DV65" t="s">
        <v>191</v>
      </c>
      <c r="DW65" t="s">
        <v>191</v>
      </c>
      <c r="DX65">
        <v>1</v>
      </c>
      <c r="DZ65" t="s">
        <v>3</v>
      </c>
      <c r="EA65" t="s">
        <v>3</v>
      </c>
      <c r="EB65" t="s">
        <v>3</v>
      </c>
      <c r="EC65" t="s">
        <v>3</v>
      </c>
      <c r="EE65">
        <v>140625028</v>
      </c>
      <c r="EF65">
        <v>2</v>
      </c>
      <c r="EG65" t="s">
        <v>95</v>
      </c>
      <c r="EH65">
        <v>10</v>
      </c>
      <c r="EI65" t="s">
        <v>96</v>
      </c>
      <c r="EJ65">
        <v>1</v>
      </c>
      <c r="EK65">
        <v>10001</v>
      </c>
      <c r="EL65" t="s">
        <v>96</v>
      </c>
      <c r="EM65" t="s">
        <v>97</v>
      </c>
      <c r="EO65" t="s">
        <v>3</v>
      </c>
      <c r="EQ65">
        <v>32768</v>
      </c>
      <c r="ER65">
        <v>5.5</v>
      </c>
      <c r="ES65">
        <v>5.5</v>
      </c>
      <c r="ET65">
        <v>0</v>
      </c>
      <c r="EU65">
        <v>0</v>
      </c>
      <c r="EV65">
        <v>0</v>
      </c>
      <c r="EW65">
        <v>0</v>
      </c>
      <c r="EX65">
        <v>0</v>
      </c>
      <c r="FQ65">
        <v>0</v>
      </c>
      <c r="FR65">
        <f t="shared" si="96"/>
        <v>0</v>
      </c>
      <c r="FS65">
        <v>0</v>
      </c>
      <c r="FX65">
        <v>108</v>
      </c>
      <c r="FY65">
        <v>55</v>
      </c>
      <c r="GA65" t="s">
        <v>3</v>
      </c>
      <c r="GD65">
        <v>1</v>
      </c>
      <c r="GF65">
        <v>321674796</v>
      </c>
      <c r="GG65">
        <v>2</v>
      </c>
      <c r="GH65">
        <v>1</v>
      </c>
      <c r="GI65">
        <v>4</v>
      </c>
      <c r="GJ65">
        <v>0</v>
      </c>
      <c r="GK65">
        <v>0</v>
      </c>
      <c r="GL65">
        <f t="shared" si="97"/>
        <v>0</v>
      </c>
      <c r="GM65">
        <f t="shared" si="98"/>
        <v>-15074.33</v>
      </c>
      <c r="GN65">
        <f t="shared" si="99"/>
        <v>-15074.33</v>
      </c>
      <c r="GO65">
        <f t="shared" si="100"/>
        <v>0</v>
      </c>
      <c r="GP65">
        <f t="shared" si="101"/>
        <v>0</v>
      </c>
      <c r="GR65">
        <v>0</v>
      </c>
      <c r="GS65">
        <v>3</v>
      </c>
      <c r="GT65">
        <v>0</v>
      </c>
      <c r="GU65" t="s">
        <v>3</v>
      </c>
      <c r="GV65">
        <f t="shared" si="102"/>
        <v>0</v>
      </c>
      <c r="GW65">
        <v>1</v>
      </c>
      <c r="GX65">
        <f t="shared" si="103"/>
        <v>0</v>
      </c>
      <c r="HA65">
        <v>0</v>
      </c>
      <c r="HB65">
        <v>0</v>
      </c>
      <c r="HC65">
        <f t="shared" si="104"/>
        <v>0</v>
      </c>
      <c r="HE65" t="s">
        <v>3</v>
      </c>
      <c r="HF65" t="s">
        <v>3</v>
      </c>
      <c r="HM65" t="s">
        <v>3</v>
      </c>
      <c r="HN65" t="s">
        <v>99</v>
      </c>
      <c r="HO65" t="s">
        <v>100</v>
      </c>
      <c r="HP65" t="s">
        <v>96</v>
      </c>
      <c r="HQ65" t="s">
        <v>96</v>
      </c>
      <c r="IK65">
        <v>0</v>
      </c>
    </row>
    <row r="66" spans="1:245" x14ac:dyDescent="0.2">
      <c r="A66">
        <v>18</v>
      </c>
      <c r="B66">
        <v>1</v>
      </c>
      <c r="C66">
        <v>97</v>
      </c>
      <c r="E66" t="s">
        <v>197</v>
      </c>
      <c r="F66" t="s">
        <v>198</v>
      </c>
      <c r="G66" t="s">
        <v>199</v>
      </c>
      <c r="H66" t="s">
        <v>21</v>
      </c>
      <c r="I66">
        <f>I63*J66</f>
        <v>-3.8353080000000004</v>
      </c>
      <c r="J66">
        <v>-2.14</v>
      </c>
      <c r="K66">
        <v>-2.14</v>
      </c>
      <c r="O66">
        <f t="shared" si="72"/>
        <v>-2321.13</v>
      </c>
      <c r="P66">
        <f t="shared" si="73"/>
        <v>-2321.13</v>
      </c>
      <c r="Q66">
        <f t="shared" si="74"/>
        <v>0</v>
      </c>
      <c r="R66">
        <f t="shared" si="75"/>
        <v>0</v>
      </c>
      <c r="S66">
        <f t="shared" si="76"/>
        <v>0</v>
      </c>
      <c r="T66">
        <f t="shared" si="77"/>
        <v>0</v>
      </c>
      <c r="U66">
        <f t="shared" si="78"/>
        <v>0</v>
      </c>
      <c r="V66">
        <f t="shared" si="79"/>
        <v>0</v>
      </c>
      <c r="W66">
        <f t="shared" si="80"/>
        <v>0</v>
      </c>
      <c r="X66">
        <f t="shared" si="81"/>
        <v>0</v>
      </c>
      <c r="Y66">
        <f t="shared" si="82"/>
        <v>0</v>
      </c>
      <c r="AA66">
        <v>145026783</v>
      </c>
      <c r="AB66">
        <f t="shared" si="83"/>
        <v>68</v>
      </c>
      <c r="AC66">
        <f t="shared" si="61"/>
        <v>68</v>
      </c>
      <c r="AD66">
        <f t="shared" si="105"/>
        <v>0</v>
      </c>
      <c r="AE66">
        <f t="shared" si="106"/>
        <v>0</v>
      </c>
      <c r="AF66">
        <f t="shared" si="107"/>
        <v>0</v>
      </c>
      <c r="AG66">
        <f t="shared" si="84"/>
        <v>0</v>
      </c>
      <c r="AH66">
        <f t="shared" si="108"/>
        <v>0</v>
      </c>
      <c r="AI66">
        <f t="shared" si="109"/>
        <v>0</v>
      </c>
      <c r="AJ66">
        <f t="shared" si="85"/>
        <v>0</v>
      </c>
      <c r="AK66">
        <v>68</v>
      </c>
      <c r="AL66">
        <v>68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108</v>
      </c>
      <c r="AU66">
        <v>55</v>
      </c>
      <c r="AV66">
        <v>1</v>
      </c>
      <c r="AW66">
        <v>1</v>
      </c>
      <c r="AZ66">
        <v>1</v>
      </c>
      <c r="BA66">
        <v>1</v>
      </c>
      <c r="BB66">
        <v>1</v>
      </c>
      <c r="BC66">
        <v>8.9</v>
      </c>
      <c r="BD66" t="s">
        <v>3</v>
      </c>
      <c r="BE66" t="s">
        <v>3</v>
      </c>
      <c r="BF66" t="s">
        <v>3</v>
      </c>
      <c r="BG66" t="s">
        <v>3</v>
      </c>
      <c r="BH66">
        <v>3</v>
      </c>
      <c r="BI66">
        <v>1</v>
      </c>
      <c r="BJ66" t="s">
        <v>200</v>
      </c>
      <c r="BM66">
        <v>10001</v>
      </c>
      <c r="BN66">
        <v>0</v>
      </c>
      <c r="BO66" t="s">
        <v>3</v>
      </c>
      <c r="BP66">
        <v>0</v>
      </c>
      <c r="BQ66">
        <v>2</v>
      </c>
      <c r="BR66">
        <v>1</v>
      </c>
      <c r="BS66">
        <v>1</v>
      </c>
      <c r="BT66">
        <v>1</v>
      </c>
      <c r="BU66">
        <v>1</v>
      </c>
      <c r="BV66">
        <v>1</v>
      </c>
      <c r="BW66">
        <v>1</v>
      </c>
      <c r="BX66">
        <v>1</v>
      </c>
      <c r="BY66" t="s">
        <v>3</v>
      </c>
      <c r="BZ66">
        <v>108</v>
      </c>
      <c r="CA66">
        <v>55</v>
      </c>
      <c r="CB66" t="s">
        <v>3</v>
      </c>
      <c r="CE66">
        <v>0</v>
      </c>
      <c r="CF66">
        <v>0</v>
      </c>
      <c r="CG66">
        <v>0</v>
      </c>
      <c r="CM66">
        <v>0</v>
      </c>
      <c r="CN66" t="s">
        <v>3</v>
      </c>
      <c r="CO66">
        <v>0</v>
      </c>
      <c r="CP66">
        <f t="shared" si="86"/>
        <v>-2321.13</v>
      </c>
      <c r="CQ66">
        <f t="shared" si="87"/>
        <v>605.20000000000005</v>
      </c>
      <c r="CR66">
        <f t="shared" si="110"/>
        <v>0</v>
      </c>
      <c r="CS66">
        <f t="shared" si="88"/>
        <v>0</v>
      </c>
      <c r="CT66">
        <f t="shared" si="89"/>
        <v>0</v>
      </c>
      <c r="CU66">
        <f t="shared" si="90"/>
        <v>0</v>
      </c>
      <c r="CV66">
        <f t="shared" si="91"/>
        <v>0</v>
      </c>
      <c r="CW66">
        <f t="shared" si="92"/>
        <v>0</v>
      </c>
      <c r="CX66">
        <f t="shared" si="93"/>
        <v>0</v>
      </c>
      <c r="CY66">
        <f t="shared" si="94"/>
        <v>0</v>
      </c>
      <c r="CZ66">
        <f t="shared" si="95"/>
        <v>0</v>
      </c>
      <c r="DC66" t="s">
        <v>3</v>
      </c>
      <c r="DD66" t="s">
        <v>3</v>
      </c>
      <c r="DE66" t="s">
        <v>3</v>
      </c>
      <c r="DF66" t="s">
        <v>3</v>
      </c>
      <c r="DG66" t="s">
        <v>3</v>
      </c>
      <c r="DH66" t="s">
        <v>3</v>
      </c>
      <c r="DI66" t="s">
        <v>3</v>
      </c>
      <c r="DJ66" t="s">
        <v>3</v>
      </c>
      <c r="DK66" t="s">
        <v>3</v>
      </c>
      <c r="DL66" t="s">
        <v>3</v>
      </c>
      <c r="DM66" t="s">
        <v>3</v>
      </c>
      <c r="DN66">
        <v>0</v>
      </c>
      <c r="DO66">
        <v>0</v>
      </c>
      <c r="DP66">
        <v>1</v>
      </c>
      <c r="DQ66">
        <v>1</v>
      </c>
      <c r="DU66">
        <v>1013</v>
      </c>
      <c r="DV66" t="s">
        <v>21</v>
      </c>
      <c r="DW66" t="s">
        <v>21</v>
      </c>
      <c r="DX66">
        <v>1</v>
      </c>
      <c r="DZ66" t="s">
        <v>3</v>
      </c>
      <c r="EA66" t="s">
        <v>3</v>
      </c>
      <c r="EB66" t="s">
        <v>3</v>
      </c>
      <c r="EC66" t="s">
        <v>3</v>
      </c>
      <c r="EE66">
        <v>140625028</v>
      </c>
      <c r="EF66">
        <v>2</v>
      </c>
      <c r="EG66" t="s">
        <v>95</v>
      </c>
      <c r="EH66">
        <v>10</v>
      </c>
      <c r="EI66" t="s">
        <v>96</v>
      </c>
      <c r="EJ66">
        <v>1</v>
      </c>
      <c r="EK66">
        <v>10001</v>
      </c>
      <c r="EL66" t="s">
        <v>96</v>
      </c>
      <c r="EM66" t="s">
        <v>97</v>
      </c>
      <c r="EO66" t="s">
        <v>3</v>
      </c>
      <c r="EQ66">
        <v>32768</v>
      </c>
      <c r="ER66">
        <v>68</v>
      </c>
      <c r="ES66">
        <v>68</v>
      </c>
      <c r="ET66">
        <v>0</v>
      </c>
      <c r="EU66">
        <v>0</v>
      </c>
      <c r="EV66">
        <v>0</v>
      </c>
      <c r="EW66">
        <v>0</v>
      </c>
      <c r="EX66">
        <v>0</v>
      </c>
      <c r="FQ66">
        <v>0</v>
      </c>
      <c r="FR66">
        <f t="shared" si="96"/>
        <v>0</v>
      </c>
      <c r="FS66">
        <v>0</v>
      </c>
      <c r="FX66">
        <v>108</v>
      </c>
      <c r="FY66">
        <v>55</v>
      </c>
      <c r="GA66" t="s">
        <v>3</v>
      </c>
      <c r="GD66">
        <v>1</v>
      </c>
      <c r="GF66">
        <v>1298287157</v>
      </c>
      <c r="GG66">
        <v>2</v>
      </c>
      <c r="GH66">
        <v>1</v>
      </c>
      <c r="GI66">
        <v>4</v>
      </c>
      <c r="GJ66">
        <v>0</v>
      </c>
      <c r="GK66">
        <v>0</v>
      </c>
      <c r="GL66">
        <f t="shared" si="97"/>
        <v>0</v>
      </c>
      <c r="GM66">
        <f t="shared" si="98"/>
        <v>-2321.13</v>
      </c>
      <c r="GN66">
        <f t="shared" si="99"/>
        <v>-2321.13</v>
      </c>
      <c r="GO66">
        <f t="shared" si="100"/>
        <v>0</v>
      </c>
      <c r="GP66">
        <f t="shared" si="101"/>
        <v>0</v>
      </c>
      <c r="GR66">
        <v>0</v>
      </c>
      <c r="GS66">
        <v>3</v>
      </c>
      <c r="GT66">
        <v>0</v>
      </c>
      <c r="GU66" t="s">
        <v>3</v>
      </c>
      <c r="GV66">
        <f t="shared" si="102"/>
        <v>0</v>
      </c>
      <c r="GW66">
        <v>1</v>
      </c>
      <c r="GX66">
        <f t="shared" si="103"/>
        <v>0</v>
      </c>
      <c r="HA66">
        <v>0</v>
      </c>
      <c r="HB66">
        <v>0</v>
      </c>
      <c r="HC66">
        <f t="shared" si="104"/>
        <v>0</v>
      </c>
      <c r="HE66" t="s">
        <v>3</v>
      </c>
      <c r="HF66" t="s">
        <v>3</v>
      </c>
      <c r="HM66" t="s">
        <v>3</v>
      </c>
      <c r="HN66" t="s">
        <v>99</v>
      </c>
      <c r="HO66" t="s">
        <v>100</v>
      </c>
      <c r="HP66" t="s">
        <v>96</v>
      </c>
      <c r="HQ66" t="s">
        <v>96</v>
      </c>
      <c r="IK66">
        <v>0</v>
      </c>
    </row>
    <row r="67" spans="1:245" x14ac:dyDescent="0.2">
      <c r="A67">
        <v>18</v>
      </c>
      <c r="B67">
        <v>1</v>
      </c>
      <c r="C67">
        <v>98</v>
      </c>
      <c r="E67" t="s">
        <v>201</v>
      </c>
      <c r="F67" t="s">
        <v>202</v>
      </c>
      <c r="G67" t="s">
        <v>203</v>
      </c>
      <c r="H67" t="s">
        <v>21</v>
      </c>
      <c r="I67">
        <f>I63*J67</f>
        <v>-0.64519199999999999</v>
      </c>
      <c r="J67">
        <v>-0.36</v>
      </c>
      <c r="K67">
        <v>-0.36</v>
      </c>
      <c r="O67">
        <f t="shared" si="72"/>
        <v>-918.75</v>
      </c>
      <c r="P67">
        <f t="shared" si="73"/>
        <v>-918.75</v>
      </c>
      <c r="Q67">
        <f t="shared" si="74"/>
        <v>0</v>
      </c>
      <c r="R67">
        <f t="shared" si="75"/>
        <v>0</v>
      </c>
      <c r="S67">
        <f t="shared" si="76"/>
        <v>0</v>
      </c>
      <c r="T67">
        <f t="shared" si="77"/>
        <v>0</v>
      </c>
      <c r="U67">
        <f t="shared" si="78"/>
        <v>0</v>
      </c>
      <c r="V67">
        <f t="shared" si="79"/>
        <v>0</v>
      </c>
      <c r="W67">
        <f t="shared" si="80"/>
        <v>0</v>
      </c>
      <c r="X67">
        <f t="shared" si="81"/>
        <v>0</v>
      </c>
      <c r="Y67">
        <f t="shared" si="82"/>
        <v>0</v>
      </c>
      <c r="AA67">
        <v>145026783</v>
      </c>
      <c r="AB67">
        <f t="shared" si="83"/>
        <v>160</v>
      </c>
      <c r="AC67">
        <f t="shared" si="61"/>
        <v>160</v>
      </c>
      <c r="AD67">
        <f t="shared" si="105"/>
        <v>0</v>
      </c>
      <c r="AE67">
        <f t="shared" si="106"/>
        <v>0</v>
      </c>
      <c r="AF67">
        <f t="shared" si="107"/>
        <v>0</v>
      </c>
      <c r="AG67">
        <f t="shared" si="84"/>
        <v>0</v>
      </c>
      <c r="AH67">
        <f t="shared" si="108"/>
        <v>0</v>
      </c>
      <c r="AI67">
        <f t="shared" si="109"/>
        <v>0</v>
      </c>
      <c r="AJ67">
        <f t="shared" si="85"/>
        <v>0</v>
      </c>
      <c r="AK67">
        <v>160</v>
      </c>
      <c r="AL67">
        <v>160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108</v>
      </c>
      <c r="AU67">
        <v>55</v>
      </c>
      <c r="AV67">
        <v>1</v>
      </c>
      <c r="AW67">
        <v>1</v>
      </c>
      <c r="AZ67">
        <v>1</v>
      </c>
      <c r="BA67">
        <v>1</v>
      </c>
      <c r="BB67">
        <v>1</v>
      </c>
      <c r="BC67">
        <v>8.9</v>
      </c>
      <c r="BD67" t="s">
        <v>3</v>
      </c>
      <c r="BE67" t="s">
        <v>3</v>
      </c>
      <c r="BF67" t="s">
        <v>3</v>
      </c>
      <c r="BG67" t="s">
        <v>3</v>
      </c>
      <c r="BH67">
        <v>3</v>
      </c>
      <c r="BI67">
        <v>1</v>
      </c>
      <c r="BJ67" t="s">
        <v>204</v>
      </c>
      <c r="BM67">
        <v>10001</v>
      </c>
      <c r="BN67">
        <v>0</v>
      </c>
      <c r="BO67" t="s">
        <v>3</v>
      </c>
      <c r="BP67">
        <v>0</v>
      </c>
      <c r="BQ67">
        <v>2</v>
      </c>
      <c r="BR67">
        <v>1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3</v>
      </c>
      <c r="BZ67">
        <v>108</v>
      </c>
      <c r="CA67">
        <v>55</v>
      </c>
      <c r="CB67" t="s">
        <v>3</v>
      </c>
      <c r="CE67">
        <v>0</v>
      </c>
      <c r="CF67">
        <v>0</v>
      </c>
      <c r="CG67">
        <v>0</v>
      </c>
      <c r="CM67">
        <v>0</v>
      </c>
      <c r="CN67" t="s">
        <v>3</v>
      </c>
      <c r="CO67">
        <v>0</v>
      </c>
      <c r="CP67">
        <f t="shared" si="86"/>
        <v>-918.75</v>
      </c>
      <c r="CQ67">
        <f t="shared" si="87"/>
        <v>1424</v>
      </c>
      <c r="CR67">
        <f t="shared" si="110"/>
        <v>0</v>
      </c>
      <c r="CS67">
        <f t="shared" si="88"/>
        <v>0</v>
      </c>
      <c r="CT67">
        <f t="shared" si="89"/>
        <v>0</v>
      </c>
      <c r="CU67">
        <f t="shared" si="90"/>
        <v>0</v>
      </c>
      <c r="CV67">
        <f t="shared" si="91"/>
        <v>0</v>
      </c>
      <c r="CW67">
        <f t="shared" si="92"/>
        <v>0</v>
      </c>
      <c r="CX67">
        <f t="shared" si="93"/>
        <v>0</v>
      </c>
      <c r="CY67">
        <f t="shared" si="94"/>
        <v>0</v>
      </c>
      <c r="CZ67">
        <f t="shared" si="95"/>
        <v>0</v>
      </c>
      <c r="DC67" t="s">
        <v>3</v>
      </c>
      <c r="DD67" t="s">
        <v>3</v>
      </c>
      <c r="DE67" t="s">
        <v>3</v>
      </c>
      <c r="DF67" t="s">
        <v>3</v>
      </c>
      <c r="DG67" t="s">
        <v>3</v>
      </c>
      <c r="DH67" t="s">
        <v>3</v>
      </c>
      <c r="DI67" t="s">
        <v>3</v>
      </c>
      <c r="DJ67" t="s">
        <v>3</v>
      </c>
      <c r="DK67" t="s">
        <v>3</v>
      </c>
      <c r="DL67" t="s">
        <v>3</v>
      </c>
      <c r="DM67" t="s">
        <v>3</v>
      </c>
      <c r="DN67">
        <v>0</v>
      </c>
      <c r="DO67">
        <v>0</v>
      </c>
      <c r="DP67">
        <v>1</v>
      </c>
      <c r="DQ67">
        <v>1</v>
      </c>
      <c r="DU67">
        <v>1013</v>
      </c>
      <c r="DV67" t="s">
        <v>21</v>
      </c>
      <c r="DW67" t="s">
        <v>21</v>
      </c>
      <c r="DX67">
        <v>1</v>
      </c>
      <c r="DZ67" t="s">
        <v>3</v>
      </c>
      <c r="EA67" t="s">
        <v>3</v>
      </c>
      <c r="EB67" t="s">
        <v>3</v>
      </c>
      <c r="EC67" t="s">
        <v>3</v>
      </c>
      <c r="EE67">
        <v>140625028</v>
      </c>
      <c r="EF67">
        <v>2</v>
      </c>
      <c r="EG67" t="s">
        <v>95</v>
      </c>
      <c r="EH67">
        <v>10</v>
      </c>
      <c r="EI67" t="s">
        <v>96</v>
      </c>
      <c r="EJ67">
        <v>1</v>
      </c>
      <c r="EK67">
        <v>10001</v>
      </c>
      <c r="EL67" t="s">
        <v>96</v>
      </c>
      <c r="EM67" t="s">
        <v>97</v>
      </c>
      <c r="EO67" t="s">
        <v>3</v>
      </c>
      <c r="EQ67">
        <v>32768</v>
      </c>
      <c r="ER67">
        <v>160</v>
      </c>
      <c r="ES67">
        <v>160</v>
      </c>
      <c r="ET67">
        <v>0</v>
      </c>
      <c r="EU67">
        <v>0</v>
      </c>
      <c r="EV67">
        <v>0</v>
      </c>
      <c r="EW67">
        <v>0</v>
      </c>
      <c r="EX67">
        <v>0</v>
      </c>
      <c r="FQ67">
        <v>0</v>
      </c>
      <c r="FR67">
        <f t="shared" si="96"/>
        <v>0</v>
      </c>
      <c r="FS67">
        <v>0</v>
      </c>
      <c r="FX67">
        <v>108</v>
      </c>
      <c r="FY67">
        <v>55</v>
      </c>
      <c r="GA67" t="s">
        <v>3</v>
      </c>
      <c r="GD67">
        <v>1</v>
      </c>
      <c r="GF67">
        <v>547042325</v>
      </c>
      <c r="GG67">
        <v>2</v>
      </c>
      <c r="GH67">
        <v>1</v>
      </c>
      <c r="GI67">
        <v>4</v>
      </c>
      <c r="GJ67">
        <v>0</v>
      </c>
      <c r="GK67">
        <v>0</v>
      </c>
      <c r="GL67">
        <f t="shared" si="97"/>
        <v>0</v>
      </c>
      <c r="GM67">
        <f t="shared" si="98"/>
        <v>-918.75</v>
      </c>
      <c r="GN67">
        <f t="shared" si="99"/>
        <v>-918.75</v>
      </c>
      <c r="GO67">
        <f t="shared" si="100"/>
        <v>0</v>
      </c>
      <c r="GP67">
        <f t="shared" si="101"/>
        <v>0</v>
      </c>
      <c r="GR67">
        <v>0</v>
      </c>
      <c r="GS67">
        <v>3</v>
      </c>
      <c r="GT67">
        <v>0</v>
      </c>
      <c r="GU67" t="s">
        <v>3</v>
      </c>
      <c r="GV67">
        <f t="shared" si="102"/>
        <v>0</v>
      </c>
      <c r="GW67">
        <v>1</v>
      </c>
      <c r="GX67">
        <f t="shared" si="103"/>
        <v>0</v>
      </c>
      <c r="HA67">
        <v>0</v>
      </c>
      <c r="HB67">
        <v>0</v>
      </c>
      <c r="HC67">
        <f t="shared" si="104"/>
        <v>0</v>
      </c>
      <c r="HE67" t="s">
        <v>3</v>
      </c>
      <c r="HF67" t="s">
        <v>3</v>
      </c>
      <c r="HM67" t="s">
        <v>3</v>
      </c>
      <c r="HN67" t="s">
        <v>99</v>
      </c>
      <c r="HO67" t="s">
        <v>100</v>
      </c>
      <c r="HP67" t="s">
        <v>96</v>
      </c>
      <c r="HQ67" t="s">
        <v>96</v>
      </c>
      <c r="IK67">
        <v>0</v>
      </c>
    </row>
    <row r="68" spans="1:245" x14ac:dyDescent="0.2">
      <c r="A68">
        <v>17</v>
      </c>
      <c r="B68">
        <v>1</v>
      </c>
      <c r="E68" t="s">
        <v>205</v>
      </c>
      <c r="F68" t="s">
        <v>29</v>
      </c>
      <c r="G68" t="s">
        <v>206</v>
      </c>
      <c r="H68" t="s">
        <v>72</v>
      </c>
      <c r="I68">
        <v>189</v>
      </c>
      <c r="J68">
        <v>0</v>
      </c>
      <c r="K68">
        <v>189</v>
      </c>
      <c r="O68">
        <f t="shared" si="72"/>
        <v>34298.019999999997</v>
      </c>
      <c r="P68">
        <f t="shared" si="73"/>
        <v>34298.019999999997</v>
      </c>
      <c r="Q68">
        <f t="shared" si="74"/>
        <v>0</v>
      </c>
      <c r="R68">
        <f t="shared" si="75"/>
        <v>0</v>
      </c>
      <c r="S68">
        <f t="shared" si="76"/>
        <v>0</v>
      </c>
      <c r="T68">
        <f t="shared" si="77"/>
        <v>0</v>
      </c>
      <c r="U68">
        <f t="shared" si="78"/>
        <v>0</v>
      </c>
      <c r="V68">
        <f t="shared" si="79"/>
        <v>0</v>
      </c>
      <c r="W68">
        <f t="shared" si="80"/>
        <v>0</v>
      </c>
      <c r="X68">
        <f t="shared" si="81"/>
        <v>0</v>
      </c>
      <c r="Y68">
        <f t="shared" si="82"/>
        <v>0</v>
      </c>
      <c r="AA68">
        <v>145026783</v>
      </c>
      <c r="AB68">
        <f t="shared" si="83"/>
        <v>20.39</v>
      </c>
      <c r="AC68">
        <f t="shared" si="61"/>
        <v>20.39</v>
      </c>
      <c r="AD68">
        <f t="shared" si="105"/>
        <v>0</v>
      </c>
      <c r="AE68">
        <f t="shared" si="106"/>
        <v>0</v>
      </c>
      <c r="AF68">
        <f t="shared" si="107"/>
        <v>0</v>
      </c>
      <c r="AG68">
        <f t="shared" si="84"/>
        <v>0</v>
      </c>
      <c r="AH68">
        <f t="shared" si="108"/>
        <v>0</v>
      </c>
      <c r="AI68">
        <f t="shared" si="109"/>
        <v>0</v>
      </c>
      <c r="AJ68">
        <f t="shared" si="85"/>
        <v>0</v>
      </c>
      <c r="AK68">
        <v>20.389999999999997</v>
      </c>
      <c r="AL68">
        <v>20.389999999999997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1</v>
      </c>
      <c r="AW68">
        <v>1</v>
      </c>
      <c r="AZ68">
        <v>1</v>
      </c>
      <c r="BA68">
        <v>1</v>
      </c>
      <c r="BB68">
        <v>1</v>
      </c>
      <c r="BC68">
        <v>8.9</v>
      </c>
      <c r="BD68" t="s">
        <v>3</v>
      </c>
      <c r="BE68" t="s">
        <v>3</v>
      </c>
      <c r="BF68" t="s">
        <v>3</v>
      </c>
      <c r="BG68" t="s">
        <v>3</v>
      </c>
      <c r="BH68">
        <v>3</v>
      </c>
      <c r="BI68">
        <v>1</v>
      </c>
      <c r="BJ68" t="s">
        <v>3</v>
      </c>
      <c r="BM68">
        <v>1100</v>
      </c>
      <c r="BN68">
        <v>0</v>
      </c>
      <c r="BO68" t="s">
        <v>3</v>
      </c>
      <c r="BP68">
        <v>0</v>
      </c>
      <c r="BQ68">
        <v>8</v>
      </c>
      <c r="BR68">
        <v>0</v>
      </c>
      <c r="BS68">
        <v>1</v>
      </c>
      <c r="BT68">
        <v>1</v>
      </c>
      <c r="BU68">
        <v>1</v>
      </c>
      <c r="BV68">
        <v>1</v>
      </c>
      <c r="BW68">
        <v>1</v>
      </c>
      <c r="BX68">
        <v>1</v>
      </c>
      <c r="BY68" t="s">
        <v>3</v>
      </c>
      <c r="BZ68">
        <v>0</v>
      </c>
      <c r="CA68">
        <v>0</v>
      </c>
      <c r="CB68" t="s">
        <v>3</v>
      </c>
      <c r="CE68">
        <v>0</v>
      </c>
      <c r="CF68">
        <v>0</v>
      </c>
      <c r="CG68">
        <v>0</v>
      </c>
      <c r="CM68">
        <v>0</v>
      </c>
      <c r="CN68" t="s">
        <v>3</v>
      </c>
      <c r="CO68">
        <v>0</v>
      </c>
      <c r="CP68">
        <f t="shared" si="86"/>
        <v>34298.019999999997</v>
      </c>
      <c r="CQ68">
        <f t="shared" si="87"/>
        <v>181.471</v>
      </c>
      <c r="CR68">
        <f t="shared" si="110"/>
        <v>0</v>
      </c>
      <c r="CS68">
        <f t="shared" si="88"/>
        <v>0</v>
      </c>
      <c r="CT68">
        <f t="shared" si="89"/>
        <v>0</v>
      </c>
      <c r="CU68">
        <f t="shared" si="90"/>
        <v>0</v>
      </c>
      <c r="CV68">
        <f t="shared" si="91"/>
        <v>0</v>
      </c>
      <c r="CW68">
        <f t="shared" si="92"/>
        <v>0</v>
      </c>
      <c r="CX68">
        <f t="shared" si="93"/>
        <v>0</v>
      </c>
      <c r="CY68">
        <f t="shared" si="94"/>
        <v>0</v>
      </c>
      <c r="CZ68">
        <f t="shared" si="95"/>
        <v>0</v>
      </c>
      <c r="DC68" t="s">
        <v>3</v>
      </c>
      <c r="DD68" t="s">
        <v>3</v>
      </c>
      <c r="DE68" t="s">
        <v>3</v>
      </c>
      <c r="DF68" t="s">
        <v>3</v>
      </c>
      <c r="DG68" t="s">
        <v>3</v>
      </c>
      <c r="DH68" t="s">
        <v>3</v>
      </c>
      <c r="DI68" t="s">
        <v>3</v>
      </c>
      <c r="DJ68" t="s">
        <v>3</v>
      </c>
      <c r="DK68" t="s">
        <v>3</v>
      </c>
      <c r="DL68" t="s">
        <v>3</v>
      </c>
      <c r="DM68" t="s">
        <v>3</v>
      </c>
      <c r="DN68">
        <v>0</v>
      </c>
      <c r="DO68">
        <v>0</v>
      </c>
      <c r="DP68">
        <v>1</v>
      </c>
      <c r="DQ68">
        <v>1</v>
      </c>
      <c r="DU68">
        <v>1005</v>
      </c>
      <c r="DV68" t="s">
        <v>72</v>
      </c>
      <c r="DW68" t="s">
        <v>72</v>
      </c>
      <c r="DX68">
        <v>1</v>
      </c>
      <c r="DZ68" t="s">
        <v>3</v>
      </c>
      <c r="EA68" t="s">
        <v>3</v>
      </c>
      <c r="EB68" t="s">
        <v>3</v>
      </c>
      <c r="EC68" t="s">
        <v>3</v>
      </c>
      <c r="EE68">
        <v>140625274</v>
      </c>
      <c r="EF68">
        <v>8</v>
      </c>
      <c r="EG68" t="s">
        <v>32</v>
      </c>
      <c r="EH68">
        <v>0</v>
      </c>
      <c r="EI68" t="s">
        <v>3</v>
      </c>
      <c r="EJ68">
        <v>1</v>
      </c>
      <c r="EK68">
        <v>1100</v>
      </c>
      <c r="EL68" t="s">
        <v>33</v>
      </c>
      <c r="EM68" t="s">
        <v>34</v>
      </c>
      <c r="EO68" t="s">
        <v>3</v>
      </c>
      <c r="EQ68">
        <v>0</v>
      </c>
      <c r="ER68">
        <v>20.389999999999997</v>
      </c>
      <c r="ES68">
        <v>20.389999999999997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5</v>
      </c>
      <c r="FC68">
        <v>1</v>
      </c>
      <c r="FD68">
        <v>18</v>
      </c>
      <c r="FF68">
        <v>203.33</v>
      </c>
      <c r="FQ68">
        <v>0</v>
      </c>
      <c r="FR68">
        <f t="shared" si="96"/>
        <v>0</v>
      </c>
      <c r="FS68">
        <v>0</v>
      </c>
      <c r="FX68">
        <v>0</v>
      </c>
      <c r="FY68">
        <v>0</v>
      </c>
      <c r="GA68" t="s">
        <v>207</v>
      </c>
      <c r="GD68">
        <v>1</v>
      </c>
      <c r="GF68">
        <v>591097179</v>
      </c>
      <c r="GG68">
        <v>2</v>
      </c>
      <c r="GH68">
        <v>3</v>
      </c>
      <c r="GI68">
        <v>4</v>
      </c>
      <c r="GJ68">
        <v>0</v>
      </c>
      <c r="GK68">
        <v>0</v>
      </c>
      <c r="GL68">
        <f t="shared" si="97"/>
        <v>0</v>
      </c>
      <c r="GM68">
        <f t="shared" si="98"/>
        <v>34298.019999999997</v>
      </c>
      <c r="GN68">
        <f t="shared" si="99"/>
        <v>34298.019999999997</v>
      </c>
      <c r="GO68">
        <f t="shared" si="100"/>
        <v>0</v>
      </c>
      <c r="GP68">
        <f t="shared" si="101"/>
        <v>0</v>
      </c>
      <c r="GR68">
        <v>1</v>
      </c>
      <c r="GS68">
        <v>1</v>
      </c>
      <c r="GT68">
        <v>0</v>
      </c>
      <c r="GU68" t="s">
        <v>3</v>
      </c>
      <c r="GV68">
        <f t="shared" si="102"/>
        <v>0</v>
      </c>
      <c r="GW68">
        <v>1</v>
      </c>
      <c r="GX68">
        <f t="shared" si="103"/>
        <v>0</v>
      </c>
      <c r="HA68">
        <v>0</v>
      </c>
      <c r="HB68">
        <v>0</v>
      </c>
      <c r="HC68">
        <f t="shared" si="104"/>
        <v>0</v>
      </c>
      <c r="HE68" t="s">
        <v>36</v>
      </c>
      <c r="HF68" t="s">
        <v>28</v>
      </c>
      <c r="HM68" t="s">
        <v>3</v>
      </c>
      <c r="HN68" t="s">
        <v>3</v>
      </c>
      <c r="HO68" t="s">
        <v>3</v>
      </c>
      <c r="HP68" t="s">
        <v>3</v>
      </c>
      <c r="HQ68" t="s">
        <v>3</v>
      </c>
      <c r="IK68">
        <v>0</v>
      </c>
    </row>
    <row r="69" spans="1:245" x14ac:dyDescent="0.2">
      <c r="A69">
        <v>17</v>
      </c>
      <c r="B69">
        <v>1</v>
      </c>
      <c r="E69" t="s">
        <v>208</v>
      </c>
      <c r="F69" t="s">
        <v>29</v>
      </c>
      <c r="G69" t="s">
        <v>190</v>
      </c>
      <c r="H69" t="s">
        <v>191</v>
      </c>
      <c r="I69">
        <v>145</v>
      </c>
      <c r="J69">
        <v>0</v>
      </c>
      <c r="K69">
        <v>145</v>
      </c>
      <c r="O69">
        <f t="shared" si="72"/>
        <v>11007.97</v>
      </c>
      <c r="P69">
        <f t="shared" si="73"/>
        <v>11007.97</v>
      </c>
      <c r="Q69">
        <f t="shared" si="74"/>
        <v>0</v>
      </c>
      <c r="R69">
        <f t="shared" si="75"/>
        <v>0</v>
      </c>
      <c r="S69">
        <f t="shared" si="76"/>
        <v>0</v>
      </c>
      <c r="T69">
        <f t="shared" si="77"/>
        <v>0</v>
      </c>
      <c r="U69">
        <f t="shared" si="78"/>
        <v>0</v>
      </c>
      <c r="V69">
        <f t="shared" si="79"/>
        <v>0</v>
      </c>
      <c r="W69">
        <f t="shared" si="80"/>
        <v>0</v>
      </c>
      <c r="X69">
        <f t="shared" si="81"/>
        <v>0</v>
      </c>
      <c r="Y69">
        <f t="shared" si="82"/>
        <v>0</v>
      </c>
      <c r="AA69">
        <v>145026783</v>
      </c>
      <c r="AB69">
        <f t="shared" si="83"/>
        <v>8.5299999999999994</v>
      </c>
      <c r="AC69">
        <f t="shared" si="61"/>
        <v>8.5299999999999994</v>
      </c>
      <c r="AD69">
        <f t="shared" si="105"/>
        <v>0</v>
      </c>
      <c r="AE69">
        <f t="shared" si="106"/>
        <v>0</v>
      </c>
      <c r="AF69">
        <f t="shared" si="107"/>
        <v>0</v>
      </c>
      <c r="AG69">
        <f t="shared" si="84"/>
        <v>0</v>
      </c>
      <c r="AH69">
        <f t="shared" si="108"/>
        <v>0</v>
      </c>
      <c r="AI69">
        <f t="shared" si="109"/>
        <v>0</v>
      </c>
      <c r="AJ69">
        <f t="shared" si="85"/>
        <v>0</v>
      </c>
      <c r="AK69">
        <v>8.5299999999999994</v>
      </c>
      <c r="AL69">
        <v>8.5299999999999994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1</v>
      </c>
      <c r="AW69">
        <v>1</v>
      </c>
      <c r="AZ69">
        <v>1</v>
      </c>
      <c r="BA69">
        <v>1</v>
      </c>
      <c r="BB69">
        <v>1</v>
      </c>
      <c r="BC69">
        <v>8.9</v>
      </c>
      <c r="BD69" t="s">
        <v>3</v>
      </c>
      <c r="BE69" t="s">
        <v>3</v>
      </c>
      <c r="BF69" t="s">
        <v>3</v>
      </c>
      <c r="BG69" t="s">
        <v>3</v>
      </c>
      <c r="BH69">
        <v>3</v>
      </c>
      <c r="BI69">
        <v>1</v>
      </c>
      <c r="BJ69" t="s">
        <v>3</v>
      </c>
      <c r="BM69">
        <v>1100</v>
      </c>
      <c r="BN69">
        <v>0</v>
      </c>
      <c r="BO69" t="s">
        <v>3</v>
      </c>
      <c r="BP69">
        <v>0</v>
      </c>
      <c r="BQ69">
        <v>8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3</v>
      </c>
      <c r="BZ69">
        <v>0</v>
      </c>
      <c r="CA69">
        <v>0</v>
      </c>
      <c r="CB69" t="s">
        <v>3</v>
      </c>
      <c r="CE69">
        <v>0</v>
      </c>
      <c r="CF69">
        <v>0</v>
      </c>
      <c r="CG69">
        <v>0</v>
      </c>
      <c r="CM69">
        <v>0</v>
      </c>
      <c r="CN69" t="s">
        <v>3</v>
      </c>
      <c r="CO69">
        <v>0</v>
      </c>
      <c r="CP69">
        <f t="shared" si="86"/>
        <v>11007.97</v>
      </c>
      <c r="CQ69">
        <f t="shared" si="87"/>
        <v>75.917000000000002</v>
      </c>
      <c r="CR69">
        <f t="shared" si="110"/>
        <v>0</v>
      </c>
      <c r="CS69">
        <f t="shared" si="88"/>
        <v>0</v>
      </c>
      <c r="CT69">
        <f t="shared" si="89"/>
        <v>0</v>
      </c>
      <c r="CU69">
        <f t="shared" si="90"/>
        <v>0</v>
      </c>
      <c r="CV69">
        <f t="shared" si="91"/>
        <v>0</v>
      </c>
      <c r="CW69">
        <f t="shared" si="92"/>
        <v>0</v>
      </c>
      <c r="CX69">
        <f t="shared" si="93"/>
        <v>0</v>
      </c>
      <c r="CY69">
        <f t="shared" si="94"/>
        <v>0</v>
      </c>
      <c r="CZ69">
        <f t="shared" si="95"/>
        <v>0</v>
      </c>
      <c r="DC69" t="s">
        <v>3</v>
      </c>
      <c r="DD69" t="s">
        <v>3</v>
      </c>
      <c r="DE69" t="s">
        <v>3</v>
      </c>
      <c r="DF69" t="s">
        <v>3</v>
      </c>
      <c r="DG69" t="s">
        <v>3</v>
      </c>
      <c r="DH69" t="s">
        <v>3</v>
      </c>
      <c r="DI69" t="s">
        <v>3</v>
      </c>
      <c r="DJ69" t="s">
        <v>3</v>
      </c>
      <c r="DK69" t="s">
        <v>3</v>
      </c>
      <c r="DL69" t="s">
        <v>3</v>
      </c>
      <c r="DM69" t="s">
        <v>3</v>
      </c>
      <c r="DN69">
        <v>0</v>
      </c>
      <c r="DO69">
        <v>0</v>
      </c>
      <c r="DP69">
        <v>1</v>
      </c>
      <c r="DQ69">
        <v>1</v>
      </c>
      <c r="DU69">
        <v>1003</v>
      </c>
      <c r="DV69" t="s">
        <v>191</v>
      </c>
      <c r="DW69" t="s">
        <v>191</v>
      </c>
      <c r="DX69">
        <v>1</v>
      </c>
      <c r="DZ69" t="s">
        <v>3</v>
      </c>
      <c r="EA69" t="s">
        <v>3</v>
      </c>
      <c r="EB69" t="s">
        <v>3</v>
      </c>
      <c r="EC69" t="s">
        <v>3</v>
      </c>
      <c r="EE69">
        <v>140625274</v>
      </c>
      <c r="EF69">
        <v>8</v>
      </c>
      <c r="EG69" t="s">
        <v>32</v>
      </c>
      <c r="EH69">
        <v>0</v>
      </c>
      <c r="EI69" t="s">
        <v>3</v>
      </c>
      <c r="EJ69">
        <v>1</v>
      </c>
      <c r="EK69">
        <v>1100</v>
      </c>
      <c r="EL69" t="s">
        <v>33</v>
      </c>
      <c r="EM69" t="s">
        <v>34</v>
      </c>
      <c r="EO69" t="s">
        <v>3</v>
      </c>
      <c r="EQ69">
        <v>0</v>
      </c>
      <c r="ER69">
        <v>8.5299999999999994</v>
      </c>
      <c r="ES69">
        <v>8.5299999999999994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5</v>
      </c>
      <c r="FC69">
        <v>1</v>
      </c>
      <c r="FD69">
        <v>18</v>
      </c>
      <c r="FF69">
        <v>85</v>
      </c>
      <c r="FQ69">
        <v>0</v>
      </c>
      <c r="FR69">
        <f t="shared" si="96"/>
        <v>0</v>
      </c>
      <c r="FS69">
        <v>0</v>
      </c>
      <c r="FX69">
        <v>0</v>
      </c>
      <c r="FY69">
        <v>0</v>
      </c>
      <c r="GA69" t="s">
        <v>209</v>
      </c>
      <c r="GD69">
        <v>1</v>
      </c>
      <c r="GF69">
        <v>-1557189234</v>
      </c>
      <c r="GG69">
        <v>2</v>
      </c>
      <c r="GH69">
        <v>3</v>
      </c>
      <c r="GI69">
        <v>4</v>
      </c>
      <c r="GJ69">
        <v>0</v>
      </c>
      <c r="GK69">
        <v>0</v>
      </c>
      <c r="GL69">
        <f t="shared" si="97"/>
        <v>0</v>
      </c>
      <c r="GM69">
        <f t="shared" si="98"/>
        <v>11007.97</v>
      </c>
      <c r="GN69">
        <f t="shared" si="99"/>
        <v>11007.97</v>
      </c>
      <c r="GO69">
        <f t="shared" si="100"/>
        <v>0</v>
      </c>
      <c r="GP69">
        <f t="shared" si="101"/>
        <v>0</v>
      </c>
      <c r="GR69">
        <v>1</v>
      </c>
      <c r="GS69">
        <v>1</v>
      </c>
      <c r="GT69">
        <v>0</v>
      </c>
      <c r="GU69" t="s">
        <v>3</v>
      </c>
      <c r="GV69">
        <f t="shared" si="102"/>
        <v>0</v>
      </c>
      <c r="GW69">
        <v>1</v>
      </c>
      <c r="GX69">
        <f t="shared" si="103"/>
        <v>0</v>
      </c>
      <c r="HA69">
        <v>0</v>
      </c>
      <c r="HB69">
        <v>0</v>
      </c>
      <c r="HC69">
        <f t="shared" si="104"/>
        <v>0</v>
      </c>
      <c r="HE69" t="s">
        <v>36</v>
      </c>
      <c r="HF69" t="s">
        <v>28</v>
      </c>
      <c r="HM69" t="s">
        <v>3</v>
      </c>
      <c r="HN69" t="s">
        <v>3</v>
      </c>
      <c r="HO69" t="s">
        <v>3</v>
      </c>
      <c r="HP69" t="s">
        <v>3</v>
      </c>
      <c r="HQ69" t="s">
        <v>3</v>
      </c>
      <c r="IK69">
        <v>0</v>
      </c>
    </row>
    <row r="70" spans="1:245" x14ac:dyDescent="0.2">
      <c r="A70">
        <v>17</v>
      </c>
      <c r="B70">
        <v>1</v>
      </c>
      <c r="E70" t="s">
        <v>210</v>
      </c>
      <c r="F70" t="s">
        <v>29</v>
      </c>
      <c r="G70" t="s">
        <v>195</v>
      </c>
      <c r="H70" t="s">
        <v>191</v>
      </c>
      <c r="I70">
        <v>308</v>
      </c>
      <c r="J70">
        <v>0</v>
      </c>
      <c r="K70">
        <v>308</v>
      </c>
      <c r="O70">
        <f t="shared" si="72"/>
        <v>20120.41</v>
      </c>
      <c r="P70">
        <f t="shared" si="73"/>
        <v>20120.41</v>
      </c>
      <c r="Q70">
        <f t="shared" si="74"/>
        <v>0</v>
      </c>
      <c r="R70">
        <f t="shared" si="75"/>
        <v>0</v>
      </c>
      <c r="S70">
        <f t="shared" si="76"/>
        <v>0</v>
      </c>
      <c r="T70">
        <f t="shared" si="77"/>
        <v>0</v>
      </c>
      <c r="U70">
        <f t="shared" si="78"/>
        <v>0</v>
      </c>
      <c r="V70">
        <f t="shared" si="79"/>
        <v>0</v>
      </c>
      <c r="W70">
        <f t="shared" si="80"/>
        <v>0</v>
      </c>
      <c r="X70">
        <f t="shared" si="81"/>
        <v>0</v>
      </c>
      <c r="Y70">
        <f t="shared" si="82"/>
        <v>0</v>
      </c>
      <c r="AA70">
        <v>145026783</v>
      </c>
      <c r="AB70">
        <f t="shared" si="83"/>
        <v>7.34</v>
      </c>
      <c r="AC70">
        <f t="shared" si="61"/>
        <v>7.34</v>
      </c>
      <c r="AD70">
        <f t="shared" si="105"/>
        <v>0</v>
      </c>
      <c r="AE70">
        <f t="shared" si="106"/>
        <v>0</v>
      </c>
      <c r="AF70">
        <f t="shared" si="107"/>
        <v>0</v>
      </c>
      <c r="AG70">
        <f t="shared" si="84"/>
        <v>0</v>
      </c>
      <c r="AH70">
        <f t="shared" si="108"/>
        <v>0</v>
      </c>
      <c r="AI70">
        <f t="shared" si="109"/>
        <v>0</v>
      </c>
      <c r="AJ70">
        <f t="shared" si="85"/>
        <v>0</v>
      </c>
      <c r="AK70">
        <v>7.34</v>
      </c>
      <c r="AL70">
        <v>7.34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1</v>
      </c>
      <c r="AW70">
        <v>1</v>
      </c>
      <c r="AZ70">
        <v>1</v>
      </c>
      <c r="BA70">
        <v>1</v>
      </c>
      <c r="BB70">
        <v>1</v>
      </c>
      <c r="BC70">
        <v>8.9</v>
      </c>
      <c r="BD70" t="s">
        <v>3</v>
      </c>
      <c r="BE70" t="s">
        <v>3</v>
      </c>
      <c r="BF70" t="s">
        <v>3</v>
      </c>
      <c r="BG70" t="s">
        <v>3</v>
      </c>
      <c r="BH70">
        <v>3</v>
      </c>
      <c r="BI70">
        <v>1</v>
      </c>
      <c r="BJ70" t="s">
        <v>3</v>
      </c>
      <c r="BM70">
        <v>1100</v>
      </c>
      <c r="BN70">
        <v>0</v>
      </c>
      <c r="BO70" t="s">
        <v>3</v>
      </c>
      <c r="BP70">
        <v>0</v>
      </c>
      <c r="BQ70">
        <v>8</v>
      </c>
      <c r="BR70">
        <v>0</v>
      </c>
      <c r="BS70">
        <v>1</v>
      </c>
      <c r="BT70">
        <v>1</v>
      </c>
      <c r="BU70">
        <v>1</v>
      </c>
      <c r="BV70">
        <v>1</v>
      </c>
      <c r="BW70">
        <v>1</v>
      </c>
      <c r="BX70">
        <v>1</v>
      </c>
      <c r="BY70" t="s">
        <v>3</v>
      </c>
      <c r="BZ70">
        <v>0</v>
      </c>
      <c r="CA70">
        <v>0</v>
      </c>
      <c r="CB70" t="s">
        <v>3</v>
      </c>
      <c r="CE70">
        <v>0</v>
      </c>
      <c r="CF70">
        <v>0</v>
      </c>
      <c r="CG70">
        <v>0</v>
      </c>
      <c r="CM70">
        <v>0</v>
      </c>
      <c r="CN70" t="s">
        <v>3</v>
      </c>
      <c r="CO70">
        <v>0</v>
      </c>
      <c r="CP70">
        <f t="shared" si="86"/>
        <v>20120.41</v>
      </c>
      <c r="CQ70">
        <f t="shared" si="87"/>
        <v>65.326000000000008</v>
      </c>
      <c r="CR70">
        <f t="shared" si="110"/>
        <v>0</v>
      </c>
      <c r="CS70">
        <f t="shared" si="88"/>
        <v>0</v>
      </c>
      <c r="CT70">
        <f t="shared" si="89"/>
        <v>0</v>
      </c>
      <c r="CU70">
        <f t="shared" si="90"/>
        <v>0</v>
      </c>
      <c r="CV70">
        <f t="shared" si="91"/>
        <v>0</v>
      </c>
      <c r="CW70">
        <f t="shared" si="92"/>
        <v>0</v>
      </c>
      <c r="CX70">
        <f t="shared" si="93"/>
        <v>0</v>
      </c>
      <c r="CY70">
        <f t="shared" si="94"/>
        <v>0</v>
      </c>
      <c r="CZ70">
        <f t="shared" si="95"/>
        <v>0</v>
      </c>
      <c r="DC70" t="s">
        <v>3</v>
      </c>
      <c r="DD70" t="s">
        <v>3</v>
      </c>
      <c r="DE70" t="s">
        <v>3</v>
      </c>
      <c r="DF70" t="s">
        <v>3</v>
      </c>
      <c r="DG70" t="s">
        <v>3</v>
      </c>
      <c r="DH70" t="s">
        <v>3</v>
      </c>
      <c r="DI70" t="s">
        <v>3</v>
      </c>
      <c r="DJ70" t="s">
        <v>3</v>
      </c>
      <c r="DK70" t="s">
        <v>3</v>
      </c>
      <c r="DL70" t="s">
        <v>3</v>
      </c>
      <c r="DM70" t="s">
        <v>3</v>
      </c>
      <c r="DN70">
        <v>0</v>
      </c>
      <c r="DO70">
        <v>0</v>
      </c>
      <c r="DP70">
        <v>1</v>
      </c>
      <c r="DQ70">
        <v>1</v>
      </c>
      <c r="DU70">
        <v>1003</v>
      </c>
      <c r="DV70" t="s">
        <v>191</v>
      </c>
      <c r="DW70" t="s">
        <v>191</v>
      </c>
      <c r="DX70">
        <v>1</v>
      </c>
      <c r="DZ70" t="s">
        <v>3</v>
      </c>
      <c r="EA70" t="s">
        <v>3</v>
      </c>
      <c r="EB70" t="s">
        <v>3</v>
      </c>
      <c r="EC70" t="s">
        <v>3</v>
      </c>
      <c r="EE70">
        <v>140625274</v>
      </c>
      <c r="EF70">
        <v>8</v>
      </c>
      <c r="EG70" t="s">
        <v>32</v>
      </c>
      <c r="EH70">
        <v>0</v>
      </c>
      <c r="EI70" t="s">
        <v>3</v>
      </c>
      <c r="EJ70">
        <v>1</v>
      </c>
      <c r="EK70">
        <v>1100</v>
      </c>
      <c r="EL70" t="s">
        <v>33</v>
      </c>
      <c r="EM70" t="s">
        <v>34</v>
      </c>
      <c r="EO70" t="s">
        <v>3</v>
      </c>
      <c r="EQ70">
        <v>0</v>
      </c>
      <c r="ER70">
        <v>7.34</v>
      </c>
      <c r="ES70">
        <v>7.34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5</v>
      </c>
      <c r="FC70">
        <v>1</v>
      </c>
      <c r="FD70">
        <v>18</v>
      </c>
      <c r="FF70">
        <v>73.3</v>
      </c>
      <c r="FQ70">
        <v>0</v>
      </c>
      <c r="FR70">
        <f t="shared" si="96"/>
        <v>0</v>
      </c>
      <c r="FS70">
        <v>0</v>
      </c>
      <c r="FX70">
        <v>0</v>
      </c>
      <c r="FY70">
        <v>0</v>
      </c>
      <c r="GA70" t="s">
        <v>211</v>
      </c>
      <c r="GD70">
        <v>1</v>
      </c>
      <c r="GF70">
        <v>-1969231906</v>
      </c>
      <c r="GG70">
        <v>2</v>
      </c>
      <c r="GH70">
        <v>3</v>
      </c>
      <c r="GI70">
        <v>4</v>
      </c>
      <c r="GJ70">
        <v>0</v>
      </c>
      <c r="GK70">
        <v>0</v>
      </c>
      <c r="GL70">
        <f t="shared" si="97"/>
        <v>0</v>
      </c>
      <c r="GM70">
        <f t="shared" si="98"/>
        <v>20120.41</v>
      </c>
      <c r="GN70">
        <f t="shared" si="99"/>
        <v>20120.41</v>
      </c>
      <c r="GO70">
        <f t="shared" si="100"/>
        <v>0</v>
      </c>
      <c r="GP70">
        <f t="shared" si="101"/>
        <v>0</v>
      </c>
      <c r="GR70">
        <v>1</v>
      </c>
      <c r="GS70">
        <v>1</v>
      </c>
      <c r="GT70">
        <v>0</v>
      </c>
      <c r="GU70" t="s">
        <v>3</v>
      </c>
      <c r="GV70">
        <f t="shared" si="102"/>
        <v>0</v>
      </c>
      <c r="GW70">
        <v>1</v>
      </c>
      <c r="GX70">
        <f t="shared" si="103"/>
        <v>0</v>
      </c>
      <c r="HA70">
        <v>0</v>
      </c>
      <c r="HB70">
        <v>0</v>
      </c>
      <c r="HC70">
        <f t="shared" si="104"/>
        <v>0</v>
      </c>
      <c r="HE70" t="s">
        <v>36</v>
      </c>
      <c r="HF70" t="s">
        <v>28</v>
      </c>
      <c r="HM70" t="s">
        <v>3</v>
      </c>
      <c r="HN70" t="s">
        <v>3</v>
      </c>
      <c r="HO70" t="s">
        <v>3</v>
      </c>
      <c r="HP70" t="s">
        <v>3</v>
      </c>
      <c r="HQ70" t="s">
        <v>3</v>
      </c>
      <c r="IK70">
        <v>0</v>
      </c>
    </row>
    <row r="71" spans="1:245" x14ac:dyDescent="0.2">
      <c r="A71">
        <v>17</v>
      </c>
      <c r="B71">
        <v>1</v>
      </c>
      <c r="E71" t="s">
        <v>212</v>
      </c>
      <c r="F71" t="s">
        <v>29</v>
      </c>
      <c r="G71" t="s">
        <v>199</v>
      </c>
      <c r="H71" t="s">
        <v>213</v>
      </c>
      <c r="I71">
        <v>384</v>
      </c>
      <c r="J71">
        <v>0</v>
      </c>
      <c r="K71">
        <v>384</v>
      </c>
      <c r="O71">
        <f t="shared" si="72"/>
        <v>9261.7000000000007</v>
      </c>
      <c r="P71">
        <f t="shared" si="73"/>
        <v>9261.7000000000007</v>
      </c>
      <c r="Q71">
        <f t="shared" si="74"/>
        <v>0</v>
      </c>
      <c r="R71">
        <f t="shared" si="75"/>
        <v>0</v>
      </c>
      <c r="S71">
        <f t="shared" si="76"/>
        <v>0</v>
      </c>
      <c r="T71">
        <f t="shared" si="77"/>
        <v>0</v>
      </c>
      <c r="U71">
        <f t="shared" si="78"/>
        <v>0</v>
      </c>
      <c r="V71">
        <f t="shared" si="79"/>
        <v>0</v>
      </c>
      <c r="W71">
        <f t="shared" si="80"/>
        <v>0</v>
      </c>
      <c r="X71">
        <f t="shared" si="81"/>
        <v>0</v>
      </c>
      <c r="Y71">
        <f t="shared" si="82"/>
        <v>0</v>
      </c>
      <c r="AA71">
        <v>145026783</v>
      </c>
      <c r="AB71">
        <f t="shared" si="83"/>
        <v>2.71</v>
      </c>
      <c r="AC71">
        <f t="shared" si="61"/>
        <v>2.71</v>
      </c>
      <c r="AD71">
        <f t="shared" si="105"/>
        <v>0</v>
      </c>
      <c r="AE71">
        <f t="shared" si="106"/>
        <v>0</v>
      </c>
      <c r="AF71">
        <f t="shared" si="107"/>
        <v>0</v>
      </c>
      <c r="AG71">
        <f t="shared" si="84"/>
        <v>0</v>
      </c>
      <c r="AH71">
        <f t="shared" si="108"/>
        <v>0</v>
      </c>
      <c r="AI71">
        <f t="shared" si="109"/>
        <v>0</v>
      </c>
      <c r="AJ71">
        <f t="shared" si="85"/>
        <v>0</v>
      </c>
      <c r="AK71">
        <v>2.7099999999999995</v>
      </c>
      <c r="AL71">
        <v>2.7099999999999995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</v>
      </c>
      <c r="AW71">
        <v>1</v>
      </c>
      <c r="AZ71">
        <v>1</v>
      </c>
      <c r="BA71">
        <v>1</v>
      </c>
      <c r="BB71">
        <v>1</v>
      </c>
      <c r="BC71">
        <v>8.9</v>
      </c>
      <c r="BD71" t="s">
        <v>3</v>
      </c>
      <c r="BE71" t="s">
        <v>3</v>
      </c>
      <c r="BF71" t="s">
        <v>3</v>
      </c>
      <c r="BG71" t="s">
        <v>3</v>
      </c>
      <c r="BH71">
        <v>3</v>
      </c>
      <c r="BI71">
        <v>1</v>
      </c>
      <c r="BJ71" t="s">
        <v>3</v>
      </c>
      <c r="BM71">
        <v>1100</v>
      </c>
      <c r="BN71">
        <v>0</v>
      </c>
      <c r="BO71" t="s">
        <v>3</v>
      </c>
      <c r="BP71">
        <v>0</v>
      </c>
      <c r="BQ71">
        <v>8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0</v>
      </c>
      <c r="CA71">
        <v>0</v>
      </c>
      <c r="CB71" t="s">
        <v>3</v>
      </c>
      <c r="CE71">
        <v>0</v>
      </c>
      <c r="CF71">
        <v>0</v>
      </c>
      <c r="CG71">
        <v>0</v>
      </c>
      <c r="CM71">
        <v>0</v>
      </c>
      <c r="CN71" t="s">
        <v>3</v>
      </c>
      <c r="CO71">
        <v>0</v>
      </c>
      <c r="CP71">
        <f t="shared" si="86"/>
        <v>9261.7000000000007</v>
      </c>
      <c r="CQ71">
        <f t="shared" si="87"/>
        <v>24.119</v>
      </c>
      <c r="CR71">
        <f t="shared" si="110"/>
        <v>0</v>
      </c>
      <c r="CS71">
        <f t="shared" si="88"/>
        <v>0</v>
      </c>
      <c r="CT71">
        <f t="shared" si="89"/>
        <v>0</v>
      </c>
      <c r="CU71">
        <f t="shared" si="90"/>
        <v>0</v>
      </c>
      <c r="CV71">
        <f t="shared" si="91"/>
        <v>0</v>
      </c>
      <c r="CW71">
        <f t="shared" si="92"/>
        <v>0</v>
      </c>
      <c r="CX71">
        <f t="shared" si="93"/>
        <v>0</v>
      </c>
      <c r="CY71">
        <f t="shared" si="94"/>
        <v>0</v>
      </c>
      <c r="CZ71">
        <f t="shared" si="95"/>
        <v>0</v>
      </c>
      <c r="DC71" t="s">
        <v>3</v>
      </c>
      <c r="DD71" t="s">
        <v>3</v>
      </c>
      <c r="DE71" t="s">
        <v>3</v>
      </c>
      <c r="DF71" t="s">
        <v>3</v>
      </c>
      <c r="DG71" t="s">
        <v>3</v>
      </c>
      <c r="DH71" t="s">
        <v>3</v>
      </c>
      <c r="DI71" t="s">
        <v>3</v>
      </c>
      <c r="DJ71" t="s">
        <v>3</v>
      </c>
      <c r="DK71" t="s">
        <v>3</v>
      </c>
      <c r="DL71" t="s">
        <v>3</v>
      </c>
      <c r="DM71" t="s">
        <v>3</v>
      </c>
      <c r="DN71">
        <v>0</v>
      </c>
      <c r="DO71">
        <v>0</v>
      </c>
      <c r="DP71">
        <v>1</v>
      </c>
      <c r="DQ71">
        <v>1</v>
      </c>
      <c r="DU71">
        <v>1013</v>
      </c>
      <c r="DV71" t="s">
        <v>213</v>
      </c>
      <c r="DW71" t="s">
        <v>213</v>
      </c>
      <c r="DX71">
        <v>1</v>
      </c>
      <c r="DZ71" t="s">
        <v>3</v>
      </c>
      <c r="EA71" t="s">
        <v>3</v>
      </c>
      <c r="EB71" t="s">
        <v>3</v>
      </c>
      <c r="EC71" t="s">
        <v>3</v>
      </c>
      <c r="EE71">
        <v>140625274</v>
      </c>
      <c r="EF71">
        <v>8</v>
      </c>
      <c r="EG71" t="s">
        <v>32</v>
      </c>
      <c r="EH71">
        <v>0</v>
      </c>
      <c r="EI71" t="s">
        <v>3</v>
      </c>
      <c r="EJ71">
        <v>1</v>
      </c>
      <c r="EK71">
        <v>1100</v>
      </c>
      <c r="EL71" t="s">
        <v>33</v>
      </c>
      <c r="EM71" t="s">
        <v>34</v>
      </c>
      <c r="EO71" t="s">
        <v>3</v>
      </c>
      <c r="EQ71">
        <v>0</v>
      </c>
      <c r="ER71">
        <v>2.7099999999999995</v>
      </c>
      <c r="ES71">
        <v>2.7099999999999995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5</v>
      </c>
      <c r="FC71">
        <v>1</v>
      </c>
      <c r="FD71">
        <v>18</v>
      </c>
      <c r="FF71">
        <v>27</v>
      </c>
      <c r="FQ71">
        <v>0</v>
      </c>
      <c r="FR71">
        <f t="shared" si="96"/>
        <v>0</v>
      </c>
      <c r="FS71">
        <v>0</v>
      </c>
      <c r="FX71">
        <v>0</v>
      </c>
      <c r="FY71">
        <v>0</v>
      </c>
      <c r="GA71" t="s">
        <v>214</v>
      </c>
      <c r="GD71">
        <v>1</v>
      </c>
      <c r="GF71">
        <v>86668828</v>
      </c>
      <c r="GG71">
        <v>2</v>
      </c>
      <c r="GH71">
        <v>3</v>
      </c>
      <c r="GI71">
        <v>4</v>
      </c>
      <c r="GJ71">
        <v>0</v>
      </c>
      <c r="GK71">
        <v>0</v>
      </c>
      <c r="GL71">
        <f t="shared" si="97"/>
        <v>0</v>
      </c>
      <c r="GM71">
        <f t="shared" si="98"/>
        <v>9261.7000000000007</v>
      </c>
      <c r="GN71">
        <f t="shared" si="99"/>
        <v>9261.7000000000007</v>
      </c>
      <c r="GO71">
        <f t="shared" si="100"/>
        <v>0</v>
      </c>
      <c r="GP71">
        <f t="shared" si="101"/>
        <v>0</v>
      </c>
      <c r="GR71">
        <v>1</v>
      </c>
      <c r="GS71">
        <v>1</v>
      </c>
      <c r="GT71">
        <v>0</v>
      </c>
      <c r="GU71" t="s">
        <v>3</v>
      </c>
      <c r="GV71">
        <f t="shared" si="102"/>
        <v>0</v>
      </c>
      <c r="GW71">
        <v>1</v>
      </c>
      <c r="GX71">
        <f t="shared" si="103"/>
        <v>0</v>
      </c>
      <c r="HA71">
        <v>0</v>
      </c>
      <c r="HB71">
        <v>0</v>
      </c>
      <c r="HC71">
        <f t="shared" si="104"/>
        <v>0</v>
      </c>
      <c r="HE71" t="s">
        <v>36</v>
      </c>
      <c r="HF71" t="s">
        <v>28</v>
      </c>
      <c r="HM71" t="s">
        <v>3</v>
      </c>
      <c r="HN71" t="s">
        <v>3</v>
      </c>
      <c r="HO71" t="s">
        <v>3</v>
      </c>
      <c r="HP71" t="s">
        <v>3</v>
      </c>
      <c r="HQ71" t="s">
        <v>3</v>
      </c>
      <c r="IK71">
        <v>0</v>
      </c>
    </row>
    <row r="72" spans="1:245" x14ac:dyDescent="0.2">
      <c r="A72">
        <v>17</v>
      </c>
      <c r="B72">
        <v>1</v>
      </c>
      <c r="E72" t="s">
        <v>215</v>
      </c>
      <c r="F72" t="s">
        <v>29</v>
      </c>
      <c r="G72" t="s">
        <v>203</v>
      </c>
      <c r="H72" t="s">
        <v>213</v>
      </c>
      <c r="I72">
        <v>65</v>
      </c>
      <c r="J72">
        <v>0</v>
      </c>
      <c r="K72">
        <v>65</v>
      </c>
      <c r="O72">
        <f t="shared" si="72"/>
        <v>7931.24</v>
      </c>
      <c r="P72">
        <f t="shared" si="73"/>
        <v>7931.24</v>
      </c>
      <c r="Q72">
        <f t="shared" si="74"/>
        <v>0</v>
      </c>
      <c r="R72">
        <f t="shared" si="75"/>
        <v>0</v>
      </c>
      <c r="S72">
        <f t="shared" si="76"/>
        <v>0</v>
      </c>
      <c r="T72">
        <f t="shared" si="77"/>
        <v>0</v>
      </c>
      <c r="U72">
        <f t="shared" si="78"/>
        <v>0</v>
      </c>
      <c r="V72">
        <f t="shared" si="79"/>
        <v>0</v>
      </c>
      <c r="W72">
        <f t="shared" si="80"/>
        <v>0</v>
      </c>
      <c r="X72">
        <f t="shared" si="81"/>
        <v>0</v>
      </c>
      <c r="Y72">
        <f t="shared" si="82"/>
        <v>0</v>
      </c>
      <c r="AA72">
        <v>145026783</v>
      </c>
      <c r="AB72">
        <f t="shared" si="83"/>
        <v>13.71</v>
      </c>
      <c r="AC72">
        <f t="shared" si="61"/>
        <v>13.71</v>
      </c>
      <c r="AD72">
        <f t="shared" si="105"/>
        <v>0</v>
      </c>
      <c r="AE72">
        <f t="shared" si="106"/>
        <v>0</v>
      </c>
      <c r="AF72">
        <f t="shared" si="107"/>
        <v>0</v>
      </c>
      <c r="AG72">
        <f t="shared" si="84"/>
        <v>0</v>
      </c>
      <c r="AH72">
        <f t="shared" si="108"/>
        <v>0</v>
      </c>
      <c r="AI72">
        <f t="shared" si="109"/>
        <v>0</v>
      </c>
      <c r="AJ72">
        <f t="shared" si="85"/>
        <v>0</v>
      </c>
      <c r="AK72">
        <v>13.71</v>
      </c>
      <c r="AL72">
        <v>13.71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1</v>
      </c>
      <c r="AW72">
        <v>1</v>
      </c>
      <c r="AZ72">
        <v>1</v>
      </c>
      <c r="BA72">
        <v>1</v>
      </c>
      <c r="BB72">
        <v>1</v>
      </c>
      <c r="BC72">
        <v>8.9</v>
      </c>
      <c r="BD72" t="s">
        <v>3</v>
      </c>
      <c r="BE72" t="s">
        <v>3</v>
      </c>
      <c r="BF72" t="s">
        <v>3</v>
      </c>
      <c r="BG72" t="s">
        <v>3</v>
      </c>
      <c r="BH72">
        <v>3</v>
      </c>
      <c r="BI72">
        <v>1</v>
      </c>
      <c r="BJ72" t="s">
        <v>3</v>
      </c>
      <c r="BM72">
        <v>1100</v>
      </c>
      <c r="BN72">
        <v>0</v>
      </c>
      <c r="BO72" t="s">
        <v>3</v>
      </c>
      <c r="BP72">
        <v>0</v>
      </c>
      <c r="BQ72">
        <v>8</v>
      </c>
      <c r="BR72">
        <v>0</v>
      </c>
      <c r="BS72">
        <v>1</v>
      </c>
      <c r="BT72">
        <v>1</v>
      </c>
      <c r="BU72">
        <v>1</v>
      </c>
      <c r="BV72">
        <v>1</v>
      </c>
      <c r="BW72">
        <v>1</v>
      </c>
      <c r="BX72">
        <v>1</v>
      </c>
      <c r="BY72" t="s">
        <v>3</v>
      </c>
      <c r="BZ72">
        <v>0</v>
      </c>
      <c r="CA72">
        <v>0</v>
      </c>
      <c r="CB72" t="s">
        <v>3</v>
      </c>
      <c r="CE72">
        <v>0</v>
      </c>
      <c r="CF72">
        <v>0</v>
      </c>
      <c r="CG72">
        <v>0</v>
      </c>
      <c r="CM72">
        <v>0</v>
      </c>
      <c r="CN72" t="s">
        <v>3</v>
      </c>
      <c r="CO72">
        <v>0</v>
      </c>
      <c r="CP72">
        <f t="shared" si="86"/>
        <v>7931.24</v>
      </c>
      <c r="CQ72">
        <f t="shared" si="87"/>
        <v>122.01900000000001</v>
      </c>
      <c r="CR72">
        <f t="shared" si="110"/>
        <v>0</v>
      </c>
      <c r="CS72">
        <f t="shared" si="88"/>
        <v>0</v>
      </c>
      <c r="CT72">
        <f t="shared" si="89"/>
        <v>0</v>
      </c>
      <c r="CU72">
        <f t="shared" si="90"/>
        <v>0</v>
      </c>
      <c r="CV72">
        <f t="shared" si="91"/>
        <v>0</v>
      </c>
      <c r="CW72">
        <f t="shared" si="92"/>
        <v>0</v>
      </c>
      <c r="CX72">
        <f t="shared" si="93"/>
        <v>0</v>
      </c>
      <c r="CY72">
        <f t="shared" si="94"/>
        <v>0</v>
      </c>
      <c r="CZ72">
        <f t="shared" si="95"/>
        <v>0</v>
      </c>
      <c r="DC72" t="s">
        <v>3</v>
      </c>
      <c r="DD72" t="s">
        <v>3</v>
      </c>
      <c r="DE72" t="s">
        <v>3</v>
      </c>
      <c r="DF72" t="s">
        <v>3</v>
      </c>
      <c r="DG72" t="s">
        <v>3</v>
      </c>
      <c r="DH72" t="s">
        <v>3</v>
      </c>
      <c r="DI72" t="s">
        <v>3</v>
      </c>
      <c r="DJ72" t="s">
        <v>3</v>
      </c>
      <c r="DK72" t="s">
        <v>3</v>
      </c>
      <c r="DL72" t="s">
        <v>3</v>
      </c>
      <c r="DM72" t="s">
        <v>3</v>
      </c>
      <c r="DN72">
        <v>0</v>
      </c>
      <c r="DO72">
        <v>0</v>
      </c>
      <c r="DP72">
        <v>1</v>
      </c>
      <c r="DQ72">
        <v>1</v>
      </c>
      <c r="DU72">
        <v>1013</v>
      </c>
      <c r="DV72" t="s">
        <v>213</v>
      </c>
      <c r="DW72" t="s">
        <v>213</v>
      </c>
      <c r="DX72">
        <v>1</v>
      </c>
      <c r="DZ72" t="s">
        <v>3</v>
      </c>
      <c r="EA72" t="s">
        <v>3</v>
      </c>
      <c r="EB72" t="s">
        <v>3</v>
      </c>
      <c r="EC72" t="s">
        <v>3</v>
      </c>
      <c r="EE72">
        <v>140625274</v>
      </c>
      <c r="EF72">
        <v>8</v>
      </c>
      <c r="EG72" t="s">
        <v>32</v>
      </c>
      <c r="EH72">
        <v>0</v>
      </c>
      <c r="EI72" t="s">
        <v>3</v>
      </c>
      <c r="EJ72">
        <v>1</v>
      </c>
      <c r="EK72">
        <v>1100</v>
      </c>
      <c r="EL72" t="s">
        <v>33</v>
      </c>
      <c r="EM72" t="s">
        <v>34</v>
      </c>
      <c r="EO72" t="s">
        <v>3</v>
      </c>
      <c r="EQ72">
        <v>0</v>
      </c>
      <c r="ER72">
        <v>13.71</v>
      </c>
      <c r="ES72">
        <v>13.71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5</v>
      </c>
      <c r="FC72">
        <v>1</v>
      </c>
      <c r="FD72">
        <v>18</v>
      </c>
      <c r="FF72">
        <v>136.66999999999999</v>
      </c>
      <c r="FQ72">
        <v>0</v>
      </c>
      <c r="FR72">
        <f t="shared" si="96"/>
        <v>0</v>
      </c>
      <c r="FS72">
        <v>0</v>
      </c>
      <c r="FX72">
        <v>0</v>
      </c>
      <c r="FY72">
        <v>0</v>
      </c>
      <c r="GA72" t="s">
        <v>216</v>
      </c>
      <c r="GD72">
        <v>1</v>
      </c>
      <c r="GF72">
        <v>-1588025780</v>
      </c>
      <c r="GG72">
        <v>2</v>
      </c>
      <c r="GH72">
        <v>3</v>
      </c>
      <c r="GI72">
        <v>4</v>
      </c>
      <c r="GJ72">
        <v>0</v>
      </c>
      <c r="GK72">
        <v>0</v>
      </c>
      <c r="GL72">
        <f t="shared" si="97"/>
        <v>0</v>
      </c>
      <c r="GM72">
        <f t="shared" si="98"/>
        <v>7931.24</v>
      </c>
      <c r="GN72">
        <f t="shared" si="99"/>
        <v>7931.24</v>
      </c>
      <c r="GO72">
        <f t="shared" si="100"/>
        <v>0</v>
      </c>
      <c r="GP72">
        <f t="shared" si="101"/>
        <v>0</v>
      </c>
      <c r="GR72">
        <v>1</v>
      </c>
      <c r="GS72">
        <v>1</v>
      </c>
      <c r="GT72">
        <v>0</v>
      </c>
      <c r="GU72" t="s">
        <v>3</v>
      </c>
      <c r="GV72">
        <f t="shared" si="102"/>
        <v>0</v>
      </c>
      <c r="GW72">
        <v>1</v>
      </c>
      <c r="GX72">
        <f t="shared" si="103"/>
        <v>0</v>
      </c>
      <c r="HA72">
        <v>0</v>
      </c>
      <c r="HB72">
        <v>0</v>
      </c>
      <c r="HC72">
        <f t="shared" si="104"/>
        <v>0</v>
      </c>
      <c r="HE72" t="s">
        <v>36</v>
      </c>
      <c r="HF72" t="s">
        <v>28</v>
      </c>
      <c r="HM72" t="s">
        <v>3</v>
      </c>
      <c r="HN72" t="s">
        <v>3</v>
      </c>
      <c r="HO72" t="s">
        <v>3</v>
      </c>
      <c r="HP72" t="s">
        <v>3</v>
      </c>
      <c r="HQ72" t="s">
        <v>3</v>
      </c>
      <c r="IK72">
        <v>0</v>
      </c>
    </row>
    <row r="73" spans="1:245" x14ac:dyDescent="0.2">
      <c r="A73">
        <v>17</v>
      </c>
      <c r="B73">
        <v>1</v>
      </c>
      <c r="C73">
        <f>ROW(SmtRes!A107)</f>
        <v>107</v>
      </c>
      <c r="D73">
        <f>ROW(EtalonRes!A115)</f>
        <v>115</v>
      </c>
      <c r="E73" t="s">
        <v>217</v>
      </c>
      <c r="F73" t="s">
        <v>145</v>
      </c>
      <c r="G73" t="s">
        <v>146</v>
      </c>
      <c r="H73" t="s">
        <v>40</v>
      </c>
      <c r="I73">
        <f>ROUND(190.56/100,9)</f>
        <v>1.9056</v>
      </c>
      <c r="J73">
        <v>0</v>
      </c>
      <c r="K73">
        <f>ROUND(190.56/100,9)</f>
        <v>1.9056</v>
      </c>
      <c r="O73">
        <f t="shared" si="72"/>
        <v>3063.45</v>
      </c>
      <c r="P73">
        <f t="shared" si="73"/>
        <v>31.21</v>
      </c>
      <c r="Q73">
        <f t="shared" si="74"/>
        <v>656.36</v>
      </c>
      <c r="R73">
        <f t="shared" si="75"/>
        <v>44.53</v>
      </c>
      <c r="S73">
        <f t="shared" si="76"/>
        <v>2375.88</v>
      </c>
      <c r="T73">
        <f t="shared" si="77"/>
        <v>0</v>
      </c>
      <c r="U73">
        <f t="shared" si="78"/>
        <v>8.0864136000000002</v>
      </c>
      <c r="V73">
        <f t="shared" si="79"/>
        <v>0.1191</v>
      </c>
      <c r="W73">
        <f t="shared" si="80"/>
        <v>0</v>
      </c>
      <c r="X73">
        <f t="shared" si="81"/>
        <v>2420.41</v>
      </c>
      <c r="Y73">
        <f t="shared" si="82"/>
        <v>1008.1</v>
      </c>
      <c r="AA73">
        <v>145026783</v>
      </c>
      <c r="AB73">
        <f t="shared" si="83"/>
        <v>68.47</v>
      </c>
      <c r="AC73">
        <f t="shared" si="61"/>
        <v>1.84</v>
      </c>
      <c r="AD73">
        <f>ROUND(((((ET73*1.25))-((EU73*1.25)))+AE73),2)</f>
        <v>27.68</v>
      </c>
      <c r="AE73">
        <f>ROUND(((EU73*1.25)),2)</f>
        <v>0.73</v>
      </c>
      <c r="AF73">
        <f>ROUND(((EV73*1.15)),2)</f>
        <v>38.950000000000003</v>
      </c>
      <c r="AG73">
        <f t="shared" si="84"/>
        <v>0</v>
      </c>
      <c r="AH73">
        <f>((EW73*1.15))</f>
        <v>4.2435</v>
      </c>
      <c r="AI73">
        <f>((EX73*1.25))</f>
        <v>6.25E-2</v>
      </c>
      <c r="AJ73">
        <f t="shared" si="85"/>
        <v>0</v>
      </c>
      <c r="AK73">
        <v>57.85</v>
      </c>
      <c r="AL73">
        <v>1.84</v>
      </c>
      <c r="AM73">
        <v>22.14</v>
      </c>
      <c r="AN73">
        <v>0.57999999999999996</v>
      </c>
      <c r="AO73">
        <v>33.869999999999997</v>
      </c>
      <c r="AP73">
        <v>0</v>
      </c>
      <c r="AQ73">
        <v>3.69</v>
      </c>
      <c r="AR73">
        <v>0.05</v>
      </c>
      <c r="AS73">
        <v>0</v>
      </c>
      <c r="AT73">
        <v>100</v>
      </c>
      <c r="AU73">
        <v>41.65</v>
      </c>
      <c r="AV73">
        <v>1</v>
      </c>
      <c r="AW73">
        <v>1</v>
      </c>
      <c r="AZ73">
        <v>1</v>
      </c>
      <c r="BA73">
        <v>32.01</v>
      </c>
      <c r="BB73">
        <v>12.44</v>
      </c>
      <c r="BC73">
        <v>8.9</v>
      </c>
      <c r="BD73" t="s">
        <v>3</v>
      </c>
      <c r="BE73" t="s">
        <v>3</v>
      </c>
      <c r="BF73" t="s">
        <v>3</v>
      </c>
      <c r="BG73" t="s">
        <v>3</v>
      </c>
      <c r="BH73">
        <v>0</v>
      </c>
      <c r="BI73">
        <v>1</v>
      </c>
      <c r="BJ73" t="s">
        <v>147</v>
      </c>
      <c r="BM73">
        <v>15001</v>
      </c>
      <c r="BN73">
        <v>0</v>
      </c>
      <c r="BO73" t="s">
        <v>3</v>
      </c>
      <c r="BP73">
        <v>0</v>
      </c>
      <c r="BQ73">
        <v>2</v>
      </c>
      <c r="BR73">
        <v>0</v>
      </c>
      <c r="BS73">
        <v>32.01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100</v>
      </c>
      <c r="CA73">
        <v>49</v>
      </c>
      <c r="CB73" t="s">
        <v>3</v>
      </c>
      <c r="CE73">
        <v>0</v>
      </c>
      <c r="CF73">
        <v>0</v>
      </c>
      <c r="CG73">
        <v>0</v>
      </c>
      <c r="CM73">
        <v>0</v>
      </c>
      <c r="CN73" t="s">
        <v>863</v>
      </c>
      <c r="CO73">
        <v>0</v>
      </c>
      <c r="CP73">
        <f t="shared" si="86"/>
        <v>3063.4500000000003</v>
      </c>
      <c r="CQ73">
        <f t="shared" si="87"/>
        <v>16.376000000000001</v>
      </c>
      <c r="CR73">
        <f>((((ET73*1.25))*BB73-((EU73*1.25))*BS73)+AE73*BS73)</f>
        <v>344.43705</v>
      </c>
      <c r="CS73">
        <f t="shared" si="88"/>
        <v>23.367299999999997</v>
      </c>
      <c r="CT73">
        <f t="shared" si="89"/>
        <v>1246.7895000000001</v>
      </c>
      <c r="CU73">
        <f t="shared" si="90"/>
        <v>0</v>
      </c>
      <c r="CV73">
        <f t="shared" si="91"/>
        <v>4.2435</v>
      </c>
      <c r="CW73">
        <f t="shared" si="92"/>
        <v>6.25E-2</v>
      </c>
      <c r="CX73">
        <f t="shared" si="93"/>
        <v>0</v>
      </c>
      <c r="CY73">
        <f t="shared" si="94"/>
        <v>2420.4100000000003</v>
      </c>
      <c r="CZ73">
        <f t="shared" si="95"/>
        <v>1008.1007650000001</v>
      </c>
      <c r="DC73" t="s">
        <v>3</v>
      </c>
      <c r="DD73" t="s">
        <v>3</v>
      </c>
      <c r="DE73" t="s">
        <v>148</v>
      </c>
      <c r="DF73" t="s">
        <v>148</v>
      </c>
      <c r="DG73" t="s">
        <v>149</v>
      </c>
      <c r="DH73" t="s">
        <v>3</v>
      </c>
      <c r="DI73" t="s">
        <v>149</v>
      </c>
      <c r="DJ73" t="s">
        <v>148</v>
      </c>
      <c r="DK73" t="s">
        <v>3</v>
      </c>
      <c r="DL73" t="s">
        <v>3</v>
      </c>
      <c r="DM73" t="s">
        <v>150</v>
      </c>
      <c r="DN73">
        <v>0</v>
      </c>
      <c r="DO73">
        <v>0</v>
      </c>
      <c r="DP73">
        <v>1</v>
      </c>
      <c r="DQ73">
        <v>1</v>
      </c>
      <c r="DU73">
        <v>1005</v>
      </c>
      <c r="DV73" t="s">
        <v>40</v>
      </c>
      <c r="DW73" t="s">
        <v>40</v>
      </c>
      <c r="DX73">
        <v>100</v>
      </c>
      <c r="DZ73" t="s">
        <v>3</v>
      </c>
      <c r="EA73" t="s">
        <v>3</v>
      </c>
      <c r="EB73" t="s">
        <v>3</v>
      </c>
      <c r="EC73" t="s">
        <v>3</v>
      </c>
      <c r="EE73">
        <v>140625061</v>
      </c>
      <c r="EF73">
        <v>2</v>
      </c>
      <c r="EG73" t="s">
        <v>95</v>
      </c>
      <c r="EH73">
        <v>15</v>
      </c>
      <c r="EI73" t="s">
        <v>105</v>
      </c>
      <c r="EJ73">
        <v>1</v>
      </c>
      <c r="EK73">
        <v>15001</v>
      </c>
      <c r="EL73" t="s">
        <v>105</v>
      </c>
      <c r="EM73" t="s">
        <v>106</v>
      </c>
      <c r="EO73" t="s">
        <v>151</v>
      </c>
      <c r="EQ73">
        <v>1310720</v>
      </c>
      <c r="ER73">
        <v>57.85</v>
      </c>
      <c r="ES73">
        <v>1.84</v>
      </c>
      <c r="ET73">
        <v>22.14</v>
      </c>
      <c r="EU73">
        <v>0.57999999999999996</v>
      </c>
      <c r="EV73">
        <v>33.869999999999997</v>
      </c>
      <c r="EW73">
        <v>3.69</v>
      </c>
      <c r="EX73">
        <v>0.05</v>
      </c>
      <c r="EY73">
        <v>0</v>
      </c>
      <c r="FQ73">
        <v>0</v>
      </c>
      <c r="FR73">
        <f t="shared" si="96"/>
        <v>0</v>
      </c>
      <c r="FS73">
        <v>0</v>
      </c>
      <c r="FX73">
        <v>100</v>
      </c>
      <c r="FY73">
        <v>41.65</v>
      </c>
      <c r="GA73" t="s">
        <v>3</v>
      </c>
      <c r="GD73">
        <v>1</v>
      </c>
      <c r="GF73">
        <v>2114869218</v>
      </c>
      <c r="GG73">
        <v>2</v>
      </c>
      <c r="GH73">
        <v>1</v>
      </c>
      <c r="GI73">
        <v>4</v>
      </c>
      <c r="GJ73">
        <v>0</v>
      </c>
      <c r="GK73">
        <v>0</v>
      </c>
      <c r="GL73">
        <f t="shared" si="97"/>
        <v>0</v>
      </c>
      <c r="GM73">
        <f t="shared" si="98"/>
        <v>6491.96</v>
      </c>
      <c r="GN73">
        <f t="shared" si="99"/>
        <v>6491.96</v>
      </c>
      <c r="GO73">
        <f t="shared" si="100"/>
        <v>0</v>
      </c>
      <c r="GP73">
        <f t="shared" si="101"/>
        <v>0</v>
      </c>
      <c r="GR73">
        <v>0</v>
      </c>
      <c r="GS73">
        <v>3</v>
      </c>
      <c r="GT73">
        <v>0</v>
      </c>
      <c r="GU73" t="s">
        <v>3</v>
      </c>
      <c r="GV73">
        <f t="shared" si="102"/>
        <v>0</v>
      </c>
      <c r="GW73">
        <v>1</v>
      </c>
      <c r="GX73">
        <f t="shared" si="103"/>
        <v>0</v>
      </c>
      <c r="HA73">
        <v>0</v>
      </c>
      <c r="HB73">
        <v>0</v>
      </c>
      <c r="HC73">
        <f t="shared" si="104"/>
        <v>0</v>
      </c>
      <c r="HE73" t="s">
        <v>3</v>
      </c>
      <c r="HF73" t="s">
        <v>3</v>
      </c>
      <c r="HM73" t="s">
        <v>3</v>
      </c>
      <c r="HN73" t="s">
        <v>107</v>
      </c>
      <c r="HO73" t="s">
        <v>108</v>
      </c>
      <c r="HP73" t="s">
        <v>105</v>
      </c>
      <c r="HQ73" t="s">
        <v>105</v>
      </c>
      <c r="IK73">
        <v>0</v>
      </c>
    </row>
    <row r="74" spans="1:245" x14ac:dyDescent="0.2">
      <c r="A74">
        <v>17</v>
      </c>
      <c r="B74">
        <v>1</v>
      </c>
      <c r="E74" t="s">
        <v>218</v>
      </c>
      <c r="F74" t="s">
        <v>29</v>
      </c>
      <c r="G74" t="s">
        <v>153</v>
      </c>
      <c r="H74" t="s">
        <v>154</v>
      </c>
      <c r="I74">
        <f>ROUND(I73*13.8,9)</f>
        <v>26.297280000000001</v>
      </c>
      <c r="J74">
        <v>0</v>
      </c>
      <c r="K74">
        <f>ROUND(I73*13.8,9)</f>
        <v>26.297280000000001</v>
      </c>
      <c r="O74">
        <f t="shared" si="72"/>
        <v>2115.77</v>
      </c>
      <c r="P74">
        <f t="shared" si="73"/>
        <v>2115.77</v>
      </c>
      <c r="Q74">
        <f t="shared" si="74"/>
        <v>0</v>
      </c>
      <c r="R74">
        <f t="shared" si="75"/>
        <v>0</v>
      </c>
      <c r="S74">
        <f t="shared" si="76"/>
        <v>0</v>
      </c>
      <c r="T74">
        <f t="shared" si="77"/>
        <v>0</v>
      </c>
      <c r="U74">
        <f t="shared" si="78"/>
        <v>0</v>
      </c>
      <c r="V74">
        <f t="shared" si="79"/>
        <v>0</v>
      </c>
      <c r="W74">
        <f t="shared" si="80"/>
        <v>0</v>
      </c>
      <c r="X74">
        <f t="shared" si="81"/>
        <v>0</v>
      </c>
      <c r="Y74">
        <f t="shared" si="82"/>
        <v>0</v>
      </c>
      <c r="AA74">
        <v>145026783</v>
      </c>
      <c r="AB74">
        <f t="shared" si="83"/>
        <v>9.0399999999999991</v>
      </c>
      <c r="AC74">
        <f t="shared" si="61"/>
        <v>9.0399999999999991</v>
      </c>
      <c r="AD74">
        <f>ROUND((((ET74)-(EU74))+AE74),2)</f>
        <v>0</v>
      </c>
      <c r="AE74">
        <f>ROUND((EU74),2)</f>
        <v>0</v>
      </c>
      <c r="AF74">
        <f>ROUND((EV74),2)</f>
        <v>0</v>
      </c>
      <c r="AG74">
        <f t="shared" si="84"/>
        <v>0</v>
      </c>
      <c r="AH74">
        <f>(EW74)</f>
        <v>0</v>
      </c>
      <c r="AI74">
        <f>(EX74)</f>
        <v>0</v>
      </c>
      <c r="AJ74">
        <f t="shared" si="85"/>
        <v>0</v>
      </c>
      <c r="AK74">
        <v>9.0399999999999991</v>
      </c>
      <c r="AL74">
        <v>9.0399999999999991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1</v>
      </c>
      <c r="AW74">
        <v>1</v>
      </c>
      <c r="AZ74">
        <v>1</v>
      </c>
      <c r="BA74">
        <v>1</v>
      </c>
      <c r="BB74">
        <v>1</v>
      </c>
      <c r="BC74">
        <v>8.9</v>
      </c>
      <c r="BD74" t="s">
        <v>3</v>
      </c>
      <c r="BE74" t="s">
        <v>3</v>
      </c>
      <c r="BF74" t="s">
        <v>3</v>
      </c>
      <c r="BG74" t="s">
        <v>3</v>
      </c>
      <c r="BH74">
        <v>3</v>
      </c>
      <c r="BI74">
        <v>1</v>
      </c>
      <c r="BJ74" t="s">
        <v>3</v>
      </c>
      <c r="BM74">
        <v>1100</v>
      </c>
      <c r="BN74">
        <v>0</v>
      </c>
      <c r="BO74" t="s">
        <v>3</v>
      </c>
      <c r="BP74">
        <v>0</v>
      </c>
      <c r="BQ74">
        <v>8</v>
      </c>
      <c r="BR74">
        <v>0</v>
      </c>
      <c r="BS74">
        <v>1</v>
      </c>
      <c r="BT74">
        <v>1</v>
      </c>
      <c r="BU74">
        <v>1</v>
      </c>
      <c r="BV74">
        <v>1</v>
      </c>
      <c r="BW74">
        <v>1</v>
      </c>
      <c r="BX74">
        <v>1</v>
      </c>
      <c r="BY74" t="s">
        <v>3</v>
      </c>
      <c r="BZ74">
        <v>0</v>
      </c>
      <c r="CA74">
        <v>0</v>
      </c>
      <c r="CB74" t="s">
        <v>3</v>
      </c>
      <c r="CE74">
        <v>0</v>
      </c>
      <c r="CF74">
        <v>0</v>
      </c>
      <c r="CG74">
        <v>0</v>
      </c>
      <c r="CM74">
        <v>0</v>
      </c>
      <c r="CN74" t="s">
        <v>3</v>
      </c>
      <c r="CO74">
        <v>0</v>
      </c>
      <c r="CP74">
        <f t="shared" si="86"/>
        <v>2115.77</v>
      </c>
      <c r="CQ74">
        <f t="shared" si="87"/>
        <v>80.455999999999989</v>
      </c>
      <c r="CR74">
        <f>(((ET74)*BB74-(EU74)*BS74)+AE74*BS74)</f>
        <v>0</v>
      </c>
      <c r="CS74">
        <f t="shared" si="88"/>
        <v>0</v>
      </c>
      <c r="CT74">
        <f t="shared" si="89"/>
        <v>0</v>
      </c>
      <c r="CU74">
        <f t="shared" si="90"/>
        <v>0</v>
      </c>
      <c r="CV74">
        <f t="shared" si="91"/>
        <v>0</v>
      </c>
      <c r="CW74">
        <f t="shared" si="92"/>
        <v>0</v>
      </c>
      <c r="CX74">
        <f t="shared" si="93"/>
        <v>0</v>
      </c>
      <c r="CY74">
        <f t="shared" si="94"/>
        <v>0</v>
      </c>
      <c r="CZ74">
        <f t="shared" si="95"/>
        <v>0</v>
      </c>
      <c r="DC74" t="s">
        <v>3</v>
      </c>
      <c r="DD74" t="s">
        <v>3</v>
      </c>
      <c r="DE74" t="s">
        <v>3</v>
      </c>
      <c r="DF74" t="s">
        <v>3</v>
      </c>
      <c r="DG74" t="s">
        <v>3</v>
      </c>
      <c r="DH74" t="s">
        <v>3</v>
      </c>
      <c r="DI74" t="s">
        <v>3</v>
      </c>
      <c r="DJ74" t="s">
        <v>3</v>
      </c>
      <c r="DK74" t="s">
        <v>3</v>
      </c>
      <c r="DL74" t="s">
        <v>3</v>
      </c>
      <c r="DM74" t="s">
        <v>3</v>
      </c>
      <c r="DN74">
        <v>0</v>
      </c>
      <c r="DO74">
        <v>0</v>
      </c>
      <c r="DP74">
        <v>1</v>
      </c>
      <c r="DQ74">
        <v>1</v>
      </c>
      <c r="DU74">
        <v>1009</v>
      </c>
      <c r="DV74" t="s">
        <v>154</v>
      </c>
      <c r="DW74" t="s">
        <v>154</v>
      </c>
      <c r="DX74">
        <v>1</v>
      </c>
      <c r="DZ74" t="s">
        <v>3</v>
      </c>
      <c r="EA74" t="s">
        <v>3</v>
      </c>
      <c r="EB74" t="s">
        <v>3</v>
      </c>
      <c r="EC74" t="s">
        <v>3</v>
      </c>
      <c r="EE74">
        <v>140625274</v>
      </c>
      <c r="EF74">
        <v>8</v>
      </c>
      <c r="EG74" t="s">
        <v>32</v>
      </c>
      <c r="EH74">
        <v>0</v>
      </c>
      <c r="EI74" t="s">
        <v>3</v>
      </c>
      <c r="EJ74">
        <v>1</v>
      </c>
      <c r="EK74">
        <v>1100</v>
      </c>
      <c r="EL74" t="s">
        <v>33</v>
      </c>
      <c r="EM74" t="s">
        <v>34</v>
      </c>
      <c r="EO74" t="s">
        <v>3</v>
      </c>
      <c r="EQ74">
        <v>0</v>
      </c>
      <c r="ER74">
        <v>9.0399999999999991</v>
      </c>
      <c r="ES74">
        <v>9.0399999999999991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5</v>
      </c>
      <c r="FC74">
        <v>1</v>
      </c>
      <c r="FD74">
        <v>18</v>
      </c>
      <c r="FF74">
        <v>90.1</v>
      </c>
      <c r="FQ74">
        <v>0</v>
      </c>
      <c r="FR74">
        <f t="shared" si="96"/>
        <v>0</v>
      </c>
      <c r="FS74">
        <v>0</v>
      </c>
      <c r="FX74">
        <v>0</v>
      </c>
      <c r="FY74">
        <v>0</v>
      </c>
      <c r="GA74" t="s">
        <v>219</v>
      </c>
      <c r="GD74">
        <v>1</v>
      </c>
      <c r="GF74">
        <v>-752850908</v>
      </c>
      <c r="GG74">
        <v>2</v>
      </c>
      <c r="GH74">
        <v>3</v>
      </c>
      <c r="GI74">
        <v>4</v>
      </c>
      <c r="GJ74">
        <v>0</v>
      </c>
      <c r="GK74">
        <v>0</v>
      </c>
      <c r="GL74">
        <f t="shared" si="97"/>
        <v>0</v>
      </c>
      <c r="GM74">
        <f t="shared" si="98"/>
        <v>2115.77</v>
      </c>
      <c r="GN74">
        <f t="shared" si="99"/>
        <v>2115.77</v>
      </c>
      <c r="GO74">
        <f t="shared" si="100"/>
        <v>0</v>
      </c>
      <c r="GP74">
        <f t="shared" si="101"/>
        <v>0</v>
      </c>
      <c r="GR74">
        <v>1</v>
      </c>
      <c r="GS74">
        <v>1</v>
      </c>
      <c r="GT74">
        <v>0</v>
      </c>
      <c r="GU74" t="s">
        <v>3</v>
      </c>
      <c r="GV74">
        <f t="shared" si="102"/>
        <v>0</v>
      </c>
      <c r="GW74">
        <v>1</v>
      </c>
      <c r="GX74">
        <f t="shared" si="103"/>
        <v>0</v>
      </c>
      <c r="HA74">
        <v>0</v>
      </c>
      <c r="HB74">
        <v>0</v>
      </c>
      <c r="HC74">
        <f t="shared" si="104"/>
        <v>0</v>
      </c>
      <c r="HE74" t="s">
        <v>36</v>
      </c>
      <c r="HF74" t="s">
        <v>28</v>
      </c>
      <c r="HM74" t="s">
        <v>3</v>
      </c>
      <c r="HN74" t="s">
        <v>3</v>
      </c>
      <c r="HO74" t="s">
        <v>3</v>
      </c>
      <c r="HP74" t="s">
        <v>3</v>
      </c>
      <c r="HQ74" t="s">
        <v>3</v>
      </c>
      <c r="IK74">
        <v>0</v>
      </c>
    </row>
    <row r="75" spans="1:245" x14ac:dyDescent="0.2">
      <c r="A75">
        <v>17</v>
      </c>
      <c r="B75">
        <v>1</v>
      </c>
      <c r="C75">
        <f>ROW(SmtRes!A114)</f>
        <v>114</v>
      </c>
      <c r="D75">
        <f>ROW(EtalonRes!A125)</f>
        <v>125</v>
      </c>
      <c r="E75" t="s">
        <v>220</v>
      </c>
      <c r="F75" t="s">
        <v>221</v>
      </c>
      <c r="G75" t="s">
        <v>222</v>
      </c>
      <c r="H75" t="s">
        <v>40</v>
      </c>
      <c r="I75">
        <f>ROUND(190.56/100,9)</f>
        <v>1.9056</v>
      </c>
      <c r="J75">
        <v>0</v>
      </c>
      <c r="K75">
        <f>ROUND(190.56/100,9)</f>
        <v>1.9056</v>
      </c>
      <c r="O75">
        <f t="shared" si="72"/>
        <v>75182.350000000006</v>
      </c>
      <c r="P75">
        <f t="shared" si="73"/>
        <v>19</v>
      </c>
      <c r="Q75">
        <f t="shared" si="74"/>
        <v>940.67</v>
      </c>
      <c r="R75">
        <f t="shared" si="75"/>
        <v>1336.47</v>
      </c>
      <c r="S75">
        <f t="shared" si="76"/>
        <v>74222.679999999993</v>
      </c>
      <c r="T75">
        <f t="shared" si="77"/>
        <v>0</v>
      </c>
      <c r="U75">
        <f t="shared" si="78"/>
        <v>252.58537440000001</v>
      </c>
      <c r="V75">
        <f t="shared" si="79"/>
        <v>3.9302999999999999</v>
      </c>
      <c r="W75">
        <f t="shared" si="80"/>
        <v>0</v>
      </c>
      <c r="X75">
        <f t="shared" si="81"/>
        <v>75559.149999999994</v>
      </c>
      <c r="Y75">
        <f t="shared" si="82"/>
        <v>31470.39</v>
      </c>
      <c r="AA75">
        <v>145026783</v>
      </c>
      <c r="AB75">
        <f t="shared" si="83"/>
        <v>1257.6099999999999</v>
      </c>
      <c r="AC75">
        <f t="shared" ref="AC75:AC105" si="111">ROUND((ES75),2)</f>
        <v>1.1200000000000001</v>
      </c>
      <c r="AD75">
        <f>ROUND(((((ET75*1.25))-((EU75*1.25)))+AE75),2)</f>
        <v>39.69</v>
      </c>
      <c r="AE75">
        <f>ROUND(((EU75*1.25)),2)</f>
        <v>21.91</v>
      </c>
      <c r="AF75">
        <f>ROUND(((EV75*1.15)),2)</f>
        <v>1216.8</v>
      </c>
      <c r="AG75">
        <f t="shared" si="84"/>
        <v>0</v>
      </c>
      <c r="AH75">
        <f>((EW75*1.15))</f>
        <v>132.54900000000001</v>
      </c>
      <c r="AI75">
        <f>((EX75*1.25))</f>
        <v>2.0625</v>
      </c>
      <c r="AJ75">
        <f t="shared" si="85"/>
        <v>0</v>
      </c>
      <c r="AK75">
        <v>1090.96</v>
      </c>
      <c r="AL75">
        <v>1.1200000000000001</v>
      </c>
      <c r="AM75">
        <v>31.75</v>
      </c>
      <c r="AN75">
        <v>17.53</v>
      </c>
      <c r="AO75">
        <v>1058.0899999999999</v>
      </c>
      <c r="AP75">
        <v>0</v>
      </c>
      <c r="AQ75">
        <v>115.26</v>
      </c>
      <c r="AR75">
        <v>1.65</v>
      </c>
      <c r="AS75">
        <v>0</v>
      </c>
      <c r="AT75">
        <v>100</v>
      </c>
      <c r="AU75">
        <v>41.65</v>
      </c>
      <c r="AV75">
        <v>1</v>
      </c>
      <c r="AW75">
        <v>1</v>
      </c>
      <c r="AZ75">
        <v>1</v>
      </c>
      <c r="BA75">
        <v>32.01</v>
      </c>
      <c r="BB75">
        <v>12.44</v>
      </c>
      <c r="BC75">
        <v>8.9</v>
      </c>
      <c r="BD75" t="s">
        <v>3</v>
      </c>
      <c r="BE75" t="s">
        <v>3</v>
      </c>
      <c r="BF75" t="s">
        <v>3</v>
      </c>
      <c r="BG75" t="s">
        <v>3</v>
      </c>
      <c r="BH75">
        <v>0</v>
      </c>
      <c r="BI75">
        <v>1</v>
      </c>
      <c r="BJ75" t="s">
        <v>223</v>
      </c>
      <c r="BM75">
        <v>15001</v>
      </c>
      <c r="BN75">
        <v>0</v>
      </c>
      <c r="BO75" t="s">
        <v>3</v>
      </c>
      <c r="BP75">
        <v>0</v>
      </c>
      <c r="BQ75">
        <v>2</v>
      </c>
      <c r="BR75">
        <v>0</v>
      </c>
      <c r="BS75">
        <v>32.01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3</v>
      </c>
      <c r="BZ75">
        <v>100</v>
      </c>
      <c r="CA75">
        <v>49</v>
      </c>
      <c r="CB75" t="s">
        <v>3</v>
      </c>
      <c r="CE75">
        <v>0</v>
      </c>
      <c r="CF75">
        <v>0</v>
      </c>
      <c r="CG75">
        <v>0</v>
      </c>
      <c r="CM75">
        <v>0</v>
      </c>
      <c r="CN75" t="s">
        <v>863</v>
      </c>
      <c r="CO75">
        <v>0</v>
      </c>
      <c r="CP75">
        <f t="shared" si="86"/>
        <v>75182.349999999991</v>
      </c>
      <c r="CQ75">
        <f t="shared" si="87"/>
        <v>9.9680000000000017</v>
      </c>
      <c r="CR75">
        <f>((((ET75*1.25))*BB75-((EU75*1.25))*BS75)+AE75*BS75)</f>
        <v>493.63247499999989</v>
      </c>
      <c r="CS75">
        <f t="shared" si="88"/>
        <v>701.33909999999992</v>
      </c>
      <c r="CT75">
        <f t="shared" si="89"/>
        <v>38949.767999999996</v>
      </c>
      <c r="CU75">
        <f t="shared" si="90"/>
        <v>0</v>
      </c>
      <c r="CV75">
        <f t="shared" si="91"/>
        <v>132.54900000000001</v>
      </c>
      <c r="CW75">
        <f t="shared" si="92"/>
        <v>2.0625</v>
      </c>
      <c r="CX75">
        <f t="shared" si="93"/>
        <v>0</v>
      </c>
      <c r="CY75">
        <f t="shared" si="94"/>
        <v>75559.149999999994</v>
      </c>
      <c r="CZ75">
        <f t="shared" si="95"/>
        <v>31470.385974999997</v>
      </c>
      <c r="DC75" t="s">
        <v>3</v>
      </c>
      <c r="DD75" t="s">
        <v>3</v>
      </c>
      <c r="DE75" t="s">
        <v>148</v>
      </c>
      <c r="DF75" t="s">
        <v>148</v>
      </c>
      <c r="DG75" t="s">
        <v>149</v>
      </c>
      <c r="DH75" t="s">
        <v>3</v>
      </c>
      <c r="DI75" t="s">
        <v>149</v>
      </c>
      <c r="DJ75" t="s">
        <v>148</v>
      </c>
      <c r="DK75" t="s">
        <v>3</v>
      </c>
      <c r="DL75" t="s">
        <v>3</v>
      </c>
      <c r="DM75" t="s">
        <v>150</v>
      </c>
      <c r="DN75">
        <v>0</v>
      </c>
      <c r="DO75">
        <v>0</v>
      </c>
      <c r="DP75">
        <v>1</v>
      </c>
      <c r="DQ75">
        <v>1</v>
      </c>
      <c r="DU75">
        <v>1005</v>
      </c>
      <c r="DV75" t="s">
        <v>40</v>
      </c>
      <c r="DW75" t="s">
        <v>40</v>
      </c>
      <c r="DX75">
        <v>100</v>
      </c>
      <c r="DZ75" t="s">
        <v>3</v>
      </c>
      <c r="EA75" t="s">
        <v>3</v>
      </c>
      <c r="EB75" t="s">
        <v>3</v>
      </c>
      <c r="EC75" t="s">
        <v>3</v>
      </c>
      <c r="EE75">
        <v>140625061</v>
      </c>
      <c r="EF75">
        <v>2</v>
      </c>
      <c r="EG75" t="s">
        <v>95</v>
      </c>
      <c r="EH75">
        <v>15</v>
      </c>
      <c r="EI75" t="s">
        <v>105</v>
      </c>
      <c r="EJ75">
        <v>1</v>
      </c>
      <c r="EK75">
        <v>15001</v>
      </c>
      <c r="EL75" t="s">
        <v>105</v>
      </c>
      <c r="EM75" t="s">
        <v>106</v>
      </c>
      <c r="EO75" t="s">
        <v>151</v>
      </c>
      <c r="EQ75">
        <v>2097152</v>
      </c>
      <c r="ER75">
        <v>1090.96</v>
      </c>
      <c r="ES75">
        <v>1.1200000000000001</v>
      </c>
      <c r="ET75">
        <v>31.75</v>
      </c>
      <c r="EU75">
        <v>17.53</v>
      </c>
      <c r="EV75">
        <v>1058.0899999999999</v>
      </c>
      <c r="EW75">
        <v>115.26</v>
      </c>
      <c r="EX75">
        <v>1.65</v>
      </c>
      <c r="EY75">
        <v>0</v>
      </c>
      <c r="FQ75">
        <v>0</v>
      </c>
      <c r="FR75">
        <f t="shared" si="96"/>
        <v>0</v>
      </c>
      <c r="FS75">
        <v>0</v>
      </c>
      <c r="FX75">
        <v>100</v>
      </c>
      <c r="FY75">
        <v>41.65</v>
      </c>
      <c r="GA75" t="s">
        <v>3</v>
      </c>
      <c r="GD75">
        <v>1</v>
      </c>
      <c r="GF75">
        <v>-650261021</v>
      </c>
      <c r="GG75">
        <v>2</v>
      </c>
      <c r="GH75">
        <v>1</v>
      </c>
      <c r="GI75">
        <v>4</v>
      </c>
      <c r="GJ75">
        <v>0</v>
      </c>
      <c r="GK75">
        <v>0</v>
      </c>
      <c r="GL75">
        <f t="shared" si="97"/>
        <v>0</v>
      </c>
      <c r="GM75">
        <f t="shared" si="98"/>
        <v>182211.89</v>
      </c>
      <c r="GN75">
        <f t="shared" si="99"/>
        <v>182211.89</v>
      </c>
      <c r="GO75">
        <f t="shared" si="100"/>
        <v>0</v>
      </c>
      <c r="GP75">
        <f t="shared" si="101"/>
        <v>0</v>
      </c>
      <c r="GR75">
        <v>0</v>
      </c>
      <c r="GS75">
        <v>3</v>
      </c>
      <c r="GT75">
        <v>0</v>
      </c>
      <c r="GU75" t="s">
        <v>3</v>
      </c>
      <c r="GV75">
        <f t="shared" si="102"/>
        <v>0</v>
      </c>
      <c r="GW75">
        <v>1</v>
      </c>
      <c r="GX75">
        <f t="shared" si="103"/>
        <v>0</v>
      </c>
      <c r="HA75">
        <v>0</v>
      </c>
      <c r="HB75">
        <v>0</v>
      </c>
      <c r="HC75">
        <f t="shared" si="104"/>
        <v>0</v>
      </c>
      <c r="HE75" t="s">
        <v>3</v>
      </c>
      <c r="HF75" t="s">
        <v>3</v>
      </c>
      <c r="HM75" t="s">
        <v>3</v>
      </c>
      <c r="HN75" t="s">
        <v>107</v>
      </c>
      <c r="HO75" t="s">
        <v>108</v>
      </c>
      <c r="HP75" t="s">
        <v>105</v>
      </c>
      <c r="HQ75" t="s">
        <v>105</v>
      </c>
      <c r="IK75">
        <v>0</v>
      </c>
    </row>
    <row r="76" spans="1:245" x14ac:dyDescent="0.2">
      <c r="A76">
        <v>17</v>
      </c>
      <c r="B76">
        <v>1</v>
      </c>
      <c r="E76" t="s">
        <v>224</v>
      </c>
      <c r="F76" t="s">
        <v>29</v>
      </c>
      <c r="G76" t="s">
        <v>225</v>
      </c>
      <c r="H76" t="s">
        <v>72</v>
      </c>
      <c r="I76">
        <f>ROUND(I75*100,9)</f>
        <v>190.56</v>
      </c>
      <c r="J76">
        <v>0</v>
      </c>
      <c r="K76">
        <f>ROUND(I75*100,9)</f>
        <v>190.56</v>
      </c>
      <c r="O76">
        <f t="shared" si="72"/>
        <v>63955.56</v>
      </c>
      <c r="P76">
        <f t="shared" si="73"/>
        <v>63955.56</v>
      </c>
      <c r="Q76">
        <f t="shared" si="74"/>
        <v>0</v>
      </c>
      <c r="R76">
        <f t="shared" si="75"/>
        <v>0</v>
      </c>
      <c r="S76">
        <f t="shared" si="76"/>
        <v>0</v>
      </c>
      <c r="T76">
        <f t="shared" si="77"/>
        <v>0</v>
      </c>
      <c r="U76">
        <f t="shared" si="78"/>
        <v>0</v>
      </c>
      <c r="V76">
        <f t="shared" si="79"/>
        <v>0</v>
      </c>
      <c r="W76">
        <f t="shared" si="80"/>
        <v>0</v>
      </c>
      <c r="X76">
        <f t="shared" si="81"/>
        <v>0</v>
      </c>
      <c r="Y76">
        <f t="shared" si="82"/>
        <v>0</v>
      </c>
      <c r="AA76">
        <v>145026783</v>
      </c>
      <c r="AB76">
        <f t="shared" si="83"/>
        <v>37.71</v>
      </c>
      <c r="AC76">
        <f t="shared" si="111"/>
        <v>37.71</v>
      </c>
      <c r="AD76">
        <f>ROUND((((ET76)-(EU76))+AE76),2)</f>
        <v>0</v>
      </c>
      <c r="AE76">
        <f t="shared" ref="AE76:AF78" si="112">ROUND((EU76),2)</f>
        <v>0</v>
      </c>
      <c r="AF76">
        <f t="shared" si="112"/>
        <v>0</v>
      </c>
      <c r="AG76">
        <f t="shared" si="84"/>
        <v>0</v>
      </c>
      <c r="AH76">
        <f t="shared" ref="AH76:AI78" si="113">(EW76)</f>
        <v>0</v>
      </c>
      <c r="AI76">
        <f t="shared" si="113"/>
        <v>0</v>
      </c>
      <c r="AJ76">
        <f t="shared" si="85"/>
        <v>0</v>
      </c>
      <c r="AK76">
        <v>37.71</v>
      </c>
      <c r="AL76">
        <v>37.71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1</v>
      </c>
      <c r="AW76">
        <v>1</v>
      </c>
      <c r="AZ76">
        <v>1</v>
      </c>
      <c r="BA76">
        <v>1</v>
      </c>
      <c r="BB76">
        <v>1</v>
      </c>
      <c r="BC76">
        <v>8.9</v>
      </c>
      <c r="BD76" t="s">
        <v>3</v>
      </c>
      <c r="BE76" t="s">
        <v>3</v>
      </c>
      <c r="BF76" t="s">
        <v>3</v>
      </c>
      <c r="BG76" t="s">
        <v>3</v>
      </c>
      <c r="BH76">
        <v>3</v>
      </c>
      <c r="BI76">
        <v>1</v>
      </c>
      <c r="BJ76" t="s">
        <v>3</v>
      </c>
      <c r="BM76">
        <v>1100</v>
      </c>
      <c r="BN76">
        <v>0</v>
      </c>
      <c r="BO76" t="s">
        <v>3</v>
      </c>
      <c r="BP76">
        <v>0</v>
      </c>
      <c r="BQ76">
        <v>8</v>
      </c>
      <c r="BR76">
        <v>0</v>
      </c>
      <c r="BS76">
        <v>1</v>
      </c>
      <c r="BT76">
        <v>1</v>
      </c>
      <c r="BU76">
        <v>1</v>
      </c>
      <c r="BV76">
        <v>1</v>
      </c>
      <c r="BW76">
        <v>1</v>
      </c>
      <c r="BX76">
        <v>1</v>
      </c>
      <c r="BY76" t="s">
        <v>3</v>
      </c>
      <c r="BZ76">
        <v>0</v>
      </c>
      <c r="CA76">
        <v>0</v>
      </c>
      <c r="CB76" t="s">
        <v>3</v>
      </c>
      <c r="CE76">
        <v>0</v>
      </c>
      <c r="CF76">
        <v>0</v>
      </c>
      <c r="CG76">
        <v>0</v>
      </c>
      <c r="CM76">
        <v>0</v>
      </c>
      <c r="CN76" t="s">
        <v>3</v>
      </c>
      <c r="CO76">
        <v>0</v>
      </c>
      <c r="CP76">
        <f t="shared" si="86"/>
        <v>63955.56</v>
      </c>
      <c r="CQ76">
        <f t="shared" si="87"/>
        <v>335.61900000000003</v>
      </c>
      <c r="CR76">
        <f>(((ET76)*BB76-(EU76)*BS76)+AE76*BS76)</f>
        <v>0</v>
      </c>
      <c r="CS76">
        <f t="shared" si="88"/>
        <v>0</v>
      </c>
      <c r="CT76">
        <f t="shared" si="89"/>
        <v>0</v>
      </c>
      <c r="CU76">
        <f t="shared" si="90"/>
        <v>0</v>
      </c>
      <c r="CV76">
        <f t="shared" si="91"/>
        <v>0</v>
      </c>
      <c r="CW76">
        <f t="shared" si="92"/>
        <v>0</v>
      </c>
      <c r="CX76">
        <f t="shared" si="93"/>
        <v>0</v>
      </c>
      <c r="CY76">
        <f t="shared" si="94"/>
        <v>0</v>
      </c>
      <c r="CZ76">
        <f t="shared" si="95"/>
        <v>0</v>
      </c>
      <c r="DC76" t="s">
        <v>3</v>
      </c>
      <c r="DD76" t="s">
        <v>3</v>
      </c>
      <c r="DE76" t="s">
        <v>3</v>
      </c>
      <c r="DF76" t="s">
        <v>3</v>
      </c>
      <c r="DG76" t="s">
        <v>3</v>
      </c>
      <c r="DH76" t="s">
        <v>3</v>
      </c>
      <c r="DI76" t="s">
        <v>3</v>
      </c>
      <c r="DJ76" t="s">
        <v>3</v>
      </c>
      <c r="DK76" t="s">
        <v>3</v>
      </c>
      <c r="DL76" t="s">
        <v>3</v>
      </c>
      <c r="DM76" t="s">
        <v>3</v>
      </c>
      <c r="DN76">
        <v>0</v>
      </c>
      <c r="DO76">
        <v>0</v>
      </c>
      <c r="DP76">
        <v>1</v>
      </c>
      <c r="DQ76">
        <v>1</v>
      </c>
      <c r="DU76">
        <v>1005</v>
      </c>
      <c r="DV76" t="s">
        <v>72</v>
      </c>
      <c r="DW76" t="s">
        <v>72</v>
      </c>
      <c r="DX76">
        <v>1</v>
      </c>
      <c r="DZ76" t="s">
        <v>3</v>
      </c>
      <c r="EA76" t="s">
        <v>3</v>
      </c>
      <c r="EB76" t="s">
        <v>3</v>
      </c>
      <c r="EC76" t="s">
        <v>3</v>
      </c>
      <c r="EE76">
        <v>140625274</v>
      </c>
      <c r="EF76">
        <v>8</v>
      </c>
      <c r="EG76" t="s">
        <v>32</v>
      </c>
      <c r="EH76">
        <v>0</v>
      </c>
      <c r="EI76" t="s">
        <v>3</v>
      </c>
      <c r="EJ76">
        <v>1</v>
      </c>
      <c r="EK76">
        <v>1100</v>
      </c>
      <c r="EL76" t="s">
        <v>33</v>
      </c>
      <c r="EM76" t="s">
        <v>34</v>
      </c>
      <c r="EO76" t="s">
        <v>3</v>
      </c>
      <c r="EQ76">
        <v>0</v>
      </c>
      <c r="ER76">
        <v>37.71</v>
      </c>
      <c r="ES76">
        <v>37.71</v>
      </c>
      <c r="ET76">
        <v>0</v>
      </c>
      <c r="EU76">
        <v>0</v>
      </c>
      <c r="EV76">
        <v>0</v>
      </c>
      <c r="EW76">
        <v>0</v>
      </c>
      <c r="EX76">
        <v>0</v>
      </c>
      <c r="EY76">
        <v>0</v>
      </c>
      <c r="EZ76">
        <v>5</v>
      </c>
      <c r="FC76">
        <v>1</v>
      </c>
      <c r="FD76">
        <v>18</v>
      </c>
      <c r="FF76">
        <v>376</v>
      </c>
      <c r="FQ76">
        <v>0</v>
      </c>
      <c r="FR76">
        <f t="shared" si="96"/>
        <v>0</v>
      </c>
      <c r="FS76">
        <v>0</v>
      </c>
      <c r="FX76">
        <v>0</v>
      </c>
      <c r="FY76">
        <v>0</v>
      </c>
      <c r="GA76" t="s">
        <v>226</v>
      </c>
      <c r="GD76">
        <v>1</v>
      </c>
      <c r="GF76">
        <v>-2080476494</v>
      </c>
      <c r="GG76">
        <v>2</v>
      </c>
      <c r="GH76">
        <v>3</v>
      </c>
      <c r="GI76">
        <v>4</v>
      </c>
      <c r="GJ76">
        <v>0</v>
      </c>
      <c r="GK76">
        <v>0</v>
      </c>
      <c r="GL76">
        <f t="shared" si="97"/>
        <v>0</v>
      </c>
      <c r="GM76">
        <f t="shared" si="98"/>
        <v>63955.56</v>
      </c>
      <c r="GN76">
        <f t="shared" si="99"/>
        <v>63955.56</v>
      </c>
      <c r="GO76">
        <f t="shared" si="100"/>
        <v>0</v>
      </c>
      <c r="GP76">
        <f t="shared" si="101"/>
        <v>0</v>
      </c>
      <c r="GR76">
        <v>1</v>
      </c>
      <c r="GS76">
        <v>1</v>
      </c>
      <c r="GT76">
        <v>0</v>
      </c>
      <c r="GU76" t="s">
        <v>3</v>
      </c>
      <c r="GV76">
        <f t="shared" si="102"/>
        <v>0</v>
      </c>
      <c r="GW76">
        <v>1</v>
      </c>
      <c r="GX76">
        <f t="shared" si="103"/>
        <v>0</v>
      </c>
      <c r="HA76">
        <v>0</v>
      </c>
      <c r="HB76">
        <v>0</v>
      </c>
      <c r="HC76">
        <f t="shared" si="104"/>
        <v>0</v>
      </c>
      <c r="HE76" t="s">
        <v>36</v>
      </c>
      <c r="HF76" t="s">
        <v>28</v>
      </c>
      <c r="HM76" t="s">
        <v>3</v>
      </c>
      <c r="HN76" t="s">
        <v>3</v>
      </c>
      <c r="HO76" t="s">
        <v>3</v>
      </c>
      <c r="HP76" t="s">
        <v>3</v>
      </c>
      <c r="HQ76" t="s">
        <v>3</v>
      </c>
      <c r="IK76">
        <v>0</v>
      </c>
    </row>
    <row r="77" spans="1:245" x14ac:dyDescent="0.2">
      <c r="A77">
        <v>17</v>
      </c>
      <c r="B77">
        <v>1</v>
      </c>
      <c r="E77" t="s">
        <v>227</v>
      </c>
      <c r="F77" t="s">
        <v>29</v>
      </c>
      <c r="G77" t="s">
        <v>181</v>
      </c>
      <c r="H77" t="s">
        <v>154</v>
      </c>
      <c r="I77">
        <f>ROUND(I75*375,9)</f>
        <v>714.6</v>
      </c>
      <c r="J77">
        <v>0</v>
      </c>
      <c r="K77">
        <f>ROUND(I75*375,9)</f>
        <v>714.6</v>
      </c>
      <c r="O77">
        <f t="shared" si="72"/>
        <v>13801.07</v>
      </c>
      <c r="P77">
        <f t="shared" si="73"/>
        <v>13801.07</v>
      </c>
      <c r="Q77">
        <f t="shared" si="74"/>
        <v>0</v>
      </c>
      <c r="R77">
        <f t="shared" si="75"/>
        <v>0</v>
      </c>
      <c r="S77">
        <f t="shared" si="76"/>
        <v>0</v>
      </c>
      <c r="T77">
        <f t="shared" si="77"/>
        <v>0</v>
      </c>
      <c r="U77">
        <f t="shared" si="78"/>
        <v>0</v>
      </c>
      <c r="V77">
        <f t="shared" si="79"/>
        <v>0</v>
      </c>
      <c r="W77">
        <f t="shared" si="80"/>
        <v>0</v>
      </c>
      <c r="X77">
        <f t="shared" si="81"/>
        <v>0</v>
      </c>
      <c r="Y77">
        <f t="shared" si="82"/>
        <v>0</v>
      </c>
      <c r="AA77">
        <v>145026783</v>
      </c>
      <c r="AB77">
        <f t="shared" si="83"/>
        <v>2.17</v>
      </c>
      <c r="AC77">
        <f t="shared" si="111"/>
        <v>2.17</v>
      </c>
      <c r="AD77">
        <f>ROUND((((ET77)-(EU77))+AE77),2)</f>
        <v>0</v>
      </c>
      <c r="AE77">
        <f t="shared" si="112"/>
        <v>0</v>
      </c>
      <c r="AF77">
        <f t="shared" si="112"/>
        <v>0</v>
      </c>
      <c r="AG77">
        <f t="shared" si="84"/>
        <v>0</v>
      </c>
      <c r="AH77">
        <f t="shared" si="113"/>
        <v>0</v>
      </c>
      <c r="AI77">
        <f t="shared" si="113"/>
        <v>0</v>
      </c>
      <c r="AJ77">
        <f t="shared" si="85"/>
        <v>0</v>
      </c>
      <c r="AK77">
        <v>2.17</v>
      </c>
      <c r="AL77">
        <v>2.17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1</v>
      </c>
      <c r="AW77">
        <v>1</v>
      </c>
      <c r="AZ77">
        <v>1</v>
      </c>
      <c r="BA77">
        <v>1</v>
      </c>
      <c r="BB77">
        <v>1</v>
      </c>
      <c r="BC77">
        <v>8.9</v>
      </c>
      <c r="BD77" t="s">
        <v>3</v>
      </c>
      <c r="BE77" t="s">
        <v>3</v>
      </c>
      <c r="BF77" t="s">
        <v>3</v>
      </c>
      <c r="BG77" t="s">
        <v>3</v>
      </c>
      <c r="BH77">
        <v>3</v>
      </c>
      <c r="BI77">
        <v>1</v>
      </c>
      <c r="BJ77" t="s">
        <v>3</v>
      </c>
      <c r="BM77">
        <v>1100</v>
      </c>
      <c r="BN77">
        <v>0</v>
      </c>
      <c r="BO77" t="s">
        <v>3</v>
      </c>
      <c r="BP77">
        <v>0</v>
      </c>
      <c r="BQ77">
        <v>8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3</v>
      </c>
      <c r="BZ77">
        <v>0</v>
      </c>
      <c r="CA77">
        <v>0</v>
      </c>
      <c r="CB77" t="s">
        <v>3</v>
      </c>
      <c r="CE77">
        <v>0</v>
      </c>
      <c r="CF77">
        <v>0</v>
      </c>
      <c r="CG77">
        <v>0</v>
      </c>
      <c r="CM77">
        <v>0</v>
      </c>
      <c r="CN77" t="s">
        <v>3</v>
      </c>
      <c r="CO77">
        <v>0</v>
      </c>
      <c r="CP77">
        <f t="shared" si="86"/>
        <v>13801.07</v>
      </c>
      <c r="CQ77">
        <f t="shared" si="87"/>
        <v>19.312999999999999</v>
      </c>
      <c r="CR77">
        <f>(((ET77)*BB77-(EU77)*BS77)+AE77*BS77)</f>
        <v>0</v>
      </c>
      <c r="CS77">
        <f t="shared" si="88"/>
        <v>0</v>
      </c>
      <c r="CT77">
        <f t="shared" si="89"/>
        <v>0</v>
      </c>
      <c r="CU77">
        <f t="shared" si="90"/>
        <v>0</v>
      </c>
      <c r="CV77">
        <f t="shared" si="91"/>
        <v>0</v>
      </c>
      <c r="CW77">
        <f t="shared" si="92"/>
        <v>0</v>
      </c>
      <c r="CX77">
        <f t="shared" si="93"/>
        <v>0</v>
      </c>
      <c r="CY77">
        <f t="shared" si="94"/>
        <v>0</v>
      </c>
      <c r="CZ77">
        <f t="shared" si="95"/>
        <v>0</v>
      </c>
      <c r="DC77" t="s">
        <v>3</v>
      </c>
      <c r="DD77" t="s">
        <v>3</v>
      </c>
      <c r="DE77" t="s">
        <v>3</v>
      </c>
      <c r="DF77" t="s">
        <v>3</v>
      </c>
      <c r="DG77" t="s">
        <v>3</v>
      </c>
      <c r="DH77" t="s">
        <v>3</v>
      </c>
      <c r="DI77" t="s">
        <v>3</v>
      </c>
      <c r="DJ77" t="s">
        <v>3</v>
      </c>
      <c r="DK77" t="s">
        <v>3</v>
      </c>
      <c r="DL77" t="s">
        <v>3</v>
      </c>
      <c r="DM77" t="s">
        <v>3</v>
      </c>
      <c r="DN77">
        <v>0</v>
      </c>
      <c r="DO77">
        <v>0</v>
      </c>
      <c r="DP77">
        <v>1</v>
      </c>
      <c r="DQ77">
        <v>1</v>
      </c>
      <c r="DU77">
        <v>1009</v>
      </c>
      <c r="DV77" t="s">
        <v>154</v>
      </c>
      <c r="DW77" t="s">
        <v>154</v>
      </c>
      <c r="DX77">
        <v>1</v>
      </c>
      <c r="DZ77" t="s">
        <v>3</v>
      </c>
      <c r="EA77" t="s">
        <v>3</v>
      </c>
      <c r="EB77" t="s">
        <v>3</v>
      </c>
      <c r="EC77" t="s">
        <v>3</v>
      </c>
      <c r="EE77">
        <v>140625274</v>
      </c>
      <c r="EF77">
        <v>8</v>
      </c>
      <c r="EG77" t="s">
        <v>32</v>
      </c>
      <c r="EH77">
        <v>0</v>
      </c>
      <c r="EI77" t="s">
        <v>3</v>
      </c>
      <c r="EJ77">
        <v>1</v>
      </c>
      <c r="EK77">
        <v>1100</v>
      </c>
      <c r="EL77" t="s">
        <v>33</v>
      </c>
      <c r="EM77" t="s">
        <v>34</v>
      </c>
      <c r="EO77" t="s">
        <v>3</v>
      </c>
      <c r="EQ77">
        <v>0</v>
      </c>
      <c r="ER77">
        <v>2.17</v>
      </c>
      <c r="ES77">
        <v>2.17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5</v>
      </c>
      <c r="FC77">
        <v>1</v>
      </c>
      <c r="FD77">
        <v>18</v>
      </c>
      <c r="FF77">
        <v>21.64</v>
      </c>
      <c r="FQ77">
        <v>0</v>
      </c>
      <c r="FR77">
        <f t="shared" si="96"/>
        <v>0</v>
      </c>
      <c r="FS77">
        <v>0</v>
      </c>
      <c r="FX77">
        <v>0</v>
      </c>
      <c r="FY77">
        <v>0</v>
      </c>
      <c r="GA77" t="s">
        <v>182</v>
      </c>
      <c r="GD77">
        <v>1</v>
      </c>
      <c r="GF77">
        <v>-707210353</v>
      </c>
      <c r="GG77">
        <v>2</v>
      </c>
      <c r="GH77">
        <v>3</v>
      </c>
      <c r="GI77">
        <v>4</v>
      </c>
      <c r="GJ77">
        <v>0</v>
      </c>
      <c r="GK77">
        <v>0</v>
      </c>
      <c r="GL77">
        <f t="shared" si="97"/>
        <v>0</v>
      </c>
      <c r="GM77">
        <f t="shared" si="98"/>
        <v>13801.07</v>
      </c>
      <c r="GN77">
        <f t="shared" si="99"/>
        <v>13801.07</v>
      </c>
      <c r="GO77">
        <f t="shared" si="100"/>
        <v>0</v>
      </c>
      <c r="GP77">
        <f t="shared" si="101"/>
        <v>0</v>
      </c>
      <c r="GR77">
        <v>1</v>
      </c>
      <c r="GS77">
        <v>1</v>
      </c>
      <c r="GT77">
        <v>0</v>
      </c>
      <c r="GU77" t="s">
        <v>3</v>
      </c>
      <c r="GV77">
        <f t="shared" si="102"/>
        <v>0</v>
      </c>
      <c r="GW77">
        <v>1</v>
      </c>
      <c r="GX77">
        <f t="shared" si="103"/>
        <v>0</v>
      </c>
      <c r="HA77">
        <v>0</v>
      </c>
      <c r="HB77">
        <v>0</v>
      </c>
      <c r="HC77">
        <f t="shared" si="104"/>
        <v>0</v>
      </c>
      <c r="HE77" t="s">
        <v>36</v>
      </c>
      <c r="HF77" t="s">
        <v>28</v>
      </c>
      <c r="HM77" t="s">
        <v>3</v>
      </c>
      <c r="HN77" t="s">
        <v>3</v>
      </c>
      <c r="HO77" t="s">
        <v>3</v>
      </c>
      <c r="HP77" t="s">
        <v>3</v>
      </c>
      <c r="HQ77" t="s">
        <v>3</v>
      </c>
      <c r="IK77">
        <v>0</v>
      </c>
    </row>
    <row r="78" spans="1:245" x14ac:dyDescent="0.2">
      <c r="A78">
        <v>17</v>
      </c>
      <c r="B78">
        <v>1</v>
      </c>
      <c r="E78" t="s">
        <v>228</v>
      </c>
      <c r="F78" t="s">
        <v>29</v>
      </c>
      <c r="G78" t="s">
        <v>184</v>
      </c>
      <c r="H78" t="s">
        <v>154</v>
      </c>
      <c r="I78">
        <f>ROUND(I75*50,9)</f>
        <v>95.28</v>
      </c>
      <c r="J78">
        <v>0</v>
      </c>
      <c r="K78">
        <f>ROUND(I75*50,9)</f>
        <v>95.28</v>
      </c>
      <c r="O78">
        <f t="shared" si="72"/>
        <v>11481.81</v>
      </c>
      <c r="P78">
        <f t="shared" si="73"/>
        <v>11481.81</v>
      </c>
      <c r="Q78">
        <f t="shared" si="74"/>
        <v>0</v>
      </c>
      <c r="R78">
        <f t="shared" si="75"/>
        <v>0</v>
      </c>
      <c r="S78">
        <f t="shared" si="76"/>
        <v>0</v>
      </c>
      <c r="T78">
        <f t="shared" si="77"/>
        <v>0</v>
      </c>
      <c r="U78">
        <f t="shared" si="78"/>
        <v>0</v>
      </c>
      <c r="V78">
        <f t="shared" si="79"/>
        <v>0</v>
      </c>
      <c r="W78">
        <f t="shared" si="80"/>
        <v>0</v>
      </c>
      <c r="X78">
        <f t="shared" si="81"/>
        <v>0</v>
      </c>
      <c r="Y78">
        <f t="shared" si="82"/>
        <v>0</v>
      </c>
      <c r="AA78">
        <v>145026783</v>
      </c>
      <c r="AB78">
        <f t="shared" si="83"/>
        <v>13.54</v>
      </c>
      <c r="AC78">
        <f t="shared" si="111"/>
        <v>13.54</v>
      </c>
      <c r="AD78">
        <f>ROUND((((ET78)-(EU78))+AE78),2)</f>
        <v>0</v>
      </c>
      <c r="AE78">
        <f t="shared" si="112"/>
        <v>0</v>
      </c>
      <c r="AF78">
        <f t="shared" si="112"/>
        <v>0</v>
      </c>
      <c r="AG78">
        <f t="shared" si="84"/>
        <v>0</v>
      </c>
      <c r="AH78">
        <f t="shared" si="113"/>
        <v>0</v>
      </c>
      <c r="AI78">
        <f t="shared" si="113"/>
        <v>0</v>
      </c>
      <c r="AJ78">
        <f t="shared" si="85"/>
        <v>0</v>
      </c>
      <c r="AK78">
        <v>13.540000000000001</v>
      </c>
      <c r="AL78">
        <v>13.540000000000001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1</v>
      </c>
      <c r="AW78">
        <v>1</v>
      </c>
      <c r="AZ78">
        <v>1</v>
      </c>
      <c r="BA78">
        <v>1</v>
      </c>
      <c r="BB78">
        <v>1</v>
      </c>
      <c r="BC78">
        <v>8.9</v>
      </c>
      <c r="BD78" t="s">
        <v>3</v>
      </c>
      <c r="BE78" t="s">
        <v>3</v>
      </c>
      <c r="BF78" t="s">
        <v>3</v>
      </c>
      <c r="BG78" t="s">
        <v>3</v>
      </c>
      <c r="BH78">
        <v>3</v>
      </c>
      <c r="BI78">
        <v>1</v>
      </c>
      <c r="BJ78" t="s">
        <v>3</v>
      </c>
      <c r="BM78">
        <v>1100</v>
      </c>
      <c r="BN78">
        <v>0</v>
      </c>
      <c r="BO78" t="s">
        <v>3</v>
      </c>
      <c r="BP78">
        <v>0</v>
      </c>
      <c r="BQ78">
        <v>8</v>
      </c>
      <c r="BR78">
        <v>0</v>
      </c>
      <c r="BS78">
        <v>1</v>
      </c>
      <c r="BT78">
        <v>1</v>
      </c>
      <c r="BU78">
        <v>1</v>
      </c>
      <c r="BV78">
        <v>1</v>
      </c>
      <c r="BW78">
        <v>1</v>
      </c>
      <c r="BX78">
        <v>1</v>
      </c>
      <c r="BY78" t="s">
        <v>3</v>
      </c>
      <c r="BZ78">
        <v>0</v>
      </c>
      <c r="CA78">
        <v>0</v>
      </c>
      <c r="CB78" t="s">
        <v>3</v>
      </c>
      <c r="CE78">
        <v>0</v>
      </c>
      <c r="CF78">
        <v>0</v>
      </c>
      <c r="CG78">
        <v>0</v>
      </c>
      <c r="CM78">
        <v>0</v>
      </c>
      <c r="CN78" t="s">
        <v>3</v>
      </c>
      <c r="CO78">
        <v>0</v>
      </c>
      <c r="CP78">
        <f t="shared" si="86"/>
        <v>11481.81</v>
      </c>
      <c r="CQ78">
        <f t="shared" si="87"/>
        <v>120.506</v>
      </c>
      <c r="CR78">
        <f>(((ET78)*BB78-(EU78)*BS78)+AE78*BS78)</f>
        <v>0</v>
      </c>
      <c r="CS78">
        <f t="shared" si="88"/>
        <v>0</v>
      </c>
      <c r="CT78">
        <f t="shared" si="89"/>
        <v>0</v>
      </c>
      <c r="CU78">
        <f t="shared" si="90"/>
        <v>0</v>
      </c>
      <c r="CV78">
        <f t="shared" si="91"/>
        <v>0</v>
      </c>
      <c r="CW78">
        <f t="shared" si="92"/>
        <v>0</v>
      </c>
      <c r="CX78">
        <f t="shared" si="93"/>
        <v>0</v>
      </c>
      <c r="CY78">
        <f t="shared" si="94"/>
        <v>0</v>
      </c>
      <c r="CZ78">
        <f t="shared" si="95"/>
        <v>0</v>
      </c>
      <c r="DC78" t="s">
        <v>3</v>
      </c>
      <c r="DD78" t="s">
        <v>3</v>
      </c>
      <c r="DE78" t="s">
        <v>3</v>
      </c>
      <c r="DF78" t="s">
        <v>3</v>
      </c>
      <c r="DG78" t="s">
        <v>3</v>
      </c>
      <c r="DH78" t="s">
        <v>3</v>
      </c>
      <c r="DI78" t="s">
        <v>3</v>
      </c>
      <c r="DJ78" t="s">
        <v>3</v>
      </c>
      <c r="DK78" t="s">
        <v>3</v>
      </c>
      <c r="DL78" t="s">
        <v>3</v>
      </c>
      <c r="DM78" t="s">
        <v>3</v>
      </c>
      <c r="DN78">
        <v>0</v>
      </c>
      <c r="DO78">
        <v>0</v>
      </c>
      <c r="DP78">
        <v>1</v>
      </c>
      <c r="DQ78">
        <v>1</v>
      </c>
      <c r="DU78">
        <v>1009</v>
      </c>
      <c r="DV78" t="s">
        <v>154</v>
      </c>
      <c r="DW78" t="s">
        <v>154</v>
      </c>
      <c r="DX78">
        <v>1</v>
      </c>
      <c r="DZ78" t="s">
        <v>3</v>
      </c>
      <c r="EA78" t="s">
        <v>3</v>
      </c>
      <c r="EB78" t="s">
        <v>3</v>
      </c>
      <c r="EC78" t="s">
        <v>3</v>
      </c>
      <c r="EE78">
        <v>140625274</v>
      </c>
      <c r="EF78">
        <v>8</v>
      </c>
      <c r="EG78" t="s">
        <v>32</v>
      </c>
      <c r="EH78">
        <v>0</v>
      </c>
      <c r="EI78" t="s">
        <v>3</v>
      </c>
      <c r="EJ78">
        <v>1</v>
      </c>
      <c r="EK78">
        <v>1100</v>
      </c>
      <c r="EL78" t="s">
        <v>33</v>
      </c>
      <c r="EM78" t="s">
        <v>34</v>
      </c>
      <c r="EO78" t="s">
        <v>3</v>
      </c>
      <c r="EQ78">
        <v>0</v>
      </c>
      <c r="ER78">
        <v>13.540000000000001</v>
      </c>
      <c r="ES78">
        <v>13.540000000000001</v>
      </c>
      <c r="ET78">
        <v>0</v>
      </c>
      <c r="EU78">
        <v>0</v>
      </c>
      <c r="EV78">
        <v>0</v>
      </c>
      <c r="EW78">
        <v>0</v>
      </c>
      <c r="EX78">
        <v>0</v>
      </c>
      <c r="EY78">
        <v>0</v>
      </c>
      <c r="EZ78">
        <v>5</v>
      </c>
      <c r="FC78">
        <v>1</v>
      </c>
      <c r="FD78">
        <v>18</v>
      </c>
      <c r="FF78">
        <v>135</v>
      </c>
      <c r="FQ78">
        <v>0</v>
      </c>
      <c r="FR78">
        <f t="shared" si="96"/>
        <v>0</v>
      </c>
      <c r="FS78">
        <v>0</v>
      </c>
      <c r="FX78">
        <v>0</v>
      </c>
      <c r="FY78">
        <v>0</v>
      </c>
      <c r="GA78" t="s">
        <v>185</v>
      </c>
      <c r="GD78">
        <v>1</v>
      </c>
      <c r="GF78">
        <v>-1854833190</v>
      </c>
      <c r="GG78">
        <v>2</v>
      </c>
      <c r="GH78">
        <v>3</v>
      </c>
      <c r="GI78">
        <v>4</v>
      </c>
      <c r="GJ78">
        <v>0</v>
      </c>
      <c r="GK78">
        <v>0</v>
      </c>
      <c r="GL78">
        <f t="shared" si="97"/>
        <v>0</v>
      </c>
      <c r="GM78">
        <f t="shared" si="98"/>
        <v>11481.81</v>
      </c>
      <c r="GN78">
        <f t="shared" si="99"/>
        <v>11481.81</v>
      </c>
      <c r="GO78">
        <f t="shared" si="100"/>
        <v>0</v>
      </c>
      <c r="GP78">
        <f t="shared" si="101"/>
        <v>0</v>
      </c>
      <c r="GR78">
        <v>1</v>
      </c>
      <c r="GS78">
        <v>1</v>
      </c>
      <c r="GT78">
        <v>0</v>
      </c>
      <c r="GU78" t="s">
        <v>3</v>
      </c>
      <c r="GV78">
        <f t="shared" si="102"/>
        <v>0</v>
      </c>
      <c r="GW78">
        <v>1</v>
      </c>
      <c r="GX78">
        <f t="shared" si="103"/>
        <v>0</v>
      </c>
      <c r="HA78">
        <v>0</v>
      </c>
      <c r="HB78">
        <v>0</v>
      </c>
      <c r="HC78">
        <f t="shared" si="104"/>
        <v>0</v>
      </c>
      <c r="HE78" t="s">
        <v>36</v>
      </c>
      <c r="HF78" t="s">
        <v>28</v>
      </c>
      <c r="HM78" t="s">
        <v>3</v>
      </c>
      <c r="HN78" t="s">
        <v>3</v>
      </c>
      <c r="HO78" t="s">
        <v>3</v>
      </c>
      <c r="HP78" t="s">
        <v>3</v>
      </c>
      <c r="HQ78" t="s">
        <v>3</v>
      </c>
      <c r="IK78">
        <v>0</v>
      </c>
    </row>
    <row r="79" spans="1:245" x14ac:dyDescent="0.2">
      <c r="A79">
        <v>17</v>
      </c>
      <c r="B79">
        <v>1</v>
      </c>
      <c r="C79">
        <f>ROW(SmtRes!A120)</f>
        <v>120</v>
      </c>
      <c r="D79">
        <f>ROW(EtalonRes!A132)</f>
        <v>132</v>
      </c>
      <c r="E79" t="s">
        <v>229</v>
      </c>
      <c r="F79" t="s">
        <v>230</v>
      </c>
      <c r="G79" t="s">
        <v>231</v>
      </c>
      <c r="H79" t="s">
        <v>40</v>
      </c>
      <c r="I79">
        <f>ROUND(16/100,9)</f>
        <v>0.16</v>
      </c>
      <c r="J79">
        <v>0</v>
      </c>
      <c r="K79">
        <f>ROUND(16/100,9)</f>
        <v>0.16</v>
      </c>
      <c r="O79">
        <f t="shared" si="72"/>
        <v>1740.03</v>
      </c>
      <c r="P79">
        <f t="shared" si="73"/>
        <v>97.76</v>
      </c>
      <c r="Q79">
        <f t="shared" si="74"/>
        <v>104.92</v>
      </c>
      <c r="R79">
        <f t="shared" si="75"/>
        <v>65.040000000000006</v>
      </c>
      <c r="S79">
        <f t="shared" si="76"/>
        <v>1537.35</v>
      </c>
      <c r="T79">
        <f t="shared" si="77"/>
        <v>0</v>
      </c>
      <c r="U79">
        <f t="shared" si="78"/>
        <v>5.7794400000000001</v>
      </c>
      <c r="V79">
        <f t="shared" si="79"/>
        <v>0.16399999999999998</v>
      </c>
      <c r="W79">
        <f t="shared" si="80"/>
        <v>0</v>
      </c>
      <c r="X79">
        <f t="shared" si="81"/>
        <v>1794.68</v>
      </c>
      <c r="Y79">
        <f t="shared" si="82"/>
        <v>885.32</v>
      </c>
      <c r="AA79">
        <v>145026783</v>
      </c>
      <c r="AB79">
        <f t="shared" si="83"/>
        <v>421.53</v>
      </c>
      <c r="AC79">
        <f t="shared" si="111"/>
        <v>68.650000000000006</v>
      </c>
      <c r="AD79">
        <f>ROUND(((((ET79*1.25))-((EU79*1.25)))+AE79),2)</f>
        <v>52.71</v>
      </c>
      <c r="AE79">
        <f>ROUND(((EU79*1.25)),2)</f>
        <v>12.7</v>
      </c>
      <c r="AF79">
        <f>ROUND(((EV79*1.15)),2)</f>
        <v>300.17</v>
      </c>
      <c r="AG79">
        <f t="shared" si="84"/>
        <v>0</v>
      </c>
      <c r="AH79">
        <f>((EW79*1.15))</f>
        <v>36.121499999999997</v>
      </c>
      <c r="AI79">
        <f>((EX79*1.25))</f>
        <v>1.0249999999999999</v>
      </c>
      <c r="AJ79">
        <f t="shared" si="85"/>
        <v>0</v>
      </c>
      <c r="AK79">
        <v>371.84</v>
      </c>
      <c r="AL79">
        <v>68.650000000000006</v>
      </c>
      <c r="AM79">
        <v>42.17</v>
      </c>
      <c r="AN79">
        <v>10.16</v>
      </c>
      <c r="AO79">
        <v>261.02</v>
      </c>
      <c r="AP79">
        <v>0</v>
      </c>
      <c r="AQ79">
        <v>31.41</v>
      </c>
      <c r="AR79">
        <v>0.82</v>
      </c>
      <c r="AS79">
        <v>0</v>
      </c>
      <c r="AT79">
        <v>112</v>
      </c>
      <c r="AU79">
        <v>55.25</v>
      </c>
      <c r="AV79">
        <v>1</v>
      </c>
      <c r="AW79">
        <v>1</v>
      </c>
      <c r="AZ79">
        <v>1</v>
      </c>
      <c r="BA79">
        <v>32.01</v>
      </c>
      <c r="BB79">
        <v>12.44</v>
      </c>
      <c r="BC79">
        <v>8.9</v>
      </c>
      <c r="BD79" t="s">
        <v>3</v>
      </c>
      <c r="BE79" t="s">
        <v>3</v>
      </c>
      <c r="BF79" t="s">
        <v>3</v>
      </c>
      <c r="BG79" t="s">
        <v>3</v>
      </c>
      <c r="BH79">
        <v>0</v>
      </c>
      <c r="BI79">
        <v>1</v>
      </c>
      <c r="BJ79" t="s">
        <v>232</v>
      </c>
      <c r="BM79">
        <v>11001</v>
      </c>
      <c r="BN79">
        <v>0</v>
      </c>
      <c r="BO79" t="s">
        <v>3</v>
      </c>
      <c r="BP79">
        <v>0</v>
      </c>
      <c r="BQ79">
        <v>2</v>
      </c>
      <c r="BR79">
        <v>0</v>
      </c>
      <c r="BS79">
        <v>32.01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3</v>
      </c>
      <c r="BZ79">
        <v>112</v>
      </c>
      <c r="CA79">
        <v>65</v>
      </c>
      <c r="CB79" t="s">
        <v>3</v>
      </c>
      <c r="CE79">
        <v>0</v>
      </c>
      <c r="CF79">
        <v>0</v>
      </c>
      <c r="CG79">
        <v>0</v>
      </c>
      <c r="CM79">
        <v>0</v>
      </c>
      <c r="CN79" t="s">
        <v>160</v>
      </c>
      <c r="CO79">
        <v>0</v>
      </c>
      <c r="CP79">
        <f t="shared" si="86"/>
        <v>1740.03</v>
      </c>
      <c r="CQ79">
        <f t="shared" si="87"/>
        <v>610.98500000000013</v>
      </c>
      <c r="CR79">
        <f>((((ET79*1.25))*BB79-((EU79*1.25))*BS79)+AE79*BS79)</f>
        <v>655.74350000000004</v>
      </c>
      <c r="CS79">
        <f t="shared" si="88"/>
        <v>406.52699999999993</v>
      </c>
      <c r="CT79">
        <f t="shared" si="89"/>
        <v>9608.4416999999994</v>
      </c>
      <c r="CU79">
        <f t="shared" si="90"/>
        <v>0</v>
      </c>
      <c r="CV79">
        <f t="shared" si="91"/>
        <v>36.121499999999997</v>
      </c>
      <c r="CW79">
        <f t="shared" si="92"/>
        <v>1.0249999999999999</v>
      </c>
      <c r="CX79">
        <f t="shared" si="93"/>
        <v>0</v>
      </c>
      <c r="CY79">
        <f t="shared" si="94"/>
        <v>1794.6768</v>
      </c>
      <c r="CZ79">
        <f t="shared" si="95"/>
        <v>885.32047499999987</v>
      </c>
      <c r="DC79" t="s">
        <v>3</v>
      </c>
      <c r="DD79" t="s">
        <v>3</v>
      </c>
      <c r="DE79" t="s">
        <v>148</v>
      </c>
      <c r="DF79" t="s">
        <v>148</v>
      </c>
      <c r="DG79" t="s">
        <v>149</v>
      </c>
      <c r="DH79" t="s">
        <v>3</v>
      </c>
      <c r="DI79" t="s">
        <v>149</v>
      </c>
      <c r="DJ79" t="s">
        <v>148</v>
      </c>
      <c r="DK79" t="s">
        <v>3</v>
      </c>
      <c r="DL79" t="s">
        <v>3</v>
      </c>
      <c r="DM79" t="s">
        <v>150</v>
      </c>
      <c r="DN79">
        <v>0</v>
      </c>
      <c r="DO79">
        <v>0</v>
      </c>
      <c r="DP79">
        <v>1</v>
      </c>
      <c r="DQ79">
        <v>1</v>
      </c>
      <c r="DU79">
        <v>1005</v>
      </c>
      <c r="DV79" t="s">
        <v>40</v>
      </c>
      <c r="DW79" t="s">
        <v>40</v>
      </c>
      <c r="DX79">
        <v>100</v>
      </c>
      <c r="DZ79" t="s">
        <v>3</v>
      </c>
      <c r="EA79" t="s">
        <v>3</v>
      </c>
      <c r="EB79" t="s">
        <v>3</v>
      </c>
      <c r="EC79" t="s">
        <v>3</v>
      </c>
      <c r="EE79">
        <v>140625030</v>
      </c>
      <c r="EF79">
        <v>2</v>
      </c>
      <c r="EG79" t="s">
        <v>95</v>
      </c>
      <c r="EH79">
        <v>11</v>
      </c>
      <c r="EI79" t="s">
        <v>42</v>
      </c>
      <c r="EJ79">
        <v>1</v>
      </c>
      <c r="EK79">
        <v>11001</v>
      </c>
      <c r="EL79" t="s">
        <v>42</v>
      </c>
      <c r="EM79" t="s">
        <v>161</v>
      </c>
      <c r="EO79" t="s">
        <v>162</v>
      </c>
      <c r="EQ79">
        <v>0</v>
      </c>
      <c r="ER79">
        <v>371.84</v>
      </c>
      <c r="ES79">
        <v>68.650000000000006</v>
      </c>
      <c r="ET79">
        <v>42.17</v>
      </c>
      <c r="EU79">
        <v>10.16</v>
      </c>
      <c r="EV79">
        <v>261.02</v>
      </c>
      <c r="EW79">
        <v>31.41</v>
      </c>
      <c r="EX79">
        <v>0.82</v>
      </c>
      <c r="EY79">
        <v>0</v>
      </c>
      <c r="FQ79">
        <v>0</v>
      </c>
      <c r="FR79">
        <f t="shared" si="96"/>
        <v>0</v>
      </c>
      <c r="FS79">
        <v>0</v>
      </c>
      <c r="FX79">
        <v>112</v>
      </c>
      <c r="FY79">
        <v>55.25</v>
      </c>
      <c r="GA79" t="s">
        <v>3</v>
      </c>
      <c r="GD79">
        <v>1</v>
      </c>
      <c r="GF79">
        <v>124693631</v>
      </c>
      <c r="GG79">
        <v>2</v>
      </c>
      <c r="GH79">
        <v>1</v>
      </c>
      <c r="GI79">
        <v>4</v>
      </c>
      <c r="GJ79">
        <v>0</v>
      </c>
      <c r="GK79">
        <v>0</v>
      </c>
      <c r="GL79">
        <f t="shared" si="97"/>
        <v>0</v>
      </c>
      <c r="GM79">
        <f t="shared" si="98"/>
        <v>4420.03</v>
      </c>
      <c r="GN79">
        <f t="shared" si="99"/>
        <v>4420.03</v>
      </c>
      <c r="GO79">
        <f t="shared" si="100"/>
        <v>0</v>
      </c>
      <c r="GP79">
        <f t="shared" si="101"/>
        <v>0</v>
      </c>
      <c r="GR79">
        <v>0</v>
      </c>
      <c r="GS79">
        <v>3</v>
      </c>
      <c r="GT79">
        <v>0</v>
      </c>
      <c r="GU79" t="s">
        <v>3</v>
      </c>
      <c r="GV79">
        <f t="shared" si="102"/>
        <v>0</v>
      </c>
      <c r="GW79">
        <v>1</v>
      </c>
      <c r="GX79">
        <f t="shared" si="103"/>
        <v>0</v>
      </c>
      <c r="HA79">
        <v>0</v>
      </c>
      <c r="HB79">
        <v>0</v>
      </c>
      <c r="HC79">
        <f t="shared" si="104"/>
        <v>0</v>
      </c>
      <c r="HE79" t="s">
        <v>3</v>
      </c>
      <c r="HF79" t="s">
        <v>3</v>
      </c>
      <c r="HM79" t="s">
        <v>3</v>
      </c>
      <c r="HN79" t="s">
        <v>163</v>
      </c>
      <c r="HO79" t="s">
        <v>164</v>
      </c>
      <c r="HP79" t="s">
        <v>42</v>
      </c>
      <c r="HQ79" t="s">
        <v>42</v>
      </c>
      <c r="IK79">
        <v>0</v>
      </c>
    </row>
    <row r="80" spans="1:245" x14ac:dyDescent="0.2">
      <c r="A80">
        <v>17</v>
      </c>
      <c r="B80">
        <v>1</v>
      </c>
      <c r="E80" t="s">
        <v>233</v>
      </c>
      <c r="F80" t="s">
        <v>29</v>
      </c>
      <c r="G80" t="s">
        <v>234</v>
      </c>
      <c r="H80" t="s">
        <v>72</v>
      </c>
      <c r="I80">
        <f>ROUND(102*I79,9)</f>
        <v>16.32</v>
      </c>
      <c r="J80">
        <v>0</v>
      </c>
      <c r="K80">
        <f>ROUND(102*I79,9)</f>
        <v>16.32</v>
      </c>
      <c r="O80">
        <f t="shared" si="72"/>
        <v>7676.36</v>
      </c>
      <c r="P80">
        <f t="shared" si="73"/>
        <v>7676.36</v>
      </c>
      <c r="Q80">
        <f t="shared" si="74"/>
        <v>0</v>
      </c>
      <c r="R80">
        <f t="shared" si="75"/>
        <v>0</v>
      </c>
      <c r="S80">
        <f t="shared" si="76"/>
        <v>0</v>
      </c>
      <c r="T80">
        <f t="shared" si="77"/>
        <v>0</v>
      </c>
      <c r="U80">
        <f t="shared" si="78"/>
        <v>0</v>
      </c>
      <c r="V80">
        <f t="shared" si="79"/>
        <v>0</v>
      </c>
      <c r="W80">
        <f t="shared" si="80"/>
        <v>0</v>
      </c>
      <c r="X80">
        <f t="shared" si="81"/>
        <v>0</v>
      </c>
      <c r="Y80">
        <f t="shared" si="82"/>
        <v>0</v>
      </c>
      <c r="AA80">
        <v>145026783</v>
      </c>
      <c r="AB80">
        <f t="shared" si="83"/>
        <v>52.85</v>
      </c>
      <c r="AC80">
        <f t="shared" si="111"/>
        <v>52.85</v>
      </c>
      <c r="AD80">
        <f>ROUND((((ET80)-(EU80))+AE80),2)</f>
        <v>0</v>
      </c>
      <c r="AE80">
        <f>ROUND((EU80),2)</f>
        <v>0</v>
      </c>
      <c r="AF80">
        <f>ROUND((EV80),2)</f>
        <v>0</v>
      </c>
      <c r="AG80">
        <f t="shared" si="84"/>
        <v>0</v>
      </c>
      <c r="AH80">
        <f>(EW80)</f>
        <v>0</v>
      </c>
      <c r="AI80">
        <f>(EX80)</f>
        <v>0</v>
      </c>
      <c r="AJ80">
        <f t="shared" si="85"/>
        <v>0</v>
      </c>
      <c r="AK80">
        <v>52.85</v>
      </c>
      <c r="AL80">
        <v>52.85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1</v>
      </c>
      <c r="AW80">
        <v>1</v>
      </c>
      <c r="AZ80">
        <v>1</v>
      </c>
      <c r="BA80">
        <v>1</v>
      </c>
      <c r="BB80">
        <v>1</v>
      </c>
      <c r="BC80">
        <v>8.9</v>
      </c>
      <c r="BD80" t="s">
        <v>3</v>
      </c>
      <c r="BE80" t="s">
        <v>3</v>
      </c>
      <c r="BF80" t="s">
        <v>3</v>
      </c>
      <c r="BG80" t="s">
        <v>3</v>
      </c>
      <c r="BH80">
        <v>3</v>
      </c>
      <c r="BI80">
        <v>1</v>
      </c>
      <c r="BJ80" t="s">
        <v>3</v>
      </c>
      <c r="BM80">
        <v>1100</v>
      </c>
      <c r="BN80">
        <v>0</v>
      </c>
      <c r="BO80" t="s">
        <v>3</v>
      </c>
      <c r="BP80">
        <v>0</v>
      </c>
      <c r="BQ80">
        <v>8</v>
      </c>
      <c r="BR80">
        <v>0</v>
      </c>
      <c r="BS80">
        <v>1</v>
      </c>
      <c r="BT80">
        <v>1</v>
      </c>
      <c r="BU80">
        <v>1</v>
      </c>
      <c r="BV80">
        <v>1</v>
      </c>
      <c r="BW80">
        <v>1</v>
      </c>
      <c r="BX80">
        <v>1</v>
      </c>
      <c r="BY80" t="s">
        <v>3</v>
      </c>
      <c r="BZ80">
        <v>0</v>
      </c>
      <c r="CA80">
        <v>0</v>
      </c>
      <c r="CB80" t="s">
        <v>3</v>
      </c>
      <c r="CE80">
        <v>0</v>
      </c>
      <c r="CF80">
        <v>0</v>
      </c>
      <c r="CG80">
        <v>0</v>
      </c>
      <c r="CM80">
        <v>0</v>
      </c>
      <c r="CN80" t="s">
        <v>3</v>
      </c>
      <c r="CO80">
        <v>0</v>
      </c>
      <c r="CP80">
        <f t="shared" si="86"/>
        <v>7676.36</v>
      </c>
      <c r="CQ80">
        <f t="shared" si="87"/>
        <v>470.36500000000001</v>
      </c>
      <c r="CR80">
        <f>(((ET80)*BB80-(EU80)*BS80)+AE80*BS80)</f>
        <v>0</v>
      </c>
      <c r="CS80">
        <f t="shared" si="88"/>
        <v>0</v>
      </c>
      <c r="CT80">
        <f t="shared" si="89"/>
        <v>0</v>
      </c>
      <c r="CU80">
        <f t="shared" si="90"/>
        <v>0</v>
      </c>
      <c r="CV80">
        <f t="shared" si="91"/>
        <v>0</v>
      </c>
      <c r="CW80">
        <f t="shared" si="92"/>
        <v>0</v>
      </c>
      <c r="CX80">
        <f t="shared" si="93"/>
        <v>0</v>
      </c>
      <c r="CY80">
        <f t="shared" si="94"/>
        <v>0</v>
      </c>
      <c r="CZ80">
        <f t="shared" si="95"/>
        <v>0</v>
      </c>
      <c r="DC80" t="s">
        <v>3</v>
      </c>
      <c r="DD80" t="s">
        <v>3</v>
      </c>
      <c r="DE80" t="s">
        <v>3</v>
      </c>
      <c r="DF80" t="s">
        <v>3</v>
      </c>
      <c r="DG80" t="s">
        <v>3</v>
      </c>
      <c r="DH80" t="s">
        <v>3</v>
      </c>
      <c r="DI80" t="s">
        <v>3</v>
      </c>
      <c r="DJ80" t="s">
        <v>3</v>
      </c>
      <c r="DK80" t="s">
        <v>3</v>
      </c>
      <c r="DL80" t="s">
        <v>3</v>
      </c>
      <c r="DM80" t="s">
        <v>3</v>
      </c>
      <c r="DN80">
        <v>0</v>
      </c>
      <c r="DO80">
        <v>0</v>
      </c>
      <c r="DP80">
        <v>1</v>
      </c>
      <c r="DQ80">
        <v>1</v>
      </c>
      <c r="DU80">
        <v>1005</v>
      </c>
      <c r="DV80" t="s">
        <v>72</v>
      </c>
      <c r="DW80" t="s">
        <v>72</v>
      </c>
      <c r="DX80">
        <v>1</v>
      </c>
      <c r="DZ80" t="s">
        <v>3</v>
      </c>
      <c r="EA80" t="s">
        <v>3</v>
      </c>
      <c r="EB80" t="s">
        <v>3</v>
      </c>
      <c r="EC80" t="s">
        <v>3</v>
      </c>
      <c r="EE80">
        <v>140625274</v>
      </c>
      <c r="EF80">
        <v>8</v>
      </c>
      <c r="EG80" t="s">
        <v>32</v>
      </c>
      <c r="EH80">
        <v>0</v>
      </c>
      <c r="EI80" t="s">
        <v>3</v>
      </c>
      <c r="EJ80">
        <v>1</v>
      </c>
      <c r="EK80">
        <v>1100</v>
      </c>
      <c r="EL80" t="s">
        <v>33</v>
      </c>
      <c r="EM80" t="s">
        <v>34</v>
      </c>
      <c r="EO80" t="s">
        <v>3</v>
      </c>
      <c r="EQ80">
        <v>0</v>
      </c>
      <c r="ER80">
        <v>53.749999999999993</v>
      </c>
      <c r="ES80">
        <v>52.85</v>
      </c>
      <c r="ET80">
        <v>0</v>
      </c>
      <c r="EU80">
        <v>0</v>
      </c>
      <c r="EV80">
        <v>0</v>
      </c>
      <c r="EW80">
        <v>0</v>
      </c>
      <c r="EX80">
        <v>0</v>
      </c>
      <c r="EY80">
        <v>0</v>
      </c>
      <c r="EZ80">
        <v>5</v>
      </c>
      <c r="FC80">
        <v>1</v>
      </c>
      <c r="FD80">
        <v>18</v>
      </c>
      <c r="FF80">
        <v>527</v>
      </c>
      <c r="FQ80">
        <v>0</v>
      </c>
      <c r="FR80">
        <f t="shared" si="96"/>
        <v>0</v>
      </c>
      <c r="FS80">
        <v>0</v>
      </c>
      <c r="FX80">
        <v>0</v>
      </c>
      <c r="FY80">
        <v>0</v>
      </c>
      <c r="GA80" t="s">
        <v>235</v>
      </c>
      <c r="GD80">
        <v>1</v>
      </c>
      <c r="GF80">
        <v>1662157186</v>
      </c>
      <c r="GG80">
        <v>2</v>
      </c>
      <c r="GH80">
        <v>3</v>
      </c>
      <c r="GI80">
        <v>4</v>
      </c>
      <c r="GJ80">
        <v>0</v>
      </c>
      <c r="GK80">
        <v>0</v>
      </c>
      <c r="GL80">
        <f t="shared" si="97"/>
        <v>0</v>
      </c>
      <c r="GM80">
        <f t="shared" si="98"/>
        <v>7676.36</v>
      </c>
      <c r="GN80">
        <f t="shared" si="99"/>
        <v>7676.36</v>
      </c>
      <c r="GO80">
        <f t="shared" si="100"/>
        <v>0</v>
      </c>
      <c r="GP80">
        <f t="shared" si="101"/>
        <v>0</v>
      </c>
      <c r="GR80">
        <v>1</v>
      </c>
      <c r="GS80">
        <v>1</v>
      </c>
      <c r="GT80">
        <v>0</v>
      </c>
      <c r="GU80" t="s">
        <v>3</v>
      </c>
      <c r="GV80">
        <f t="shared" si="102"/>
        <v>0</v>
      </c>
      <c r="GW80">
        <v>1</v>
      </c>
      <c r="GX80">
        <f t="shared" si="103"/>
        <v>0</v>
      </c>
      <c r="HA80">
        <v>0</v>
      </c>
      <c r="HB80">
        <v>0</v>
      </c>
      <c r="HC80">
        <f t="shared" si="104"/>
        <v>0</v>
      </c>
      <c r="HE80" t="s">
        <v>36</v>
      </c>
      <c r="HF80" t="s">
        <v>28</v>
      </c>
      <c r="HM80" t="s">
        <v>3</v>
      </c>
      <c r="HN80" t="s">
        <v>3</v>
      </c>
      <c r="HO80" t="s">
        <v>3</v>
      </c>
      <c r="HP80" t="s">
        <v>3</v>
      </c>
      <c r="HQ80" t="s">
        <v>3</v>
      </c>
      <c r="IK80">
        <v>0</v>
      </c>
    </row>
    <row r="81" spans="1:245" x14ac:dyDescent="0.2">
      <c r="A81">
        <v>17</v>
      </c>
      <c r="B81">
        <v>1</v>
      </c>
      <c r="C81">
        <f>ROW(SmtRes!A131)</f>
        <v>131</v>
      </c>
      <c r="D81">
        <f>ROW(EtalonRes!A144)</f>
        <v>144</v>
      </c>
      <c r="E81" t="s">
        <v>236</v>
      </c>
      <c r="F81" t="s">
        <v>237</v>
      </c>
      <c r="G81" t="s">
        <v>238</v>
      </c>
      <c r="H81" t="s">
        <v>53</v>
      </c>
      <c r="I81">
        <f>ROUND(143.2/100,9)</f>
        <v>1.4319999999999999</v>
      </c>
      <c r="J81">
        <v>0</v>
      </c>
      <c r="K81">
        <f>ROUND(143.2/100,9)</f>
        <v>1.4319999999999999</v>
      </c>
      <c r="O81">
        <f t="shared" si="72"/>
        <v>5228.1000000000004</v>
      </c>
      <c r="P81">
        <f t="shared" si="73"/>
        <v>1947.92</v>
      </c>
      <c r="Q81">
        <f t="shared" si="74"/>
        <v>47.66</v>
      </c>
      <c r="R81">
        <f t="shared" si="75"/>
        <v>24.29</v>
      </c>
      <c r="S81">
        <f t="shared" si="76"/>
        <v>3232.52</v>
      </c>
      <c r="T81">
        <f t="shared" si="77"/>
        <v>0</v>
      </c>
      <c r="U81">
        <f t="shared" si="78"/>
        <v>11.000623999999998</v>
      </c>
      <c r="V81">
        <f t="shared" si="79"/>
        <v>7.1599999999999997E-2</v>
      </c>
      <c r="W81">
        <f t="shared" si="80"/>
        <v>0</v>
      </c>
      <c r="X81">
        <f t="shared" si="81"/>
        <v>3647.63</v>
      </c>
      <c r="Y81">
        <f t="shared" si="82"/>
        <v>1799.39</v>
      </c>
      <c r="AA81">
        <v>145026783</v>
      </c>
      <c r="AB81">
        <f t="shared" si="83"/>
        <v>226.03</v>
      </c>
      <c r="AC81">
        <f t="shared" si="111"/>
        <v>152.84</v>
      </c>
      <c r="AD81">
        <f>ROUND(((((ET81*1.25))-((EU81*1.25)))+AE81),2)</f>
        <v>2.67</v>
      </c>
      <c r="AE81">
        <f>ROUND(((EU81*1.25)),2)</f>
        <v>0.53</v>
      </c>
      <c r="AF81">
        <f>ROUND(((EV81*1.15)),2)</f>
        <v>70.52</v>
      </c>
      <c r="AG81">
        <f t="shared" si="84"/>
        <v>0</v>
      </c>
      <c r="AH81">
        <f>((EW81*1.15))</f>
        <v>7.6819999999999995</v>
      </c>
      <c r="AI81">
        <f>((EX81*1.25))</f>
        <v>0.05</v>
      </c>
      <c r="AJ81">
        <f t="shared" si="85"/>
        <v>0</v>
      </c>
      <c r="AK81">
        <v>216.29</v>
      </c>
      <c r="AL81">
        <v>152.84</v>
      </c>
      <c r="AM81">
        <v>2.13</v>
      </c>
      <c r="AN81">
        <v>0.42</v>
      </c>
      <c r="AO81">
        <v>61.32</v>
      </c>
      <c r="AP81">
        <v>0</v>
      </c>
      <c r="AQ81">
        <v>6.68</v>
      </c>
      <c r="AR81">
        <v>0.04</v>
      </c>
      <c r="AS81">
        <v>0</v>
      </c>
      <c r="AT81">
        <v>112</v>
      </c>
      <c r="AU81">
        <v>55.25</v>
      </c>
      <c r="AV81">
        <v>1</v>
      </c>
      <c r="AW81">
        <v>1</v>
      </c>
      <c r="AZ81">
        <v>1</v>
      </c>
      <c r="BA81">
        <v>32.01</v>
      </c>
      <c r="BB81">
        <v>12.44</v>
      </c>
      <c r="BC81">
        <v>8.9</v>
      </c>
      <c r="BD81" t="s">
        <v>3</v>
      </c>
      <c r="BE81" t="s">
        <v>3</v>
      </c>
      <c r="BF81" t="s">
        <v>3</v>
      </c>
      <c r="BG81" t="s">
        <v>3</v>
      </c>
      <c r="BH81">
        <v>0</v>
      </c>
      <c r="BI81">
        <v>1</v>
      </c>
      <c r="BJ81" t="s">
        <v>239</v>
      </c>
      <c r="BM81">
        <v>11001</v>
      </c>
      <c r="BN81">
        <v>0</v>
      </c>
      <c r="BO81" t="s">
        <v>3</v>
      </c>
      <c r="BP81">
        <v>0</v>
      </c>
      <c r="BQ81">
        <v>2</v>
      </c>
      <c r="BR81">
        <v>0</v>
      </c>
      <c r="BS81">
        <v>32.01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3</v>
      </c>
      <c r="BZ81">
        <v>112</v>
      </c>
      <c r="CA81">
        <v>65</v>
      </c>
      <c r="CB81" t="s">
        <v>3</v>
      </c>
      <c r="CE81">
        <v>0</v>
      </c>
      <c r="CF81">
        <v>0</v>
      </c>
      <c r="CG81">
        <v>0</v>
      </c>
      <c r="CM81">
        <v>0</v>
      </c>
      <c r="CN81" t="s">
        <v>160</v>
      </c>
      <c r="CO81">
        <v>0</v>
      </c>
      <c r="CP81">
        <f t="shared" si="86"/>
        <v>5228.1000000000004</v>
      </c>
      <c r="CQ81">
        <f t="shared" si="87"/>
        <v>1360.2760000000001</v>
      </c>
      <c r="CR81">
        <f>((((ET81*1.25))*BB81-((EU81*1.25))*BS81)+AE81*BS81)</f>
        <v>33.281549999999996</v>
      </c>
      <c r="CS81">
        <f t="shared" si="88"/>
        <v>16.965299999999999</v>
      </c>
      <c r="CT81">
        <f t="shared" si="89"/>
        <v>2257.3451999999997</v>
      </c>
      <c r="CU81">
        <f t="shared" si="90"/>
        <v>0</v>
      </c>
      <c r="CV81">
        <f t="shared" si="91"/>
        <v>7.6819999999999995</v>
      </c>
      <c r="CW81">
        <f t="shared" si="92"/>
        <v>0.05</v>
      </c>
      <c r="CX81">
        <f t="shared" si="93"/>
        <v>0</v>
      </c>
      <c r="CY81">
        <f t="shared" si="94"/>
        <v>3647.6271999999999</v>
      </c>
      <c r="CZ81">
        <f t="shared" si="95"/>
        <v>1799.3875250000001</v>
      </c>
      <c r="DC81" t="s">
        <v>3</v>
      </c>
      <c r="DD81" t="s">
        <v>3</v>
      </c>
      <c r="DE81" t="s">
        <v>148</v>
      </c>
      <c r="DF81" t="s">
        <v>148</v>
      </c>
      <c r="DG81" t="s">
        <v>149</v>
      </c>
      <c r="DH81" t="s">
        <v>3</v>
      </c>
      <c r="DI81" t="s">
        <v>149</v>
      </c>
      <c r="DJ81" t="s">
        <v>148</v>
      </c>
      <c r="DK81" t="s">
        <v>3</v>
      </c>
      <c r="DL81" t="s">
        <v>3</v>
      </c>
      <c r="DM81" t="s">
        <v>150</v>
      </c>
      <c r="DN81">
        <v>0</v>
      </c>
      <c r="DO81">
        <v>0</v>
      </c>
      <c r="DP81">
        <v>1</v>
      </c>
      <c r="DQ81">
        <v>1</v>
      </c>
      <c r="DU81">
        <v>1003</v>
      </c>
      <c r="DV81" t="s">
        <v>53</v>
      </c>
      <c r="DW81" t="s">
        <v>53</v>
      </c>
      <c r="DX81">
        <v>100</v>
      </c>
      <c r="DZ81" t="s">
        <v>3</v>
      </c>
      <c r="EA81" t="s">
        <v>3</v>
      </c>
      <c r="EB81" t="s">
        <v>3</v>
      </c>
      <c r="EC81" t="s">
        <v>3</v>
      </c>
      <c r="EE81">
        <v>140625030</v>
      </c>
      <c r="EF81">
        <v>2</v>
      </c>
      <c r="EG81" t="s">
        <v>95</v>
      </c>
      <c r="EH81">
        <v>11</v>
      </c>
      <c r="EI81" t="s">
        <v>42</v>
      </c>
      <c r="EJ81">
        <v>1</v>
      </c>
      <c r="EK81">
        <v>11001</v>
      </c>
      <c r="EL81" t="s">
        <v>42</v>
      </c>
      <c r="EM81" t="s">
        <v>161</v>
      </c>
      <c r="EO81" t="s">
        <v>162</v>
      </c>
      <c r="EQ81">
        <v>2097152</v>
      </c>
      <c r="ER81">
        <v>216.29</v>
      </c>
      <c r="ES81">
        <v>152.84</v>
      </c>
      <c r="ET81">
        <v>2.13</v>
      </c>
      <c r="EU81">
        <v>0.42</v>
      </c>
      <c r="EV81">
        <v>61.32</v>
      </c>
      <c r="EW81">
        <v>6.68</v>
      </c>
      <c r="EX81">
        <v>0.04</v>
      </c>
      <c r="EY81">
        <v>0</v>
      </c>
      <c r="FQ81">
        <v>0</v>
      </c>
      <c r="FR81">
        <f t="shared" si="96"/>
        <v>0</v>
      </c>
      <c r="FS81">
        <v>0</v>
      </c>
      <c r="FX81">
        <v>112</v>
      </c>
      <c r="FY81">
        <v>55.25</v>
      </c>
      <c r="GA81" t="s">
        <v>3</v>
      </c>
      <c r="GD81">
        <v>1</v>
      </c>
      <c r="GF81">
        <v>110902991</v>
      </c>
      <c r="GG81">
        <v>2</v>
      </c>
      <c r="GH81">
        <v>1</v>
      </c>
      <c r="GI81">
        <v>4</v>
      </c>
      <c r="GJ81">
        <v>0</v>
      </c>
      <c r="GK81">
        <v>0</v>
      </c>
      <c r="GL81">
        <f t="shared" si="97"/>
        <v>0</v>
      </c>
      <c r="GM81">
        <f t="shared" si="98"/>
        <v>10675.12</v>
      </c>
      <c r="GN81">
        <f t="shared" si="99"/>
        <v>10675.12</v>
      </c>
      <c r="GO81">
        <f t="shared" si="100"/>
        <v>0</v>
      </c>
      <c r="GP81">
        <f t="shared" si="101"/>
        <v>0</v>
      </c>
      <c r="GR81">
        <v>0</v>
      </c>
      <c r="GS81">
        <v>3</v>
      </c>
      <c r="GT81">
        <v>0</v>
      </c>
      <c r="GU81" t="s">
        <v>3</v>
      </c>
      <c r="GV81">
        <f t="shared" si="102"/>
        <v>0</v>
      </c>
      <c r="GW81">
        <v>1</v>
      </c>
      <c r="GX81">
        <f t="shared" si="103"/>
        <v>0</v>
      </c>
      <c r="HA81">
        <v>0</v>
      </c>
      <c r="HB81">
        <v>0</v>
      </c>
      <c r="HC81">
        <f t="shared" si="104"/>
        <v>0</v>
      </c>
      <c r="HE81" t="s">
        <v>3</v>
      </c>
      <c r="HF81" t="s">
        <v>3</v>
      </c>
      <c r="HM81" t="s">
        <v>3</v>
      </c>
      <c r="HN81" t="s">
        <v>163</v>
      </c>
      <c r="HO81" t="s">
        <v>164</v>
      </c>
      <c r="HP81" t="s">
        <v>42</v>
      </c>
      <c r="HQ81" t="s">
        <v>42</v>
      </c>
      <c r="IK81">
        <v>0</v>
      </c>
    </row>
    <row r="82" spans="1:245" x14ac:dyDescent="0.2">
      <c r="A82">
        <v>18</v>
      </c>
      <c r="B82">
        <v>1</v>
      </c>
      <c r="C82">
        <v>127</v>
      </c>
      <c r="E82" t="s">
        <v>240</v>
      </c>
      <c r="F82" t="s">
        <v>241</v>
      </c>
      <c r="G82" t="s">
        <v>242</v>
      </c>
      <c r="H82" t="s">
        <v>21</v>
      </c>
      <c r="I82">
        <f>I81*J82</f>
        <v>-0.11456</v>
      </c>
      <c r="J82">
        <v>-0.08</v>
      </c>
      <c r="K82">
        <v>-0.08</v>
      </c>
      <c r="O82">
        <f t="shared" si="72"/>
        <v>-64.23</v>
      </c>
      <c r="P82">
        <f t="shared" si="73"/>
        <v>-64.23</v>
      </c>
      <c r="Q82">
        <f t="shared" si="74"/>
        <v>0</v>
      </c>
      <c r="R82">
        <f t="shared" si="75"/>
        <v>0</v>
      </c>
      <c r="S82">
        <f t="shared" si="76"/>
        <v>0</v>
      </c>
      <c r="T82">
        <f t="shared" si="77"/>
        <v>0</v>
      </c>
      <c r="U82">
        <f t="shared" si="78"/>
        <v>0</v>
      </c>
      <c r="V82">
        <f t="shared" si="79"/>
        <v>0</v>
      </c>
      <c r="W82">
        <f t="shared" si="80"/>
        <v>0</v>
      </c>
      <c r="X82">
        <f t="shared" si="81"/>
        <v>0</v>
      </c>
      <c r="Y82">
        <f t="shared" si="82"/>
        <v>0</v>
      </c>
      <c r="AA82">
        <v>145026783</v>
      </c>
      <c r="AB82">
        <f t="shared" si="83"/>
        <v>63</v>
      </c>
      <c r="AC82">
        <f t="shared" si="111"/>
        <v>63</v>
      </c>
      <c r="AD82">
        <f t="shared" ref="AD82:AD88" si="114">ROUND((((ET82)-(EU82))+AE82),2)</f>
        <v>0</v>
      </c>
      <c r="AE82">
        <f t="shared" ref="AE82:AF88" si="115">ROUND((EU82),2)</f>
        <v>0</v>
      </c>
      <c r="AF82">
        <f t="shared" si="115"/>
        <v>0</v>
      </c>
      <c r="AG82">
        <f t="shared" si="84"/>
        <v>0</v>
      </c>
      <c r="AH82">
        <f t="shared" ref="AH82:AI88" si="116">(EW82)</f>
        <v>0</v>
      </c>
      <c r="AI82">
        <f t="shared" si="116"/>
        <v>0</v>
      </c>
      <c r="AJ82">
        <f t="shared" si="85"/>
        <v>0</v>
      </c>
      <c r="AK82">
        <v>63</v>
      </c>
      <c r="AL82">
        <v>63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112</v>
      </c>
      <c r="AU82">
        <v>65</v>
      </c>
      <c r="AV82">
        <v>1</v>
      </c>
      <c r="AW82">
        <v>1</v>
      </c>
      <c r="AZ82">
        <v>1</v>
      </c>
      <c r="BA82">
        <v>1</v>
      </c>
      <c r="BB82">
        <v>1</v>
      </c>
      <c r="BC82">
        <v>8.9</v>
      </c>
      <c r="BD82" t="s">
        <v>3</v>
      </c>
      <c r="BE82" t="s">
        <v>3</v>
      </c>
      <c r="BF82" t="s">
        <v>3</v>
      </c>
      <c r="BG82" t="s">
        <v>3</v>
      </c>
      <c r="BH82">
        <v>3</v>
      </c>
      <c r="BI82">
        <v>1</v>
      </c>
      <c r="BJ82" t="s">
        <v>243</v>
      </c>
      <c r="BM82">
        <v>11001</v>
      </c>
      <c r="BN82">
        <v>0</v>
      </c>
      <c r="BO82" t="s">
        <v>3</v>
      </c>
      <c r="BP82">
        <v>0</v>
      </c>
      <c r="BQ82">
        <v>2</v>
      </c>
      <c r="BR82">
        <v>1</v>
      </c>
      <c r="BS82">
        <v>1</v>
      </c>
      <c r="BT82">
        <v>1</v>
      </c>
      <c r="BU82">
        <v>1</v>
      </c>
      <c r="BV82">
        <v>1</v>
      </c>
      <c r="BW82">
        <v>1</v>
      </c>
      <c r="BX82">
        <v>1</v>
      </c>
      <c r="BY82" t="s">
        <v>3</v>
      </c>
      <c r="BZ82">
        <v>112</v>
      </c>
      <c r="CA82">
        <v>65</v>
      </c>
      <c r="CB82" t="s">
        <v>3</v>
      </c>
      <c r="CE82">
        <v>0</v>
      </c>
      <c r="CF82">
        <v>0</v>
      </c>
      <c r="CG82">
        <v>0</v>
      </c>
      <c r="CM82">
        <v>0</v>
      </c>
      <c r="CN82" t="s">
        <v>3</v>
      </c>
      <c r="CO82">
        <v>0</v>
      </c>
      <c r="CP82">
        <f t="shared" si="86"/>
        <v>-64.23</v>
      </c>
      <c r="CQ82">
        <f t="shared" si="87"/>
        <v>560.70000000000005</v>
      </c>
      <c r="CR82">
        <f t="shared" ref="CR82:CR88" si="117">(((ET82)*BB82-(EU82)*BS82)+AE82*BS82)</f>
        <v>0</v>
      </c>
      <c r="CS82">
        <f t="shared" si="88"/>
        <v>0</v>
      </c>
      <c r="CT82">
        <f t="shared" si="89"/>
        <v>0</v>
      </c>
      <c r="CU82">
        <f t="shared" si="90"/>
        <v>0</v>
      </c>
      <c r="CV82">
        <f t="shared" si="91"/>
        <v>0</v>
      </c>
      <c r="CW82">
        <f t="shared" si="92"/>
        <v>0</v>
      </c>
      <c r="CX82">
        <f t="shared" si="93"/>
        <v>0</v>
      </c>
      <c r="CY82">
        <f t="shared" si="94"/>
        <v>0</v>
      </c>
      <c r="CZ82">
        <f t="shared" si="95"/>
        <v>0</v>
      </c>
      <c r="DC82" t="s">
        <v>3</v>
      </c>
      <c r="DD82" t="s">
        <v>3</v>
      </c>
      <c r="DE82" t="s">
        <v>3</v>
      </c>
      <c r="DF82" t="s">
        <v>3</v>
      </c>
      <c r="DG82" t="s">
        <v>3</v>
      </c>
      <c r="DH82" t="s">
        <v>3</v>
      </c>
      <c r="DI82" t="s">
        <v>3</v>
      </c>
      <c r="DJ82" t="s">
        <v>3</v>
      </c>
      <c r="DK82" t="s">
        <v>3</v>
      </c>
      <c r="DL82" t="s">
        <v>3</v>
      </c>
      <c r="DM82" t="s">
        <v>3</v>
      </c>
      <c r="DN82">
        <v>0</v>
      </c>
      <c r="DO82">
        <v>0</v>
      </c>
      <c r="DP82">
        <v>1</v>
      </c>
      <c r="DQ82">
        <v>1</v>
      </c>
      <c r="DU82">
        <v>1013</v>
      </c>
      <c r="DV82" t="s">
        <v>21</v>
      </c>
      <c r="DW82" t="s">
        <v>21</v>
      </c>
      <c r="DX82">
        <v>1</v>
      </c>
      <c r="DZ82" t="s">
        <v>3</v>
      </c>
      <c r="EA82" t="s">
        <v>3</v>
      </c>
      <c r="EB82" t="s">
        <v>3</v>
      </c>
      <c r="EC82" t="s">
        <v>3</v>
      </c>
      <c r="EE82">
        <v>140625030</v>
      </c>
      <c r="EF82">
        <v>2</v>
      </c>
      <c r="EG82" t="s">
        <v>95</v>
      </c>
      <c r="EH82">
        <v>11</v>
      </c>
      <c r="EI82" t="s">
        <v>42</v>
      </c>
      <c r="EJ82">
        <v>1</v>
      </c>
      <c r="EK82">
        <v>11001</v>
      </c>
      <c r="EL82" t="s">
        <v>42</v>
      </c>
      <c r="EM82" t="s">
        <v>161</v>
      </c>
      <c r="EO82" t="s">
        <v>3</v>
      </c>
      <c r="EQ82">
        <v>0</v>
      </c>
      <c r="ER82">
        <v>63</v>
      </c>
      <c r="ES82">
        <v>63</v>
      </c>
      <c r="ET82">
        <v>0</v>
      </c>
      <c r="EU82">
        <v>0</v>
      </c>
      <c r="EV82">
        <v>0</v>
      </c>
      <c r="EW82">
        <v>0</v>
      </c>
      <c r="EX82">
        <v>0</v>
      </c>
      <c r="FQ82">
        <v>0</v>
      </c>
      <c r="FR82">
        <f t="shared" si="96"/>
        <v>0</v>
      </c>
      <c r="FS82">
        <v>0</v>
      </c>
      <c r="FX82">
        <v>112</v>
      </c>
      <c r="FY82">
        <v>65</v>
      </c>
      <c r="GA82" t="s">
        <v>3</v>
      </c>
      <c r="GD82">
        <v>1</v>
      </c>
      <c r="GF82">
        <v>-1281023975</v>
      </c>
      <c r="GG82">
        <v>2</v>
      </c>
      <c r="GH82">
        <v>1</v>
      </c>
      <c r="GI82">
        <v>4</v>
      </c>
      <c r="GJ82">
        <v>0</v>
      </c>
      <c r="GK82">
        <v>0</v>
      </c>
      <c r="GL82">
        <f t="shared" si="97"/>
        <v>0</v>
      </c>
      <c r="GM82">
        <f t="shared" si="98"/>
        <v>-64.23</v>
      </c>
      <c r="GN82">
        <f t="shared" si="99"/>
        <v>-64.23</v>
      </c>
      <c r="GO82">
        <f t="shared" si="100"/>
        <v>0</v>
      </c>
      <c r="GP82">
        <f t="shared" si="101"/>
        <v>0</v>
      </c>
      <c r="GR82">
        <v>0</v>
      </c>
      <c r="GS82">
        <v>3</v>
      </c>
      <c r="GT82">
        <v>0</v>
      </c>
      <c r="GU82" t="s">
        <v>3</v>
      </c>
      <c r="GV82">
        <f t="shared" si="102"/>
        <v>0</v>
      </c>
      <c r="GW82">
        <v>1</v>
      </c>
      <c r="GX82">
        <f t="shared" si="103"/>
        <v>0</v>
      </c>
      <c r="HA82">
        <v>0</v>
      </c>
      <c r="HB82">
        <v>0</v>
      </c>
      <c r="HC82">
        <f t="shared" si="104"/>
        <v>0</v>
      </c>
      <c r="HE82" t="s">
        <v>3</v>
      </c>
      <c r="HF82" t="s">
        <v>3</v>
      </c>
      <c r="HM82" t="s">
        <v>3</v>
      </c>
      <c r="HN82" t="s">
        <v>163</v>
      </c>
      <c r="HO82" t="s">
        <v>164</v>
      </c>
      <c r="HP82" t="s">
        <v>42</v>
      </c>
      <c r="HQ82" t="s">
        <v>42</v>
      </c>
      <c r="IK82">
        <v>0</v>
      </c>
    </row>
    <row r="83" spans="1:245" x14ac:dyDescent="0.2">
      <c r="A83">
        <v>18</v>
      </c>
      <c r="B83">
        <v>1</v>
      </c>
      <c r="C83">
        <v>128</v>
      </c>
      <c r="E83" t="s">
        <v>244</v>
      </c>
      <c r="F83" t="s">
        <v>245</v>
      </c>
      <c r="G83" t="s">
        <v>246</v>
      </c>
      <c r="H83" t="s">
        <v>21</v>
      </c>
      <c r="I83">
        <f>I81*J83</f>
        <v>-0.11456</v>
      </c>
      <c r="J83">
        <v>-0.08</v>
      </c>
      <c r="K83">
        <v>-0.08</v>
      </c>
      <c r="O83">
        <f t="shared" si="72"/>
        <v>-64.23</v>
      </c>
      <c r="P83">
        <f t="shared" si="73"/>
        <v>-64.23</v>
      </c>
      <c r="Q83">
        <f t="shared" si="74"/>
        <v>0</v>
      </c>
      <c r="R83">
        <f t="shared" si="75"/>
        <v>0</v>
      </c>
      <c r="S83">
        <f t="shared" si="76"/>
        <v>0</v>
      </c>
      <c r="T83">
        <f t="shared" si="77"/>
        <v>0</v>
      </c>
      <c r="U83">
        <f t="shared" si="78"/>
        <v>0</v>
      </c>
      <c r="V83">
        <f t="shared" si="79"/>
        <v>0</v>
      </c>
      <c r="W83">
        <f t="shared" si="80"/>
        <v>0</v>
      </c>
      <c r="X83">
        <f t="shared" si="81"/>
        <v>0</v>
      </c>
      <c r="Y83">
        <f t="shared" si="82"/>
        <v>0</v>
      </c>
      <c r="AA83">
        <v>145026783</v>
      </c>
      <c r="AB83">
        <f t="shared" si="83"/>
        <v>63</v>
      </c>
      <c r="AC83">
        <f t="shared" si="111"/>
        <v>63</v>
      </c>
      <c r="AD83">
        <f t="shared" si="114"/>
        <v>0</v>
      </c>
      <c r="AE83">
        <f t="shared" si="115"/>
        <v>0</v>
      </c>
      <c r="AF83">
        <f t="shared" si="115"/>
        <v>0</v>
      </c>
      <c r="AG83">
        <f t="shared" si="84"/>
        <v>0</v>
      </c>
      <c r="AH83">
        <f t="shared" si="116"/>
        <v>0</v>
      </c>
      <c r="AI83">
        <f t="shared" si="116"/>
        <v>0</v>
      </c>
      <c r="AJ83">
        <f t="shared" si="85"/>
        <v>0</v>
      </c>
      <c r="AK83">
        <v>63</v>
      </c>
      <c r="AL83">
        <v>63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112</v>
      </c>
      <c r="AU83">
        <v>65</v>
      </c>
      <c r="AV83">
        <v>1</v>
      </c>
      <c r="AW83">
        <v>1</v>
      </c>
      <c r="AZ83">
        <v>1</v>
      </c>
      <c r="BA83">
        <v>1</v>
      </c>
      <c r="BB83">
        <v>1</v>
      </c>
      <c r="BC83">
        <v>8.9</v>
      </c>
      <c r="BD83" t="s">
        <v>3</v>
      </c>
      <c r="BE83" t="s">
        <v>3</v>
      </c>
      <c r="BF83" t="s">
        <v>3</v>
      </c>
      <c r="BG83" t="s">
        <v>3</v>
      </c>
      <c r="BH83">
        <v>3</v>
      </c>
      <c r="BI83">
        <v>1</v>
      </c>
      <c r="BJ83" t="s">
        <v>247</v>
      </c>
      <c r="BM83">
        <v>11001</v>
      </c>
      <c r="BN83">
        <v>0</v>
      </c>
      <c r="BO83" t="s">
        <v>3</v>
      </c>
      <c r="BP83">
        <v>0</v>
      </c>
      <c r="BQ83">
        <v>2</v>
      </c>
      <c r="BR83">
        <v>1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3</v>
      </c>
      <c r="BZ83">
        <v>112</v>
      </c>
      <c r="CA83">
        <v>65</v>
      </c>
      <c r="CB83" t="s">
        <v>3</v>
      </c>
      <c r="CE83">
        <v>0</v>
      </c>
      <c r="CF83">
        <v>0</v>
      </c>
      <c r="CG83">
        <v>0</v>
      </c>
      <c r="CM83">
        <v>0</v>
      </c>
      <c r="CN83" t="s">
        <v>3</v>
      </c>
      <c r="CO83">
        <v>0</v>
      </c>
      <c r="CP83">
        <f t="shared" si="86"/>
        <v>-64.23</v>
      </c>
      <c r="CQ83">
        <f t="shared" si="87"/>
        <v>560.70000000000005</v>
      </c>
      <c r="CR83">
        <f t="shared" si="117"/>
        <v>0</v>
      </c>
      <c r="CS83">
        <f t="shared" si="88"/>
        <v>0</v>
      </c>
      <c r="CT83">
        <f t="shared" si="89"/>
        <v>0</v>
      </c>
      <c r="CU83">
        <f t="shared" si="90"/>
        <v>0</v>
      </c>
      <c r="CV83">
        <f t="shared" si="91"/>
        <v>0</v>
      </c>
      <c r="CW83">
        <f t="shared" si="92"/>
        <v>0</v>
      </c>
      <c r="CX83">
        <f t="shared" si="93"/>
        <v>0</v>
      </c>
      <c r="CY83">
        <f t="shared" si="94"/>
        <v>0</v>
      </c>
      <c r="CZ83">
        <f t="shared" si="95"/>
        <v>0</v>
      </c>
      <c r="DC83" t="s">
        <v>3</v>
      </c>
      <c r="DD83" t="s">
        <v>3</v>
      </c>
      <c r="DE83" t="s">
        <v>3</v>
      </c>
      <c r="DF83" t="s">
        <v>3</v>
      </c>
      <c r="DG83" t="s">
        <v>3</v>
      </c>
      <c r="DH83" t="s">
        <v>3</v>
      </c>
      <c r="DI83" t="s">
        <v>3</v>
      </c>
      <c r="DJ83" t="s">
        <v>3</v>
      </c>
      <c r="DK83" t="s">
        <v>3</v>
      </c>
      <c r="DL83" t="s">
        <v>3</v>
      </c>
      <c r="DM83" t="s">
        <v>3</v>
      </c>
      <c r="DN83">
        <v>0</v>
      </c>
      <c r="DO83">
        <v>0</v>
      </c>
      <c r="DP83">
        <v>1</v>
      </c>
      <c r="DQ83">
        <v>1</v>
      </c>
      <c r="DU83">
        <v>1013</v>
      </c>
      <c r="DV83" t="s">
        <v>21</v>
      </c>
      <c r="DW83" t="s">
        <v>21</v>
      </c>
      <c r="DX83">
        <v>1</v>
      </c>
      <c r="DZ83" t="s">
        <v>3</v>
      </c>
      <c r="EA83" t="s">
        <v>3</v>
      </c>
      <c r="EB83" t="s">
        <v>3</v>
      </c>
      <c r="EC83" t="s">
        <v>3</v>
      </c>
      <c r="EE83">
        <v>140625030</v>
      </c>
      <c r="EF83">
        <v>2</v>
      </c>
      <c r="EG83" t="s">
        <v>95</v>
      </c>
      <c r="EH83">
        <v>11</v>
      </c>
      <c r="EI83" t="s">
        <v>42</v>
      </c>
      <c r="EJ83">
        <v>1</v>
      </c>
      <c r="EK83">
        <v>11001</v>
      </c>
      <c r="EL83" t="s">
        <v>42</v>
      </c>
      <c r="EM83" t="s">
        <v>161</v>
      </c>
      <c r="EO83" t="s">
        <v>3</v>
      </c>
      <c r="EQ83">
        <v>0</v>
      </c>
      <c r="ER83">
        <v>63</v>
      </c>
      <c r="ES83">
        <v>63</v>
      </c>
      <c r="ET83">
        <v>0</v>
      </c>
      <c r="EU83">
        <v>0</v>
      </c>
      <c r="EV83">
        <v>0</v>
      </c>
      <c r="EW83">
        <v>0</v>
      </c>
      <c r="EX83">
        <v>0</v>
      </c>
      <c r="FQ83">
        <v>0</v>
      </c>
      <c r="FR83">
        <f t="shared" si="96"/>
        <v>0</v>
      </c>
      <c r="FS83">
        <v>0</v>
      </c>
      <c r="FX83">
        <v>112</v>
      </c>
      <c r="FY83">
        <v>65</v>
      </c>
      <c r="GA83" t="s">
        <v>3</v>
      </c>
      <c r="GD83">
        <v>1</v>
      </c>
      <c r="GF83">
        <v>-826702841</v>
      </c>
      <c r="GG83">
        <v>2</v>
      </c>
      <c r="GH83">
        <v>1</v>
      </c>
      <c r="GI83">
        <v>4</v>
      </c>
      <c r="GJ83">
        <v>0</v>
      </c>
      <c r="GK83">
        <v>0</v>
      </c>
      <c r="GL83">
        <f t="shared" si="97"/>
        <v>0</v>
      </c>
      <c r="GM83">
        <f t="shared" si="98"/>
        <v>-64.23</v>
      </c>
      <c r="GN83">
        <f t="shared" si="99"/>
        <v>-64.23</v>
      </c>
      <c r="GO83">
        <f t="shared" si="100"/>
        <v>0</v>
      </c>
      <c r="GP83">
        <f t="shared" si="101"/>
        <v>0</v>
      </c>
      <c r="GR83">
        <v>0</v>
      </c>
      <c r="GS83">
        <v>3</v>
      </c>
      <c r="GT83">
        <v>0</v>
      </c>
      <c r="GU83" t="s">
        <v>3</v>
      </c>
      <c r="GV83">
        <f t="shared" si="102"/>
        <v>0</v>
      </c>
      <c r="GW83">
        <v>1</v>
      </c>
      <c r="GX83">
        <f t="shared" si="103"/>
        <v>0</v>
      </c>
      <c r="HA83">
        <v>0</v>
      </c>
      <c r="HB83">
        <v>0</v>
      </c>
      <c r="HC83">
        <f t="shared" si="104"/>
        <v>0</v>
      </c>
      <c r="HE83" t="s">
        <v>3</v>
      </c>
      <c r="HF83" t="s">
        <v>3</v>
      </c>
      <c r="HM83" t="s">
        <v>3</v>
      </c>
      <c r="HN83" t="s">
        <v>163</v>
      </c>
      <c r="HO83" t="s">
        <v>164</v>
      </c>
      <c r="HP83" t="s">
        <v>42</v>
      </c>
      <c r="HQ83" t="s">
        <v>42</v>
      </c>
      <c r="IK83">
        <v>0</v>
      </c>
    </row>
    <row r="84" spans="1:245" x14ac:dyDescent="0.2">
      <c r="A84">
        <v>18</v>
      </c>
      <c r="B84">
        <v>1</v>
      </c>
      <c r="C84">
        <v>129</v>
      </c>
      <c r="E84" t="s">
        <v>248</v>
      </c>
      <c r="F84" t="s">
        <v>249</v>
      </c>
      <c r="G84" t="s">
        <v>250</v>
      </c>
      <c r="H84" t="s">
        <v>21</v>
      </c>
      <c r="I84">
        <f>I81*J84</f>
        <v>-0.57279999999999998</v>
      </c>
      <c r="J84">
        <v>-0.4</v>
      </c>
      <c r="K84">
        <v>-0.4</v>
      </c>
      <c r="O84">
        <f t="shared" si="72"/>
        <v>-652.53</v>
      </c>
      <c r="P84">
        <f t="shared" si="73"/>
        <v>-652.53</v>
      </c>
      <c r="Q84">
        <f t="shared" si="74"/>
        <v>0</v>
      </c>
      <c r="R84">
        <f t="shared" si="75"/>
        <v>0</v>
      </c>
      <c r="S84">
        <f t="shared" si="76"/>
        <v>0</v>
      </c>
      <c r="T84">
        <f t="shared" si="77"/>
        <v>0</v>
      </c>
      <c r="U84">
        <f t="shared" si="78"/>
        <v>0</v>
      </c>
      <c r="V84">
        <f t="shared" si="79"/>
        <v>0</v>
      </c>
      <c r="W84">
        <f t="shared" si="80"/>
        <v>0</v>
      </c>
      <c r="X84">
        <f t="shared" si="81"/>
        <v>0</v>
      </c>
      <c r="Y84">
        <f t="shared" si="82"/>
        <v>0</v>
      </c>
      <c r="AA84">
        <v>145026783</v>
      </c>
      <c r="AB84">
        <f t="shared" si="83"/>
        <v>128</v>
      </c>
      <c r="AC84">
        <f t="shared" si="111"/>
        <v>128</v>
      </c>
      <c r="AD84">
        <f t="shared" si="114"/>
        <v>0</v>
      </c>
      <c r="AE84">
        <f t="shared" si="115"/>
        <v>0</v>
      </c>
      <c r="AF84">
        <f t="shared" si="115"/>
        <v>0</v>
      </c>
      <c r="AG84">
        <f t="shared" si="84"/>
        <v>0</v>
      </c>
      <c r="AH84">
        <f t="shared" si="116"/>
        <v>0</v>
      </c>
      <c r="AI84">
        <f t="shared" si="116"/>
        <v>0</v>
      </c>
      <c r="AJ84">
        <f t="shared" si="85"/>
        <v>0</v>
      </c>
      <c r="AK84">
        <v>128</v>
      </c>
      <c r="AL84">
        <v>128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112</v>
      </c>
      <c r="AU84">
        <v>65</v>
      </c>
      <c r="AV84">
        <v>1</v>
      </c>
      <c r="AW84">
        <v>1</v>
      </c>
      <c r="AZ84">
        <v>1</v>
      </c>
      <c r="BA84">
        <v>1</v>
      </c>
      <c r="BB84">
        <v>1</v>
      </c>
      <c r="BC84">
        <v>8.9</v>
      </c>
      <c r="BD84" t="s">
        <v>3</v>
      </c>
      <c r="BE84" t="s">
        <v>3</v>
      </c>
      <c r="BF84" t="s">
        <v>3</v>
      </c>
      <c r="BG84" t="s">
        <v>3</v>
      </c>
      <c r="BH84">
        <v>3</v>
      </c>
      <c r="BI84">
        <v>1</v>
      </c>
      <c r="BJ84" t="s">
        <v>251</v>
      </c>
      <c r="BM84">
        <v>11001</v>
      </c>
      <c r="BN84">
        <v>0</v>
      </c>
      <c r="BO84" t="s">
        <v>3</v>
      </c>
      <c r="BP84">
        <v>0</v>
      </c>
      <c r="BQ84">
        <v>2</v>
      </c>
      <c r="BR84">
        <v>1</v>
      </c>
      <c r="BS84">
        <v>1</v>
      </c>
      <c r="BT84">
        <v>1</v>
      </c>
      <c r="BU84">
        <v>1</v>
      </c>
      <c r="BV84">
        <v>1</v>
      </c>
      <c r="BW84">
        <v>1</v>
      </c>
      <c r="BX84">
        <v>1</v>
      </c>
      <c r="BY84" t="s">
        <v>3</v>
      </c>
      <c r="BZ84">
        <v>112</v>
      </c>
      <c r="CA84">
        <v>65</v>
      </c>
      <c r="CB84" t="s">
        <v>3</v>
      </c>
      <c r="CE84">
        <v>0</v>
      </c>
      <c r="CF84">
        <v>0</v>
      </c>
      <c r="CG84">
        <v>0</v>
      </c>
      <c r="CM84">
        <v>0</v>
      </c>
      <c r="CN84" t="s">
        <v>3</v>
      </c>
      <c r="CO84">
        <v>0</v>
      </c>
      <c r="CP84">
        <f t="shared" si="86"/>
        <v>-652.53</v>
      </c>
      <c r="CQ84">
        <f t="shared" si="87"/>
        <v>1139.2</v>
      </c>
      <c r="CR84">
        <f t="shared" si="117"/>
        <v>0</v>
      </c>
      <c r="CS84">
        <f t="shared" si="88"/>
        <v>0</v>
      </c>
      <c r="CT84">
        <f t="shared" si="89"/>
        <v>0</v>
      </c>
      <c r="CU84">
        <f t="shared" si="90"/>
        <v>0</v>
      </c>
      <c r="CV84">
        <f t="shared" si="91"/>
        <v>0</v>
      </c>
      <c r="CW84">
        <f t="shared" si="92"/>
        <v>0</v>
      </c>
      <c r="CX84">
        <f t="shared" si="93"/>
        <v>0</v>
      </c>
      <c r="CY84">
        <f t="shared" si="94"/>
        <v>0</v>
      </c>
      <c r="CZ84">
        <f t="shared" si="95"/>
        <v>0</v>
      </c>
      <c r="DC84" t="s">
        <v>3</v>
      </c>
      <c r="DD84" t="s">
        <v>3</v>
      </c>
      <c r="DE84" t="s">
        <v>3</v>
      </c>
      <c r="DF84" t="s">
        <v>3</v>
      </c>
      <c r="DG84" t="s">
        <v>3</v>
      </c>
      <c r="DH84" t="s">
        <v>3</v>
      </c>
      <c r="DI84" t="s">
        <v>3</v>
      </c>
      <c r="DJ84" t="s">
        <v>3</v>
      </c>
      <c r="DK84" t="s">
        <v>3</v>
      </c>
      <c r="DL84" t="s">
        <v>3</v>
      </c>
      <c r="DM84" t="s">
        <v>3</v>
      </c>
      <c r="DN84">
        <v>0</v>
      </c>
      <c r="DO84">
        <v>0</v>
      </c>
      <c r="DP84">
        <v>1</v>
      </c>
      <c r="DQ84">
        <v>1</v>
      </c>
      <c r="DU84">
        <v>1013</v>
      </c>
      <c r="DV84" t="s">
        <v>21</v>
      </c>
      <c r="DW84" t="s">
        <v>21</v>
      </c>
      <c r="DX84">
        <v>1</v>
      </c>
      <c r="DZ84" t="s">
        <v>3</v>
      </c>
      <c r="EA84" t="s">
        <v>3</v>
      </c>
      <c r="EB84" t="s">
        <v>3</v>
      </c>
      <c r="EC84" t="s">
        <v>3</v>
      </c>
      <c r="EE84">
        <v>140625030</v>
      </c>
      <c r="EF84">
        <v>2</v>
      </c>
      <c r="EG84" t="s">
        <v>95</v>
      </c>
      <c r="EH84">
        <v>11</v>
      </c>
      <c r="EI84" t="s">
        <v>42</v>
      </c>
      <c r="EJ84">
        <v>1</v>
      </c>
      <c r="EK84">
        <v>11001</v>
      </c>
      <c r="EL84" t="s">
        <v>42</v>
      </c>
      <c r="EM84" t="s">
        <v>161</v>
      </c>
      <c r="EO84" t="s">
        <v>3</v>
      </c>
      <c r="EQ84">
        <v>0</v>
      </c>
      <c r="ER84">
        <v>128</v>
      </c>
      <c r="ES84">
        <v>128</v>
      </c>
      <c r="ET84">
        <v>0</v>
      </c>
      <c r="EU84">
        <v>0</v>
      </c>
      <c r="EV84">
        <v>0</v>
      </c>
      <c r="EW84">
        <v>0</v>
      </c>
      <c r="EX84">
        <v>0</v>
      </c>
      <c r="FQ84">
        <v>0</v>
      </c>
      <c r="FR84">
        <f t="shared" si="96"/>
        <v>0</v>
      </c>
      <c r="FS84">
        <v>0</v>
      </c>
      <c r="FX84">
        <v>112</v>
      </c>
      <c r="FY84">
        <v>65</v>
      </c>
      <c r="GA84" t="s">
        <v>3</v>
      </c>
      <c r="GD84">
        <v>1</v>
      </c>
      <c r="GF84">
        <v>1664877770</v>
      </c>
      <c r="GG84">
        <v>2</v>
      </c>
      <c r="GH84">
        <v>1</v>
      </c>
      <c r="GI84">
        <v>4</v>
      </c>
      <c r="GJ84">
        <v>0</v>
      </c>
      <c r="GK84">
        <v>0</v>
      </c>
      <c r="GL84">
        <f t="shared" si="97"/>
        <v>0</v>
      </c>
      <c r="GM84">
        <f t="shared" si="98"/>
        <v>-652.53</v>
      </c>
      <c r="GN84">
        <f t="shared" si="99"/>
        <v>-652.53</v>
      </c>
      <c r="GO84">
        <f t="shared" si="100"/>
        <v>0</v>
      </c>
      <c r="GP84">
        <f t="shared" si="101"/>
        <v>0</v>
      </c>
      <c r="GR84">
        <v>0</v>
      </c>
      <c r="GS84">
        <v>3</v>
      </c>
      <c r="GT84">
        <v>0</v>
      </c>
      <c r="GU84" t="s">
        <v>3</v>
      </c>
      <c r="GV84">
        <f t="shared" si="102"/>
        <v>0</v>
      </c>
      <c r="GW84">
        <v>1</v>
      </c>
      <c r="GX84">
        <f t="shared" si="103"/>
        <v>0</v>
      </c>
      <c r="HA84">
        <v>0</v>
      </c>
      <c r="HB84">
        <v>0</v>
      </c>
      <c r="HC84">
        <f t="shared" si="104"/>
        <v>0</v>
      </c>
      <c r="HE84" t="s">
        <v>3</v>
      </c>
      <c r="HF84" t="s">
        <v>3</v>
      </c>
      <c r="HM84" t="s">
        <v>3</v>
      </c>
      <c r="HN84" t="s">
        <v>163</v>
      </c>
      <c r="HO84" t="s">
        <v>164</v>
      </c>
      <c r="HP84" t="s">
        <v>42</v>
      </c>
      <c r="HQ84" t="s">
        <v>42</v>
      </c>
      <c r="IK84">
        <v>0</v>
      </c>
    </row>
    <row r="85" spans="1:245" x14ac:dyDescent="0.2">
      <c r="A85">
        <v>18</v>
      </c>
      <c r="B85">
        <v>1</v>
      </c>
      <c r="C85">
        <v>130</v>
      </c>
      <c r="E85" t="s">
        <v>252</v>
      </c>
      <c r="F85" t="s">
        <v>253</v>
      </c>
      <c r="G85" t="s">
        <v>254</v>
      </c>
      <c r="H85" t="s">
        <v>21</v>
      </c>
      <c r="I85">
        <f>I81*J85</f>
        <v>-0.10024000000000001</v>
      </c>
      <c r="J85">
        <v>-7.0000000000000007E-2</v>
      </c>
      <c r="K85">
        <v>-7.0000000000000007E-2</v>
      </c>
      <c r="O85">
        <f t="shared" si="72"/>
        <v>-114.19</v>
      </c>
      <c r="P85">
        <f t="shared" si="73"/>
        <v>-114.19</v>
      </c>
      <c r="Q85">
        <f t="shared" si="74"/>
        <v>0</v>
      </c>
      <c r="R85">
        <f t="shared" si="75"/>
        <v>0</v>
      </c>
      <c r="S85">
        <f t="shared" si="76"/>
        <v>0</v>
      </c>
      <c r="T85">
        <f t="shared" si="77"/>
        <v>0</v>
      </c>
      <c r="U85">
        <f t="shared" si="78"/>
        <v>0</v>
      </c>
      <c r="V85">
        <f t="shared" si="79"/>
        <v>0</v>
      </c>
      <c r="W85">
        <f t="shared" si="80"/>
        <v>0</v>
      </c>
      <c r="X85">
        <f t="shared" si="81"/>
        <v>0</v>
      </c>
      <c r="Y85">
        <f t="shared" si="82"/>
        <v>0</v>
      </c>
      <c r="AA85">
        <v>145026783</v>
      </c>
      <c r="AB85">
        <f t="shared" si="83"/>
        <v>128</v>
      </c>
      <c r="AC85">
        <f t="shared" si="111"/>
        <v>128</v>
      </c>
      <c r="AD85">
        <f t="shared" si="114"/>
        <v>0</v>
      </c>
      <c r="AE85">
        <f t="shared" si="115"/>
        <v>0</v>
      </c>
      <c r="AF85">
        <f t="shared" si="115"/>
        <v>0</v>
      </c>
      <c r="AG85">
        <f t="shared" si="84"/>
        <v>0</v>
      </c>
      <c r="AH85">
        <f t="shared" si="116"/>
        <v>0</v>
      </c>
      <c r="AI85">
        <f t="shared" si="116"/>
        <v>0</v>
      </c>
      <c r="AJ85">
        <f t="shared" si="85"/>
        <v>0</v>
      </c>
      <c r="AK85">
        <v>128</v>
      </c>
      <c r="AL85">
        <v>128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112</v>
      </c>
      <c r="AU85">
        <v>65</v>
      </c>
      <c r="AV85">
        <v>1</v>
      </c>
      <c r="AW85">
        <v>1</v>
      </c>
      <c r="AZ85">
        <v>1</v>
      </c>
      <c r="BA85">
        <v>1</v>
      </c>
      <c r="BB85">
        <v>1</v>
      </c>
      <c r="BC85">
        <v>8.9</v>
      </c>
      <c r="BD85" t="s">
        <v>3</v>
      </c>
      <c r="BE85" t="s">
        <v>3</v>
      </c>
      <c r="BF85" t="s">
        <v>3</v>
      </c>
      <c r="BG85" t="s">
        <v>3</v>
      </c>
      <c r="BH85">
        <v>3</v>
      </c>
      <c r="BI85">
        <v>1</v>
      </c>
      <c r="BJ85" t="s">
        <v>255</v>
      </c>
      <c r="BM85">
        <v>11001</v>
      </c>
      <c r="BN85">
        <v>0</v>
      </c>
      <c r="BO85" t="s">
        <v>3</v>
      </c>
      <c r="BP85">
        <v>0</v>
      </c>
      <c r="BQ85">
        <v>2</v>
      </c>
      <c r="BR85">
        <v>1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Y85" t="s">
        <v>3</v>
      </c>
      <c r="BZ85">
        <v>112</v>
      </c>
      <c r="CA85">
        <v>65</v>
      </c>
      <c r="CB85" t="s">
        <v>3</v>
      </c>
      <c r="CE85">
        <v>0</v>
      </c>
      <c r="CF85">
        <v>0</v>
      </c>
      <c r="CG85">
        <v>0</v>
      </c>
      <c r="CM85">
        <v>0</v>
      </c>
      <c r="CN85" t="s">
        <v>3</v>
      </c>
      <c r="CO85">
        <v>0</v>
      </c>
      <c r="CP85">
        <f t="shared" si="86"/>
        <v>-114.19</v>
      </c>
      <c r="CQ85">
        <f t="shared" si="87"/>
        <v>1139.2</v>
      </c>
      <c r="CR85">
        <f t="shared" si="117"/>
        <v>0</v>
      </c>
      <c r="CS85">
        <f t="shared" si="88"/>
        <v>0</v>
      </c>
      <c r="CT85">
        <f t="shared" si="89"/>
        <v>0</v>
      </c>
      <c r="CU85">
        <f t="shared" si="90"/>
        <v>0</v>
      </c>
      <c r="CV85">
        <f t="shared" si="91"/>
        <v>0</v>
      </c>
      <c r="CW85">
        <f t="shared" si="92"/>
        <v>0</v>
      </c>
      <c r="CX85">
        <f t="shared" si="93"/>
        <v>0</v>
      </c>
      <c r="CY85">
        <f t="shared" si="94"/>
        <v>0</v>
      </c>
      <c r="CZ85">
        <f t="shared" si="95"/>
        <v>0</v>
      </c>
      <c r="DC85" t="s">
        <v>3</v>
      </c>
      <c r="DD85" t="s">
        <v>3</v>
      </c>
      <c r="DE85" t="s">
        <v>3</v>
      </c>
      <c r="DF85" t="s">
        <v>3</v>
      </c>
      <c r="DG85" t="s">
        <v>3</v>
      </c>
      <c r="DH85" t="s">
        <v>3</v>
      </c>
      <c r="DI85" t="s">
        <v>3</v>
      </c>
      <c r="DJ85" t="s">
        <v>3</v>
      </c>
      <c r="DK85" t="s">
        <v>3</v>
      </c>
      <c r="DL85" t="s">
        <v>3</v>
      </c>
      <c r="DM85" t="s">
        <v>3</v>
      </c>
      <c r="DN85">
        <v>0</v>
      </c>
      <c r="DO85">
        <v>0</v>
      </c>
      <c r="DP85">
        <v>1</v>
      </c>
      <c r="DQ85">
        <v>1</v>
      </c>
      <c r="DU85">
        <v>1013</v>
      </c>
      <c r="DV85" t="s">
        <v>21</v>
      </c>
      <c r="DW85" t="s">
        <v>21</v>
      </c>
      <c r="DX85">
        <v>1</v>
      </c>
      <c r="DZ85" t="s">
        <v>3</v>
      </c>
      <c r="EA85" t="s">
        <v>3</v>
      </c>
      <c r="EB85" t="s">
        <v>3</v>
      </c>
      <c r="EC85" t="s">
        <v>3</v>
      </c>
      <c r="EE85">
        <v>140625030</v>
      </c>
      <c r="EF85">
        <v>2</v>
      </c>
      <c r="EG85" t="s">
        <v>95</v>
      </c>
      <c r="EH85">
        <v>11</v>
      </c>
      <c r="EI85" t="s">
        <v>42</v>
      </c>
      <c r="EJ85">
        <v>1</v>
      </c>
      <c r="EK85">
        <v>11001</v>
      </c>
      <c r="EL85" t="s">
        <v>42</v>
      </c>
      <c r="EM85" t="s">
        <v>161</v>
      </c>
      <c r="EO85" t="s">
        <v>3</v>
      </c>
      <c r="EQ85">
        <v>0</v>
      </c>
      <c r="ER85">
        <v>128</v>
      </c>
      <c r="ES85">
        <v>128</v>
      </c>
      <c r="ET85">
        <v>0</v>
      </c>
      <c r="EU85">
        <v>0</v>
      </c>
      <c r="EV85">
        <v>0</v>
      </c>
      <c r="EW85">
        <v>0</v>
      </c>
      <c r="EX85">
        <v>0</v>
      </c>
      <c r="FQ85">
        <v>0</v>
      </c>
      <c r="FR85">
        <f t="shared" si="96"/>
        <v>0</v>
      </c>
      <c r="FS85">
        <v>0</v>
      </c>
      <c r="FX85">
        <v>112</v>
      </c>
      <c r="FY85">
        <v>65</v>
      </c>
      <c r="GA85" t="s">
        <v>3</v>
      </c>
      <c r="GD85">
        <v>1</v>
      </c>
      <c r="GF85">
        <v>1331567160</v>
      </c>
      <c r="GG85">
        <v>2</v>
      </c>
      <c r="GH85">
        <v>1</v>
      </c>
      <c r="GI85">
        <v>4</v>
      </c>
      <c r="GJ85">
        <v>0</v>
      </c>
      <c r="GK85">
        <v>0</v>
      </c>
      <c r="GL85">
        <f t="shared" si="97"/>
        <v>0</v>
      </c>
      <c r="GM85">
        <f t="shared" si="98"/>
        <v>-114.19</v>
      </c>
      <c r="GN85">
        <f t="shared" si="99"/>
        <v>-114.19</v>
      </c>
      <c r="GO85">
        <f t="shared" si="100"/>
        <v>0</v>
      </c>
      <c r="GP85">
        <f t="shared" si="101"/>
        <v>0</v>
      </c>
      <c r="GR85">
        <v>0</v>
      </c>
      <c r="GS85">
        <v>3</v>
      </c>
      <c r="GT85">
        <v>0</v>
      </c>
      <c r="GU85" t="s">
        <v>3</v>
      </c>
      <c r="GV85">
        <f t="shared" si="102"/>
        <v>0</v>
      </c>
      <c r="GW85">
        <v>1</v>
      </c>
      <c r="GX85">
        <f t="shared" si="103"/>
        <v>0</v>
      </c>
      <c r="HA85">
        <v>0</v>
      </c>
      <c r="HB85">
        <v>0</v>
      </c>
      <c r="HC85">
        <f t="shared" si="104"/>
        <v>0</v>
      </c>
      <c r="HE85" t="s">
        <v>3</v>
      </c>
      <c r="HF85" t="s">
        <v>3</v>
      </c>
      <c r="HM85" t="s">
        <v>3</v>
      </c>
      <c r="HN85" t="s">
        <v>163</v>
      </c>
      <c r="HO85" t="s">
        <v>164</v>
      </c>
      <c r="HP85" t="s">
        <v>42</v>
      </c>
      <c r="HQ85" t="s">
        <v>42</v>
      </c>
      <c r="IK85">
        <v>0</v>
      </c>
    </row>
    <row r="86" spans="1:245" x14ac:dyDescent="0.2">
      <c r="A86">
        <v>18</v>
      </c>
      <c r="B86">
        <v>1</v>
      </c>
      <c r="C86">
        <v>131</v>
      </c>
      <c r="E86" t="s">
        <v>256</v>
      </c>
      <c r="F86" t="s">
        <v>257</v>
      </c>
      <c r="G86" t="s">
        <v>258</v>
      </c>
      <c r="H86" t="s">
        <v>21</v>
      </c>
      <c r="I86">
        <f>I81*J86</f>
        <v>-0.10024000000000001</v>
      </c>
      <c r="J86">
        <v>-7.0000000000000007E-2</v>
      </c>
      <c r="K86">
        <v>-7.0000000000000007E-2</v>
      </c>
      <c r="O86">
        <f t="shared" si="72"/>
        <v>-114.19</v>
      </c>
      <c r="P86">
        <f t="shared" si="73"/>
        <v>-114.19</v>
      </c>
      <c r="Q86">
        <f t="shared" si="74"/>
        <v>0</v>
      </c>
      <c r="R86">
        <f t="shared" si="75"/>
        <v>0</v>
      </c>
      <c r="S86">
        <f t="shared" si="76"/>
        <v>0</v>
      </c>
      <c r="T86">
        <f t="shared" si="77"/>
        <v>0</v>
      </c>
      <c r="U86">
        <f t="shared" si="78"/>
        <v>0</v>
      </c>
      <c r="V86">
        <f t="shared" si="79"/>
        <v>0</v>
      </c>
      <c r="W86">
        <f t="shared" si="80"/>
        <v>0</v>
      </c>
      <c r="X86">
        <f t="shared" si="81"/>
        <v>0</v>
      </c>
      <c r="Y86">
        <f t="shared" si="82"/>
        <v>0</v>
      </c>
      <c r="AA86">
        <v>145026783</v>
      </c>
      <c r="AB86">
        <f t="shared" si="83"/>
        <v>128</v>
      </c>
      <c r="AC86">
        <f t="shared" si="111"/>
        <v>128</v>
      </c>
      <c r="AD86">
        <f t="shared" si="114"/>
        <v>0</v>
      </c>
      <c r="AE86">
        <f t="shared" si="115"/>
        <v>0</v>
      </c>
      <c r="AF86">
        <f t="shared" si="115"/>
        <v>0</v>
      </c>
      <c r="AG86">
        <f t="shared" si="84"/>
        <v>0</v>
      </c>
      <c r="AH86">
        <f t="shared" si="116"/>
        <v>0</v>
      </c>
      <c r="AI86">
        <f t="shared" si="116"/>
        <v>0</v>
      </c>
      <c r="AJ86">
        <f t="shared" si="85"/>
        <v>0</v>
      </c>
      <c r="AK86">
        <v>128</v>
      </c>
      <c r="AL86">
        <v>128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112</v>
      </c>
      <c r="AU86">
        <v>65</v>
      </c>
      <c r="AV86">
        <v>1</v>
      </c>
      <c r="AW86">
        <v>1</v>
      </c>
      <c r="AZ86">
        <v>1</v>
      </c>
      <c r="BA86">
        <v>1</v>
      </c>
      <c r="BB86">
        <v>1</v>
      </c>
      <c r="BC86">
        <v>8.9</v>
      </c>
      <c r="BD86" t="s">
        <v>3</v>
      </c>
      <c r="BE86" t="s">
        <v>3</v>
      </c>
      <c r="BF86" t="s">
        <v>3</v>
      </c>
      <c r="BG86" t="s">
        <v>3</v>
      </c>
      <c r="BH86">
        <v>3</v>
      </c>
      <c r="BI86">
        <v>1</v>
      </c>
      <c r="BJ86" t="s">
        <v>259</v>
      </c>
      <c r="BM86">
        <v>11001</v>
      </c>
      <c r="BN86">
        <v>0</v>
      </c>
      <c r="BO86" t="s">
        <v>3</v>
      </c>
      <c r="BP86">
        <v>0</v>
      </c>
      <c r="BQ86">
        <v>2</v>
      </c>
      <c r="BR86">
        <v>1</v>
      </c>
      <c r="BS86">
        <v>1</v>
      </c>
      <c r="BT86">
        <v>1</v>
      </c>
      <c r="BU86">
        <v>1</v>
      </c>
      <c r="BV86">
        <v>1</v>
      </c>
      <c r="BW86">
        <v>1</v>
      </c>
      <c r="BX86">
        <v>1</v>
      </c>
      <c r="BY86" t="s">
        <v>3</v>
      </c>
      <c r="BZ86">
        <v>112</v>
      </c>
      <c r="CA86">
        <v>65</v>
      </c>
      <c r="CB86" t="s">
        <v>3</v>
      </c>
      <c r="CE86">
        <v>0</v>
      </c>
      <c r="CF86">
        <v>0</v>
      </c>
      <c r="CG86">
        <v>0</v>
      </c>
      <c r="CM86">
        <v>0</v>
      </c>
      <c r="CN86" t="s">
        <v>3</v>
      </c>
      <c r="CO86">
        <v>0</v>
      </c>
      <c r="CP86">
        <f t="shared" si="86"/>
        <v>-114.19</v>
      </c>
      <c r="CQ86">
        <f t="shared" si="87"/>
        <v>1139.2</v>
      </c>
      <c r="CR86">
        <f t="shared" si="117"/>
        <v>0</v>
      </c>
      <c r="CS86">
        <f t="shared" si="88"/>
        <v>0</v>
      </c>
      <c r="CT86">
        <f t="shared" si="89"/>
        <v>0</v>
      </c>
      <c r="CU86">
        <f t="shared" si="90"/>
        <v>0</v>
      </c>
      <c r="CV86">
        <f t="shared" si="91"/>
        <v>0</v>
      </c>
      <c r="CW86">
        <f t="shared" si="92"/>
        <v>0</v>
      </c>
      <c r="CX86">
        <f t="shared" si="93"/>
        <v>0</v>
      </c>
      <c r="CY86">
        <f t="shared" si="94"/>
        <v>0</v>
      </c>
      <c r="CZ86">
        <f t="shared" si="95"/>
        <v>0</v>
      </c>
      <c r="DC86" t="s">
        <v>3</v>
      </c>
      <c r="DD86" t="s">
        <v>3</v>
      </c>
      <c r="DE86" t="s">
        <v>3</v>
      </c>
      <c r="DF86" t="s">
        <v>3</v>
      </c>
      <c r="DG86" t="s">
        <v>3</v>
      </c>
      <c r="DH86" t="s">
        <v>3</v>
      </c>
      <c r="DI86" t="s">
        <v>3</v>
      </c>
      <c r="DJ86" t="s">
        <v>3</v>
      </c>
      <c r="DK86" t="s">
        <v>3</v>
      </c>
      <c r="DL86" t="s">
        <v>3</v>
      </c>
      <c r="DM86" t="s">
        <v>3</v>
      </c>
      <c r="DN86">
        <v>0</v>
      </c>
      <c r="DO86">
        <v>0</v>
      </c>
      <c r="DP86">
        <v>1</v>
      </c>
      <c r="DQ86">
        <v>1</v>
      </c>
      <c r="DU86">
        <v>1013</v>
      </c>
      <c r="DV86" t="s">
        <v>21</v>
      </c>
      <c r="DW86" t="s">
        <v>21</v>
      </c>
      <c r="DX86">
        <v>1</v>
      </c>
      <c r="DZ86" t="s">
        <v>3</v>
      </c>
      <c r="EA86" t="s">
        <v>3</v>
      </c>
      <c r="EB86" t="s">
        <v>3</v>
      </c>
      <c r="EC86" t="s">
        <v>3</v>
      </c>
      <c r="EE86">
        <v>140625030</v>
      </c>
      <c r="EF86">
        <v>2</v>
      </c>
      <c r="EG86" t="s">
        <v>95</v>
      </c>
      <c r="EH86">
        <v>11</v>
      </c>
      <c r="EI86" t="s">
        <v>42</v>
      </c>
      <c r="EJ86">
        <v>1</v>
      </c>
      <c r="EK86">
        <v>11001</v>
      </c>
      <c r="EL86" t="s">
        <v>42</v>
      </c>
      <c r="EM86" t="s">
        <v>161</v>
      </c>
      <c r="EO86" t="s">
        <v>3</v>
      </c>
      <c r="EQ86">
        <v>0</v>
      </c>
      <c r="ER86">
        <v>128</v>
      </c>
      <c r="ES86">
        <v>128</v>
      </c>
      <c r="ET86">
        <v>0</v>
      </c>
      <c r="EU86">
        <v>0</v>
      </c>
      <c r="EV86">
        <v>0</v>
      </c>
      <c r="EW86">
        <v>0</v>
      </c>
      <c r="EX86">
        <v>0</v>
      </c>
      <c r="FQ86">
        <v>0</v>
      </c>
      <c r="FR86">
        <f t="shared" si="96"/>
        <v>0</v>
      </c>
      <c r="FS86">
        <v>0</v>
      </c>
      <c r="FX86">
        <v>112</v>
      </c>
      <c r="FY86">
        <v>65</v>
      </c>
      <c r="GA86" t="s">
        <v>3</v>
      </c>
      <c r="GD86">
        <v>1</v>
      </c>
      <c r="GF86">
        <v>-128047084</v>
      </c>
      <c r="GG86">
        <v>2</v>
      </c>
      <c r="GH86">
        <v>1</v>
      </c>
      <c r="GI86">
        <v>4</v>
      </c>
      <c r="GJ86">
        <v>0</v>
      </c>
      <c r="GK86">
        <v>0</v>
      </c>
      <c r="GL86">
        <f t="shared" si="97"/>
        <v>0</v>
      </c>
      <c r="GM86">
        <f t="shared" si="98"/>
        <v>-114.19</v>
      </c>
      <c r="GN86">
        <f t="shared" si="99"/>
        <v>-114.19</v>
      </c>
      <c r="GO86">
        <f t="shared" si="100"/>
        <v>0</v>
      </c>
      <c r="GP86">
        <f t="shared" si="101"/>
        <v>0</v>
      </c>
      <c r="GR86">
        <v>0</v>
      </c>
      <c r="GS86">
        <v>3</v>
      </c>
      <c r="GT86">
        <v>0</v>
      </c>
      <c r="GU86" t="s">
        <v>3</v>
      </c>
      <c r="GV86">
        <f t="shared" si="102"/>
        <v>0</v>
      </c>
      <c r="GW86">
        <v>1</v>
      </c>
      <c r="GX86">
        <f t="shared" si="103"/>
        <v>0</v>
      </c>
      <c r="HA86">
        <v>0</v>
      </c>
      <c r="HB86">
        <v>0</v>
      </c>
      <c r="HC86">
        <f t="shared" si="104"/>
        <v>0</v>
      </c>
      <c r="HE86" t="s">
        <v>3</v>
      </c>
      <c r="HF86" t="s">
        <v>3</v>
      </c>
      <c r="HM86" t="s">
        <v>3</v>
      </c>
      <c r="HN86" t="s">
        <v>163</v>
      </c>
      <c r="HO86" t="s">
        <v>164</v>
      </c>
      <c r="HP86" t="s">
        <v>42</v>
      </c>
      <c r="HQ86" t="s">
        <v>42</v>
      </c>
      <c r="IK86">
        <v>0</v>
      </c>
    </row>
    <row r="87" spans="1:245" x14ac:dyDescent="0.2">
      <c r="A87">
        <v>17</v>
      </c>
      <c r="B87">
        <v>1</v>
      </c>
      <c r="E87" t="s">
        <v>260</v>
      </c>
      <c r="F87" t="s">
        <v>29</v>
      </c>
      <c r="G87" t="s">
        <v>261</v>
      </c>
      <c r="H87" t="s">
        <v>31</v>
      </c>
      <c r="I87">
        <v>58</v>
      </c>
      <c r="J87">
        <v>0</v>
      </c>
      <c r="K87">
        <v>58</v>
      </c>
      <c r="O87">
        <f t="shared" si="72"/>
        <v>7299.07</v>
      </c>
      <c r="P87">
        <f t="shared" si="73"/>
        <v>7299.07</v>
      </c>
      <c r="Q87">
        <f t="shared" si="74"/>
        <v>0</v>
      </c>
      <c r="R87">
        <f t="shared" si="75"/>
        <v>0</v>
      </c>
      <c r="S87">
        <f t="shared" si="76"/>
        <v>0</v>
      </c>
      <c r="T87">
        <f t="shared" si="77"/>
        <v>0</v>
      </c>
      <c r="U87">
        <f t="shared" si="78"/>
        <v>0</v>
      </c>
      <c r="V87">
        <f t="shared" si="79"/>
        <v>0</v>
      </c>
      <c r="W87">
        <f t="shared" si="80"/>
        <v>0</v>
      </c>
      <c r="X87">
        <f t="shared" si="81"/>
        <v>0</v>
      </c>
      <c r="Y87">
        <f t="shared" si="82"/>
        <v>0</v>
      </c>
      <c r="AA87">
        <v>145026783</v>
      </c>
      <c r="AB87">
        <f t="shared" si="83"/>
        <v>14.14</v>
      </c>
      <c r="AC87">
        <f t="shared" si="111"/>
        <v>14.14</v>
      </c>
      <c r="AD87">
        <f t="shared" si="114"/>
        <v>0</v>
      </c>
      <c r="AE87">
        <f t="shared" si="115"/>
        <v>0</v>
      </c>
      <c r="AF87">
        <f t="shared" si="115"/>
        <v>0</v>
      </c>
      <c r="AG87">
        <f t="shared" si="84"/>
        <v>0</v>
      </c>
      <c r="AH87">
        <f t="shared" si="116"/>
        <v>0</v>
      </c>
      <c r="AI87">
        <f t="shared" si="116"/>
        <v>0</v>
      </c>
      <c r="AJ87">
        <f t="shared" si="85"/>
        <v>0</v>
      </c>
      <c r="AK87">
        <v>14.139999999999999</v>
      </c>
      <c r="AL87">
        <v>14.139999999999999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1</v>
      </c>
      <c r="AW87">
        <v>1</v>
      </c>
      <c r="AZ87">
        <v>1</v>
      </c>
      <c r="BA87">
        <v>1</v>
      </c>
      <c r="BB87">
        <v>1</v>
      </c>
      <c r="BC87">
        <v>8.9</v>
      </c>
      <c r="BD87" t="s">
        <v>3</v>
      </c>
      <c r="BE87" t="s">
        <v>3</v>
      </c>
      <c r="BF87" t="s">
        <v>3</v>
      </c>
      <c r="BG87" t="s">
        <v>3</v>
      </c>
      <c r="BH87">
        <v>3</v>
      </c>
      <c r="BI87">
        <v>1</v>
      </c>
      <c r="BJ87" t="s">
        <v>3</v>
      </c>
      <c r="BM87">
        <v>1100</v>
      </c>
      <c r="BN87">
        <v>0</v>
      </c>
      <c r="BO87" t="s">
        <v>3</v>
      </c>
      <c r="BP87">
        <v>0</v>
      </c>
      <c r="BQ87">
        <v>8</v>
      </c>
      <c r="BR87">
        <v>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 t="s">
        <v>3</v>
      </c>
      <c r="BZ87">
        <v>0</v>
      </c>
      <c r="CA87">
        <v>0</v>
      </c>
      <c r="CB87" t="s">
        <v>3</v>
      </c>
      <c r="CE87">
        <v>0</v>
      </c>
      <c r="CF87">
        <v>0</v>
      </c>
      <c r="CG87">
        <v>0</v>
      </c>
      <c r="CM87">
        <v>0</v>
      </c>
      <c r="CN87" t="s">
        <v>3</v>
      </c>
      <c r="CO87">
        <v>0</v>
      </c>
      <c r="CP87">
        <f t="shared" si="86"/>
        <v>7299.07</v>
      </c>
      <c r="CQ87">
        <f t="shared" si="87"/>
        <v>125.846</v>
      </c>
      <c r="CR87">
        <f t="shared" si="117"/>
        <v>0</v>
      </c>
      <c r="CS87">
        <f t="shared" si="88"/>
        <v>0</v>
      </c>
      <c r="CT87">
        <f t="shared" si="89"/>
        <v>0</v>
      </c>
      <c r="CU87">
        <f t="shared" si="90"/>
        <v>0</v>
      </c>
      <c r="CV87">
        <f t="shared" si="91"/>
        <v>0</v>
      </c>
      <c r="CW87">
        <f t="shared" si="92"/>
        <v>0</v>
      </c>
      <c r="CX87">
        <f t="shared" si="93"/>
        <v>0</v>
      </c>
      <c r="CY87">
        <f t="shared" si="94"/>
        <v>0</v>
      </c>
      <c r="CZ87">
        <f t="shared" si="95"/>
        <v>0</v>
      </c>
      <c r="DC87" t="s">
        <v>3</v>
      </c>
      <c r="DD87" t="s">
        <v>3</v>
      </c>
      <c r="DE87" t="s">
        <v>3</v>
      </c>
      <c r="DF87" t="s">
        <v>3</v>
      </c>
      <c r="DG87" t="s">
        <v>3</v>
      </c>
      <c r="DH87" t="s">
        <v>3</v>
      </c>
      <c r="DI87" t="s">
        <v>3</v>
      </c>
      <c r="DJ87" t="s">
        <v>3</v>
      </c>
      <c r="DK87" t="s">
        <v>3</v>
      </c>
      <c r="DL87" t="s">
        <v>3</v>
      </c>
      <c r="DM87" t="s">
        <v>3</v>
      </c>
      <c r="DN87">
        <v>0</v>
      </c>
      <c r="DO87">
        <v>0</v>
      </c>
      <c r="DP87">
        <v>1</v>
      </c>
      <c r="DQ87">
        <v>1</v>
      </c>
      <c r="DU87">
        <v>1010</v>
      </c>
      <c r="DV87" t="s">
        <v>31</v>
      </c>
      <c r="DW87" t="s">
        <v>31</v>
      </c>
      <c r="DX87">
        <v>1</v>
      </c>
      <c r="DZ87" t="s">
        <v>3</v>
      </c>
      <c r="EA87" t="s">
        <v>3</v>
      </c>
      <c r="EB87" t="s">
        <v>3</v>
      </c>
      <c r="EC87" t="s">
        <v>3</v>
      </c>
      <c r="EE87">
        <v>140625274</v>
      </c>
      <c r="EF87">
        <v>8</v>
      </c>
      <c r="EG87" t="s">
        <v>32</v>
      </c>
      <c r="EH87">
        <v>0</v>
      </c>
      <c r="EI87" t="s">
        <v>3</v>
      </c>
      <c r="EJ87">
        <v>1</v>
      </c>
      <c r="EK87">
        <v>1100</v>
      </c>
      <c r="EL87" t="s">
        <v>33</v>
      </c>
      <c r="EM87" t="s">
        <v>34</v>
      </c>
      <c r="EO87" t="s">
        <v>3</v>
      </c>
      <c r="EQ87">
        <v>0</v>
      </c>
      <c r="ER87">
        <v>14.379999999999999</v>
      </c>
      <c r="ES87">
        <v>14.139999999999999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5</v>
      </c>
      <c r="FC87">
        <v>1</v>
      </c>
      <c r="FD87">
        <v>18</v>
      </c>
      <c r="FF87">
        <v>141</v>
      </c>
      <c r="FQ87">
        <v>0</v>
      </c>
      <c r="FR87">
        <f t="shared" si="96"/>
        <v>0</v>
      </c>
      <c r="FS87">
        <v>0</v>
      </c>
      <c r="FX87">
        <v>0</v>
      </c>
      <c r="FY87">
        <v>0</v>
      </c>
      <c r="GA87" t="s">
        <v>262</v>
      </c>
      <c r="GD87">
        <v>1</v>
      </c>
      <c r="GF87">
        <v>1825251086</v>
      </c>
      <c r="GG87">
        <v>2</v>
      </c>
      <c r="GH87">
        <v>3</v>
      </c>
      <c r="GI87">
        <v>4</v>
      </c>
      <c r="GJ87">
        <v>0</v>
      </c>
      <c r="GK87">
        <v>0</v>
      </c>
      <c r="GL87">
        <f t="shared" si="97"/>
        <v>0</v>
      </c>
      <c r="GM87">
        <f t="shared" si="98"/>
        <v>7299.07</v>
      </c>
      <c r="GN87">
        <f t="shared" si="99"/>
        <v>7299.07</v>
      </c>
      <c r="GO87">
        <f t="shared" si="100"/>
        <v>0</v>
      </c>
      <c r="GP87">
        <f t="shared" si="101"/>
        <v>0</v>
      </c>
      <c r="GR87">
        <v>1</v>
      </c>
      <c r="GS87">
        <v>1</v>
      </c>
      <c r="GT87">
        <v>0</v>
      </c>
      <c r="GU87" t="s">
        <v>3</v>
      </c>
      <c r="GV87">
        <f t="shared" si="102"/>
        <v>0</v>
      </c>
      <c r="GW87">
        <v>1</v>
      </c>
      <c r="GX87">
        <f t="shared" si="103"/>
        <v>0</v>
      </c>
      <c r="HA87">
        <v>0</v>
      </c>
      <c r="HB87">
        <v>0</v>
      </c>
      <c r="HC87">
        <f t="shared" si="104"/>
        <v>0</v>
      </c>
      <c r="HE87" t="s">
        <v>36</v>
      </c>
      <c r="HF87" t="s">
        <v>28</v>
      </c>
      <c r="HM87" t="s">
        <v>3</v>
      </c>
      <c r="HN87" t="s">
        <v>3</v>
      </c>
      <c r="HO87" t="s">
        <v>3</v>
      </c>
      <c r="HP87" t="s">
        <v>3</v>
      </c>
      <c r="HQ87" t="s">
        <v>3</v>
      </c>
      <c r="IK87">
        <v>0</v>
      </c>
    </row>
    <row r="88" spans="1:245" x14ac:dyDescent="0.2">
      <c r="A88">
        <v>17</v>
      </c>
      <c r="B88">
        <v>1</v>
      </c>
      <c r="E88" t="s">
        <v>263</v>
      </c>
      <c r="F88" t="s">
        <v>29</v>
      </c>
      <c r="G88" t="s">
        <v>264</v>
      </c>
      <c r="H88" t="s">
        <v>31</v>
      </c>
      <c r="I88">
        <v>145</v>
      </c>
      <c r="J88">
        <v>0</v>
      </c>
      <c r="K88">
        <v>145</v>
      </c>
      <c r="O88">
        <f t="shared" si="72"/>
        <v>3884.41</v>
      </c>
      <c r="P88">
        <f t="shared" si="73"/>
        <v>3884.41</v>
      </c>
      <c r="Q88">
        <f t="shared" si="74"/>
        <v>0</v>
      </c>
      <c r="R88">
        <f t="shared" si="75"/>
        <v>0</v>
      </c>
      <c r="S88">
        <f t="shared" si="76"/>
        <v>0</v>
      </c>
      <c r="T88">
        <f t="shared" si="77"/>
        <v>0</v>
      </c>
      <c r="U88">
        <f t="shared" si="78"/>
        <v>0</v>
      </c>
      <c r="V88">
        <f t="shared" si="79"/>
        <v>0</v>
      </c>
      <c r="W88">
        <f t="shared" si="80"/>
        <v>0</v>
      </c>
      <c r="X88">
        <f t="shared" si="81"/>
        <v>0</v>
      </c>
      <c r="Y88">
        <f t="shared" si="82"/>
        <v>0</v>
      </c>
      <c r="AA88">
        <v>145026783</v>
      </c>
      <c r="AB88">
        <f t="shared" si="83"/>
        <v>3.01</v>
      </c>
      <c r="AC88">
        <f t="shared" si="111"/>
        <v>3.01</v>
      </c>
      <c r="AD88">
        <f t="shared" si="114"/>
        <v>0</v>
      </c>
      <c r="AE88">
        <f t="shared" si="115"/>
        <v>0</v>
      </c>
      <c r="AF88">
        <f t="shared" si="115"/>
        <v>0</v>
      </c>
      <c r="AG88">
        <f t="shared" si="84"/>
        <v>0</v>
      </c>
      <c r="AH88">
        <f t="shared" si="116"/>
        <v>0</v>
      </c>
      <c r="AI88">
        <f t="shared" si="116"/>
        <v>0</v>
      </c>
      <c r="AJ88">
        <f t="shared" si="85"/>
        <v>0</v>
      </c>
      <c r="AK88">
        <v>3.0100000000000002</v>
      </c>
      <c r="AL88">
        <v>3.0100000000000002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1</v>
      </c>
      <c r="AW88">
        <v>1</v>
      </c>
      <c r="AZ88">
        <v>1</v>
      </c>
      <c r="BA88">
        <v>1</v>
      </c>
      <c r="BB88">
        <v>1</v>
      </c>
      <c r="BC88">
        <v>8.9</v>
      </c>
      <c r="BD88" t="s">
        <v>3</v>
      </c>
      <c r="BE88" t="s">
        <v>3</v>
      </c>
      <c r="BF88" t="s">
        <v>3</v>
      </c>
      <c r="BG88" t="s">
        <v>3</v>
      </c>
      <c r="BH88">
        <v>3</v>
      </c>
      <c r="BI88">
        <v>1</v>
      </c>
      <c r="BJ88" t="s">
        <v>3</v>
      </c>
      <c r="BM88">
        <v>1100</v>
      </c>
      <c r="BN88">
        <v>0</v>
      </c>
      <c r="BO88" t="s">
        <v>3</v>
      </c>
      <c r="BP88">
        <v>0</v>
      </c>
      <c r="BQ88">
        <v>8</v>
      </c>
      <c r="BR88">
        <v>0</v>
      </c>
      <c r="BS88">
        <v>1</v>
      </c>
      <c r="BT88">
        <v>1</v>
      </c>
      <c r="BU88">
        <v>1</v>
      </c>
      <c r="BV88">
        <v>1</v>
      </c>
      <c r="BW88">
        <v>1</v>
      </c>
      <c r="BX88">
        <v>1</v>
      </c>
      <c r="BY88" t="s">
        <v>3</v>
      </c>
      <c r="BZ88">
        <v>0</v>
      </c>
      <c r="CA88">
        <v>0</v>
      </c>
      <c r="CB88" t="s">
        <v>3</v>
      </c>
      <c r="CE88">
        <v>0</v>
      </c>
      <c r="CF88">
        <v>0</v>
      </c>
      <c r="CG88">
        <v>0</v>
      </c>
      <c r="CM88">
        <v>0</v>
      </c>
      <c r="CN88" t="s">
        <v>3</v>
      </c>
      <c r="CO88">
        <v>0</v>
      </c>
      <c r="CP88">
        <f t="shared" si="86"/>
        <v>3884.41</v>
      </c>
      <c r="CQ88">
        <f t="shared" si="87"/>
        <v>26.788999999999998</v>
      </c>
      <c r="CR88">
        <f t="shared" si="117"/>
        <v>0</v>
      </c>
      <c r="CS88">
        <f t="shared" si="88"/>
        <v>0</v>
      </c>
      <c r="CT88">
        <f t="shared" si="89"/>
        <v>0</v>
      </c>
      <c r="CU88">
        <f t="shared" si="90"/>
        <v>0</v>
      </c>
      <c r="CV88">
        <f t="shared" si="91"/>
        <v>0</v>
      </c>
      <c r="CW88">
        <f t="shared" si="92"/>
        <v>0</v>
      </c>
      <c r="CX88">
        <f t="shared" si="93"/>
        <v>0</v>
      </c>
      <c r="CY88">
        <f t="shared" si="94"/>
        <v>0</v>
      </c>
      <c r="CZ88">
        <f t="shared" si="95"/>
        <v>0</v>
      </c>
      <c r="DC88" t="s">
        <v>3</v>
      </c>
      <c r="DD88" t="s">
        <v>3</v>
      </c>
      <c r="DE88" t="s">
        <v>3</v>
      </c>
      <c r="DF88" t="s">
        <v>3</v>
      </c>
      <c r="DG88" t="s">
        <v>3</v>
      </c>
      <c r="DH88" t="s">
        <v>3</v>
      </c>
      <c r="DI88" t="s">
        <v>3</v>
      </c>
      <c r="DJ88" t="s">
        <v>3</v>
      </c>
      <c r="DK88" t="s">
        <v>3</v>
      </c>
      <c r="DL88" t="s">
        <v>3</v>
      </c>
      <c r="DM88" t="s">
        <v>3</v>
      </c>
      <c r="DN88">
        <v>0</v>
      </c>
      <c r="DO88">
        <v>0</v>
      </c>
      <c r="DP88">
        <v>1</v>
      </c>
      <c r="DQ88">
        <v>1</v>
      </c>
      <c r="DU88">
        <v>1010</v>
      </c>
      <c r="DV88" t="s">
        <v>31</v>
      </c>
      <c r="DW88" t="s">
        <v>31</v>
      </c>
      <c r="DX88">
        <v>1</v>
      </c>
      <c r="DZ88" t="s">
        <v>3</v>
      </c>
      <c r="EA88" t="s">
        <v>3</v>
      </c>
      <c r="EB88" t="s">
        <v>3</v>
      </c>
      <c r="EC88" t="s">
        <v>3</v>
      </c>
      <c r="EE88">
        <v>140625274</v>
      </c>
      <c r="EF88">
        <v>8</v>
      </c>
      <c r="EG88" t="s">
        <v>32</v>
      </c>
      <c r="EH88">
        <v>0</v>
      </c>
      <c r="EI88" t="s">
        <v>3</v>
      </c>
      <c r="EJ88">
        <v>1</v>
      </c>
      <c r="EK88">
        <v>1100</v>
      </c>
      <c r="EL88" t="s">
        <v>33</v>
      </c>
      <c r="EM88" t="s">
        <v>34</v>
      </c>
      <c r="EO88" t="s">
        <v>3</v>
      </c>
      <c r="EQ88">
        <v>0</v>
      </c>
      <c r="ER88">
        <v>3.06</v>
      </c>
      <c r="ES88">
        <v>3.0100000000000002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5</v>
      </c>
      <c r="FC88">
        <v>1</v>
      </c>
      <c r="FD88">
        <v>18</v>
      </c>
      <c r="FF88">
        <v>30</v>
      </c>
      <c r="FQ88">
        <v>0</v>
      </c>
      <c r="FR88">
        <f t="shared" si="96"/>
        <v>0</v>
      </c>
      <c r="FS88">
        <v>0</v>
      </c>
      <c r="FX88">
        <v>0</v>
      </c>
      <c r="FY88">
        <v>0</v>
      </c>
      <c r="GA88" t="s">
        <v>265</v>
      </c>
      <c r="GD88">
        <v>1</v>
      </c>
      <c r="GF88">
        <v>-972095516</v>
      </c>
      <c r="GG88">
        <v>2</v>
      </c>
      <c r="GH88">
        <v>3</v>
      </c>
      <c r="GI88">
        <v>4</v>
      </c>
      <c r="GJ88">
        <v>0</v>
      </c>
      <c r="GK88">
        <v>0</v>
      </c>
      <c r="GL88">
        <f t="shared" si="97"/>
        <v>0</v>
      </c>
      <c r="GM88">
        <f t="shared" si="98"/>
        <v>3884.41</v>
      </c>
      <c r="GN88">
        <f t="shared" si="99"/>
        <v>3884.41</v>
      </c>
      <c r="GO88">
        <f t="shared" si="100"/>
        <v>0</v>
      </c>
      <c r="GP88">
        <f t="shared" si="101"/>
        <v>0</v>
      </c>
      <c r="GR88">
        <v>1</v>
      </c>
      <c r="GS88">
        <v>1</v>
      </c>
      <c r="GT88">
        <v>0</v>
      </c>
      <c r="GU88" t="s">
        <v>3</v>
      </c>
      <c r="GV88">
        <f t="shared" si="102"/>
        <v>0</v>
      </c>
      <c r="GW88">
        <v>1</v>
      </c>
      <c r="GX88">
        <f t="shared" si="103"/>
        <v>0</v>
      </c>
      <c r="HA88">
        <v>0</v>
      </c>
      <c r="HB88">
        <v>0</v>
      </c>
      <c r="HC88">
        <f t="shared" si="104"/>
        <v>0</v>
      </c>
      <c r="HE88" t="s">
        <v>36</v>
      </c>
      <c r="HF88" t="s">
        <v>28</v>
      </c>
      <c r="HM88" t="s">
        <v>3</v>
      </c>
      <c r="HN88" t="s">
        <v>3</v>
      </c>
      <c r="HO88" t="s">
        <v>3</v>
      </c>
      <c r="HP88" t="s">
        <v>3</v>
      </c>
      <c r="HQ88" t="s">
        <v>3</v>
      </c>
      <c r="IK88">
        <v>0</v>
      </c>
    </row>
    <row r="89" spans="1:245" x14ac:dyDescent="0.2">
      <c r="A89">
        <v>17</v>
      </c>
      <c r="B89">
        <v>1</v>
      </c>
      <c r="C89">
        <f>ROW(SmtRes!A136)</f>
        <v>136</v>
      </c>
      <c r="D89">
        <f>ROW(EtalonRes!A151)</f>
        <v>151</v>
      </c>
      <c r="E89" t="s">
        <v>266</v>
      </c>
      <c r="F89" t="s">
        <v>267</v>
      </c>
      <c r="G89" t="s">
        <v>268</v>
      </c>
      <c r="H89" t="s">
        <v>40</v>
      </c>
      <c r="I89">
        <f>ROUND(((0.6*2.1+0.8*2.1))/100,9)</f>
        <v>2.9399999999999999E-2</v>
      </c>
      <c r="J89">
        <v>0</v>
      </c>
      <c r="K89">
        <f>ROUND(((0.6*2.1+0.8*2.1))/100,9)</f>
        <v>2.9399999999999999E-2</v>
      </c>
      <c r="O89">
        <f t="shared" si="72"/>
        <v>773.71</v>
      </c>
      <c r="P89">
        <f t="shared" si="73"/>
        <v>10.66</v>
      </c>
      <c r="Q89">
        <f t="shared" si="74"/>
        <v>128.36000000000001</v>
      </c>
      <c r="R89">
        <f t="shared" si="75"/>
        <v>48.13</v>
      </c>
      <c r="S89">
        <f t="shared" si="76"/>
        <v>634.69000000000005</v>
      </c>
      <c r="T89">
        <f t="shared" si="77"/>
        <v>0</v>
      </c>
      <c r="U89">
        <f t="shared" si="78"/>
        <v>2.2686509999999998</v>
      </c>
      <c r="V89">
        <f t="shared" si="79"/>
        <v>0.12200999999999998</v>
      </c>
      <c r="W89">
        <f t="shared" si="80"/>
        <v>0</v>
      </c>
      <c r="X89">
        <f t="shared" si="81"/>
        <v>737.45</v>
      </c>
      <c r="Y89">
        <f t="shared" si="82"/>
        <v>319.22000000000003</v>
      </c>
      <c r="AA89">
        <v>145026783</v>
      </c>
      <c r="AB89">
        <f t="shared" si="83"/>
        <v>1066.0999999999999</v>
      </c>
      <c r="AC89">
        <f t="shared" si="111"/>
        <v>40.729999999999997</v>
      </c>
      <c r="AD89">
        <f>ROUND(((((ET89*1.25))-((EU89*1.25)))+AE89),2)</f>
        <v>350.95</v>
      </c>
      <c r="AE89">
        <f>ROUND(((EU89*1.25)),2)</f>
        <v>51.14</v>
      </c>
      <c r="AF89">
        <f>ROUND(((EV89*1.15)),2)</f>
        <v>674.42</v>
      </c>
      <c r="AG89">
        <f t="shared" si="84"/>
        <v>0</v>
      </c>
      <c r="AH89">
        <f>((EW89*1.15))</f>
        <v>77.164999999999992</v>
      </c>
      <c r="AI89">
        <f>((EX89*1.25))</f>
        <v>4.1499999999999995</v>
      </c>
      <c r="AJ89">
        <f t="shared" si="85"/>
        <v>0</v>
      </c>
      <c r="AK89">
        <v>907.94</v>
      </c>
      <c r="AL89">
        <v>40.729999999999997</v>
      </c>
      <c r="AM89">
        <v>280.76</v>
      </c>
      <c r="AN89">
        <v>40.909999999999997</v>
      </c>
      <c r="AO89">
        <v>586.45000000000005</v>
      </c>
      <c r="AP89">
        <v>0</v>
      </c>
      <c r="AQ89">
        <v>67.099999999999994</v>
      </c>
      <c r="AR89">
        <v>3.32</v>
      </c>
      <c r="AS89">
        <v>0</v>
      </c>
      <c r="AT89">
        <v>108</v>
      </c>
      <c r="AU89">
        <v>46.75</v>
      </c>
      <c r="AV89">
        <v>1</v>
      </c>
      <c r="AW89">
        <v>1</v>
      </c>
      <c r="AZ89">
        <v>1</v>
      </c>
      <c r="BA89">
        <v>32.01</v>
      </c>
      <c r="BB89">
        <v>12.44</v>
      </c>
      <c r="BC89">
        <v>8.9</v>
      </c>
      <c r="BD89" t="s">
        <v>3</v>
      </c>
      <c r="BE89" t="s">
        <v>3</v>
      </c>
      <c r="BF89" t="s">
        <v>3</v>
      </c>
      <c r="BG89" t="s">
        <v>3</v>
      </c>
      <c r="BH89">
        <v>0</v>
      </c>
      <c r="BI89">
        <v>1</v>
      </c>
      <c r="BJ89" t="s">
        <v>269</v>
      </c>
      <c r="BM89">
        <v>10001</v>
      </c>
      <c r="BN89">
        <v>0</v>
      </c>
      <c r="BO89" t="s">
        <v>3</v>
      </c>
      <c r="BP89">
        <v>0</v>
      </c>
      <c r="BQ89">
        <v>2</v>
      </c>
      <c r="BR89">
        <v>0</v>
      </c>
      <c r="BS89">
        <v>32.01</v>
      </c>
      <c r="BT89">
        <v>1</v>
      </c>
      <c r="BU89">
        <v>1</v>
      </c>
      <c r="BV89">
        <v>1</v>
      </c>
      <c r="BW89">
        <v>1</v>
      </c>
      <c r="BX89">
        <v>1</v>
      </c>
      <c r="BY89" t="s">
        <v>3</v>
      </c>
      <c r="BZ89">
        <v>108</v>
      </c>
      <c r="CA89">
        <v>55</v>
      </c>
      <c r="CB89" t="s">
        <v>3</v>
      </c>
      <c r="CE89">
        <v>0</v>
      </c>
      <c r="CF89">
        <v>0</v>
      </c>
      <c r="CG89">
        <v>0</v>
      </c>
      <c r="CM89">
        <v>0</v>
      </c>
      <c r="CN89" t="s">
        <v>160</v>
      </c>
      <c r="CO89">
        <v>0</v>
      </c>
      <c r="CP89">
        <f t="shared" si="86"/>
        <v>773.71</v>
      </c>
      <c r="CQ89">
        <f t="shared" si="87"/>
        <v>362.49700000000001</v>
      </c>
      <c r="CR89">
        <f>((((ET89*1.25))*BB89-((EU89*1.25))*BS89)+AE89*BS89)</f>
        <v>4365.8980249999995</v>
      </c>
      <c r="CS89">
        <f t="shared" si="88"/>
        <v>1636.9913999999999</v>
      </c>
      <c r="CT89">
        <f t="shared" si="89"/>
        <v>21588.184199999996</v>
      </c>
      <c r="CU89">
        <f t="shared" si="90"/>
        <v>0</v>
      </c>
      <c r="CV89">
        <f t="shared" si="91"/>
        <v>77.164999999999992</v>
      </c>
      <c r="CW89">
        <f t="shared" si="92"/>
        <v>4.1499999999999995</v>
      </c>
      <c r="CX89">
        <f t="shared" si="93"/>
        <v>0</v>
      </c>
      <c r="CY89">
        <f t="shared" si="94"/>
        <v>737.44560000000013</v>
      </c>
      <c r="CZ89">
        <f t="shared" si="95"/>
        <v>319.21835000000004</v>
      </c>
      <c r="DC89" t="s">
        <v>3</v>
      </c>
      <c r="DD89" t="s">
        <v>3</v>
      </c>
      <c r="DE89" t="s">
        <v>148</v>
      </c>
      <c r="DF89" t="s">
        <v>148</v>
      </c>
      <c r="DG89" t="s">
        <v>149</v>
      </c>
      <c r="DH89" t="s">
        <v>3</v>
      </c>
      <c r="DI89" t="s">
        <v>149</v>
      </c>
      <c r="DJ89" t="s">
        <v>148</v>
      </c>
      <c r="DK89" t="s">
        <v>3</v>
      </c>
      <c r="DL89" t="s">
        <v>3</v>
      </c>
      <c r="DM89" t="s">
        <v>150</v>
      </c>
      <c r="DN89">
        <v>0</v>
      </c>
      <c r="DO89">
        <v>0</v>
      </c>
      <c r="DP89">
        <v>1</v>
      </c>
      <c r="DQ89">
        <v>1</v>
      </c>
      <c r="DU89">
        <v>1005</v>
      </c>
      <c r="DV89" t="s">
        <v>40</v>
      </c>
      <c r="DW89" t="s">
        <v>40</v>
      </c>
      <c r="DX89">
        <v>100</v>
      </c>
      <c r="DZ89" t="s">
        <v>3</v>
      </c>
      <c r="EA89" t="s">
        <v>3</v>
      </c>
      <c r="EB89" t="s">
        <v>3</v>
      </c>
      <c r="EC89" t="s">
        <v>3</v>
      </c>
      <c r="EE89">
        <v>140625028</v>
      </c>
      <c r="EF89">
        <v>2</v>
      </c>
      <c r="EG89" t="s">
        <v>95</v>
      </c>
      <c r="EH89">
        <v>10</v>
      </c>
      <c r="EI89" t="s">
        <v>96</v>
      </c>
      <c r="EJ89">
        <v>1</v>
      </c>
      <c r="EK89">
        <v>10001</v>
      </c>
      <c r="EL89" t="s">
        <v>96</v>
      </c>
      <c r="EM89" t="s">
        <v>97</v>
      </c>
      <c r="EO89" t="s">
        <v>162</v>
      </c>
      <c r="EQ89">
        <v>0</v>
      </c>
      <c r="ER89">
        <v>907.94</v>
      </c>
      <c r="ES89">
        <v>40.729999999999997</v>
      </c>
      <c r="ET89">
        <v>280.76</v>
      </c>
      <c r="EU89">
        <v>40.909999999999997</v>
      </c>
      <c r="EV89">
        <v>586.45000000000005</v>
      </c>
      <c r="EW89">
        <v>67.099999999999994</v>
      </c>
      <c r="EX89">
        <v>3.32</v>
      </c>
      <c r="EY89">
        <v>0</v>
      </c>
      <c r="FQ89">
        <v>0</v>
      </c>
      <c r="FR89">
        <f t="shared" si="96"/>
        <v>0</v>
      </c>
      <c r="FS89">
        <v>0</v>
      </c>
      <c r="FX89">
        <v>108</v>
      </c>
      <c r="FY89">
        <v>46.75</v>
      </c>
      <c r="GA89" t="s">
        <v>3</v>
      </c>
      <c r="GD89">
        <v>1</v>
      </c>
      <c r="GF89">
        <v>-1486637050</v>
      </c>
      <c r="GG89">
        <v>2</v>
      </c>
      <c r="GH89">
        <v>1</v>
      </c>
      <c r="GI89">
        <v>4</v>
      </c>
      <c r="GJ89">
        <v>0</v>
      </c>
      <c r="GK89">
        <v>0</v>
      </c>
      <c r="GL89">
        <f t="shared" si="97"/>
        <v>0</v>
      </c>
      <c r="GM89">
        <f t="shared" si="98"/>
        <v>1830.38</v>
      </c>
      <c r="GN89">
        <f t="shared" si="99"/>
        <v>1830.38</v>
      </c>
      <c r="GO89">
        <f t="shared" si="100"/>
        <v>0</v>
      </c>
      <c r="GP89">
        <f t="shared" si="101"/>
        <v>0</v>
      </c>
      <c r="GR89">
        <v>0</v>
      </c>
      <c r="GS89">
        <v>3</v>
      </c>
      <c r="GT89">
        <v>0</v>
      </c>
      <c r="GU89" t="s">
        <v>3</v>
      </c>
      <c r="GV89">
        <f t="shared" si="102"/>
        <v>0</v>
      </c>
      <c r="GW89">
        <v>1</v>
      </c>
      <c r="GX89">
        <f t="shared" si="103"/>
        <v>0</v>
      </c>
      <c r="HA89">
        <v>0</v>
      </c>
      <c r="HB89">
        <v>0</v>
      </c>
      <c r="HC89">
        <f t="shared" si="104"/>
        <v>0</v>
      </c>
      <c r="HE89" t="s">
        <v>3</v>
      </c>
      <c r="HF89" t="s">
        <v>3</v>
      </c>
      <c r="HM89" t="s">
        <v>3</v>
      </c>
      <c r="HN89" t="s">
        <v>99</v>
      </c>
      <c r="HO89" t="s">
        <v>100</v>
      </c>
      <c r="HP89" t="s">
        <v>96</v>
      </c>
      <c r="HQ89" t="s">
        <v>96</v>
      </c>
      <c r="IK89">
        <v>0</v>
      </c>
    </row>
    <row r="90" spans="1:245" x14ac:dyDescent="0.2">
      <c r="A90">
        <v>17</v>
      </c>
      <c r="B90">
        <v>1</v>
      </c>
      <c r="E90" t="s">
        <v>270</v>
      </c>
      <c r="F90" t="s">
        <v>29</v>
      </c>
      <c r="G90" t="s">
        <v>271</v>
      </c>
      <c r="H90" t="s">
        <v>31</v>
      </c>
      <c r="I90">
        <v>1</v>
      </c>
      <c r="J90">
        <v>0</v>
      </c>
      <c r="K90">
        <v>1</v>
      </c>
      <c r="O90">
        <f t="shared" si="72"/>
        <v>5073.8900000000003</v>
      </c>
      <c r="P90">
        <f t="shared" si="73"/>
        <v>5073.8900000000003</v>
      </c>
      <c r="Q90">
        <f t="shared" si="74"/>
        <v>0</v>
      </c>
      <c r="R90">
        <f t="shared" si="75"/>
        <v>0</v>
      </c>
      <c r="S90">
        <f t="shared" si="76"/>
        <v>0</v>
      </c>
      <c r="T90">
        <f t="shared" si="77"/>
        <v>0</v>
      </c>
      <c r="U90">
        <f t="shared" si="78"/>
        <v>0</v>
      </c>
      <c r="V90">
        <f t="shared" si="79"/>
        <v>0</v>
      </c>
      <c r="W90">
        <f t="shared" si="80"/>
        <v>0</v>
      </c>
      <c r="X90">
        <f t="shared" si="81"/>
        <v>0</v>
      </c>
      <c r="Y90">
        <f t="shared" si="82"/>
        <v>0</v>
      </c>
      <c r="AA90">
        <v>145026783</v>
      </c>
      <c r="AB90">
        <f t="shared" si="83"/>
        <v>570.1</v>
      </c>
      <c r="AC90">
        <f t="shared" si="111"/>
        <v>570.1</v>
      </c>
      <c r="AD90">
        <f>ROUND((((ET90)-(EU90))+AE90),2)</f>
        <v>0</v>
      </c>
      <c r="AE90">
        <f t="shared" ref="AE90:AF94" si="118">ROUND((EU90),2)</f>
        <v>0</v>
      </c>
      <c r="AF90">
        <f t="shared" si="118"/>
        <v>0</v>
      </c>
      <c r="AG90">
        <f t="shared" si="84"/>
        <v>0</v>
      </c>
      <c r="AH90">
        <f t="shared" ref="AH90:AI94" si="119">(EW90)</f>
        <v>0</v>
      </c>
      <c r="AI90">
        <f t="shared" si="119"/>
        <v>0</v>
      </c>
      <c r="AJ90">
        <f t="shared" si="85"/>
        <v>0</v>
      </c>
      <c r="AK90">
        <v>570.09999999999991</v>
      </c>
      <c r="AL90">
        <v>570.09999999999991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1</v>
      </c>
      <c r="AW90">
        <v>1</v>
      </c>
      <c r="AZ90">
        <v>1</v>
      </c>
      <c r="BA90">
        <v>1</v>
      </c>
      <c r="BB90">
        <v>1</v>
      </c>
      <c r="BC90">
        <v>8.9</v>
      </c>
      <c r="BD90" t="s">
        <v>3</v>
      </c>
      <c r="BE90" t="s">
        <v>3</v>
      </c>
      <c r="BF90" t="s">
        <v>3</v>
      </c>
      <c r="BG90" t="s">
        <v>3</v>
      </c>
      <c r="BH90">
        <v>3</v>
      </c>
      <c r="BI90">
        <v>1</v>
      </c>
      <c r="BJ90" t="s">
        <v>3</v>
      </c>
      <c r="BM90">
        <v>1100</v>
      </c>
      <c r="BN90">
        <v>0</v>
      </c>
      <c r="BO90" t="s">
        <v>3</v>
      </c>
      <c r="BP90">
        <v>0</v>
      </c>
      <c r="BQ90">
        <v>8</v>
      </c>
      <c r="BR90">
        <v>0</v>
      </c>
      <c r="BS90">
        <v>1</v>
      </c>
      <c r="BT90">
        <v>1</v>
      </c>
      <c r="BU90">
        <v>1</v>
      </c>
      <c r="BV90">
        <v>1</v>
      </c>
      <c r="BW90">
        <v>1</v>
      </c>
      <c r="BX90">
        <v>1</v>
      </c>
      <c r="BY90" t="s">
        <v>3</v>
      </c>
      <c r="BZ90">
        <v>0</v>
      </c>
      <c r="CA90">
        <v>0</v>
      </c>
      <c r="CB90" t="s">
        <v>3</v>
      </c>
      <c r="CE90">
        <v>0</v>
      </c>
      <c r="CF90">
        <v>0</v>
      </c>
      <c r="CG90">
        <v>0</v>
      </c>
      <c r="CM90">
        <v>0</v>
      </c>
      <c r="CN90" t="s">
        <v>3</v>
      </c>
      <c r="CO90">
        <v>0</v>
      </c>
      <c r="CP90">
        <f t="shared" si="86"/>
        <v>5073.8900000000003</v>
      </c>
      <c r="CQ90">
        <f t="shared" si="87"/>
        <v>5073.8900000000003</v>
      </c>
      <c r="CR90">
        <f>(((ET90)*BB90-(EU90)*BS90)+AE90*BS90)</f>
        <v>0</v>
      </c>
      <c r="CS90">
        <f t="shared" si="88"/>
        <v>0</v>
      </c>
      <c r="CT90">
        <f t="shared" si="89"/>
        <v>0</v>
      </c>
      <c r="CU90">
        <f t="shared" si="90"/>
        <v>0</v>
      </c>
      <c r="CV90">
        <f t="shared" si="91"/>
        <v>0</v>
      </c>
      <c r="CW90">
        <f t="shared" si="92"/>
        <v>0</v>
      </c>
      <c r="CX90">
        <f t="shared" si="93"/>
        <v>0</v>
      </c>
      <c r="CY90">
        <f t="shared" si="94"/>
        <v>0</v>
      </c>
      <c r="CZ90">
        <f t="shared" si="95"/>
        <v>0</v>
      </c>
      <c r="DC90" t="s">
        <v>3</v>
      </c>
      <c r="DD90" t="s">
        <v>3</v>
      </c>
      <c r="DE90" t="s">
        <v>3</v>
      </c>
      <c r="DF90" t="s">
        <v>3</v>
      </c>
      <c r="DG90" t="s">
        <v>3</v>
      </c>
      <c r="DH90" t="s">
        <v>3</v>
      </c>
      <c r="DI90" t="s">
        <v>3</v>
      </c>
      <c r="DJ90" t="s">
        <v>3</v>
      </c>
      <c r="DK90" t="s">
        <v>3</v>
      </c>
      <c r="DL90" t="s">
        <v>3</v>
      </c>
      <c r="DM90" t="s">
        <v>3</v>
      </c>
      <c r="DN90">
        <v>0</v>
      </c>
      <c r="DO90">
        <v>0</v>
      </c>
      <c r="DP90">
        <v>1</v>
      </c>
      <c r="DQ90">
        <v>1</v>
      </c>
      <c r="DU90">
        <v>1010</v>
      </c>
      <c r="DV90" t="s">
        <v>31</v>
      </c>
      <c r="DW90" t="s">
        <v>31</v>
      </c>
      <c r="DX90">
        <v>1</v>
      </c>
      <c r="DZ90" t="s">
        <v>3</v>
      </c>
      <c r="EA90" t="s">
        <v>3</v>
      </c>
      <c r="EB90" t="s">
        <v>3</v>
      </c>
      <c r="EC90" t="s">
        <v>3</v>
      </c>
      <c r="EE90">
        <v>140625274</v>
      </c>
      <c r="EF90">
        <v>8</v>
      </c>
      <c r="EG90" t="s">
        <v>32</v>
      </c>
      <c r="EH90">
        <v>0</v>
      </c>
      <c r="EI90" t="s">
        <v>3</v>
      </c>
      <c r="EJ90">
        <v>1</v>
      </c>
      <c r="EK90">
        <v>1100</v>
      </c>
      <c r="EL90" t="s">
        <v>33</v>
      </c>
      <c r="EM90" t="s">
        <v>34</v>
      </c>
      <c r="EO90" t="s">
        <v>3</v>
      </c>
      <c r="EQ90">
        <v>0</v>
      </c>
      <c r="ER90">
        <v>579.87</v>
      </c>
      <c r="ES90">
        <v>570.09999999999991</v>
      </c>
      <c r="ET90">
        <v>0</v>
      </c>
      <c r="EU90">
        <v>0</v>
      </c>
      <c r="EV90">
        <v>0</v>
      </c>
      <c r="EW90">
        <v>0</v>
      </c>
      <c r="EX90">
        <v>0</v>
      </c>
      <c r="EY90">
        <v>0</v>
      </c>
      <c r="EZ90">
        <v>5</v>
      </c>
      <c r="FC90">
        <v>1</v>
      </c>
      <c r="FD90">
        <v>18</v>
      </c>
      <c r="FF90">
        <v>5685</v>
      </c>
      <c r="FQ90">
        <v>0</v>
      </c>
      <c r="FR90">
        <f t="shared" si="96"/>
        <v>0</v>
      </c>
      <c r="FS90">
        <v>0</v>
      </c>
      <c r="FX90">
        <v>0</v>
      </c>
      <c r="FY90">
        <v>0</v>
      </c>
      <c r="GA90" t="s">
        <v>272</v>
      </c>
      <c r="GD90">
        <v>1</v>
      </c>
      <c r="GF90">
        <v>398149558</v>
      </c>
      <c r="GG90">
        <v>2</v>
      </c>
      <c r="GH90">
        <v>3</v>
      </c>
      <c r="GI90">
        <v>4</v>
      </c>
      <c r="GJ90">
        <v>0</v>
      </c>
      <c r="GK90">
        <v>0</v>
      </c>
      <c r="GL90">
        <f t="shared" si="97"/>
        <v>0</v>
      </c>
      <c r="GM90">
        <f t="shared" si="98"/>
        <v>5073.8900000000003</v>
      </c>
      <c r="GN90">
        <f t="shared" si="99"/>
        <v>5073.8900000000003</v>
      </c>
      <c r="GO90">
        <f t="shared" si="100"/>
        <v>0</v>
      </c>
      <c r="GP90">
        <f t="shared" si="101"/>
        <v>0</v>
      </c>
      <c r="GR90">
        <v>1</v>
      </c>
      <c r="GS90">
        <v>1</v>
      </c>
      <c r="GT90">
        <v>0</v>
      </c>
      <c r="GU90" t="s">
        <v>3</v>
      </c>
      <c r="GV90">
        <f t="shared" si="102"/>
        <v>0</v>
      </c>
      <c r="GW90">
        <v>1</v>
      </c>
      <c r="GX90">
        <f t="shared" si="103"/>
        <v>0</v>
      </c>
      <c r="HA90">
        <v>0</v>
      </c>
      <c r="HB90">
        <v>0</v>
      </c>
      <c r="HC90">
        <f t="shared" si="104"/>
        <v>0</v>
      </c>
      <c r="HE90" t="s">
        <v>36</v>
      </c>
      <c r="HF90" t="s">
        <v>28</v>
      </c>
      <c r="HM90" t="s">
        <v>3</v>
      </c>
      <c r="HN90" t="s">
        <v>3</v>
      </c>
      <c r="HO90" t="s">
        <v>3</v>
      </c>
      <c r="HP90" t="s">
        <v>3</v>
      </c>
      <c r="HQ90" t="s">
        <v>3</v>
      </c>
      <c r="IK90">
        <v>0</v>
      </c>
    </row>
    <row r="91" spans="1:245" x14ac:dyDescent="0.2">
      <c r="A91">
        <v>17</v>
      </c>
      <c r="B91">
        <v>1</v>
      </c>
      <c r="E91" t="s">
        <v>273</v>
      </c>
      <c r="F91" t="s">
        <v>29</v>
      </c>
      <c r="G91" t="s">
        <v>274</v>
      </c>
      <c r="H91" t="s">
        <v>31</v>
      </c>
      <c r="I91">
        <v>1</v>
      </c>
      <c r="J91">
        <v>0</v>
      </c>
      <c r="K91">
        <v>1</v>
      </c>
      <c r="O91">
        <f t="shared" si="72"/>
        <v>5073.8900000000003</v>
      </c>
      <c r="P91">
        <f t="shared" si="73"/>
        <v>5073.8900000000003</v>
      </c>
      <c r="Q91">
        <f t="shared" si="74"/>
        <v>0</v>
      </c>
      <c r="R91">
        <f t="shared" si="75"/>
        <v>0</v>
      </c>
      <c r="S91">
        <f t="shared" si="76"/>
        <v>0</v>
      </c>
      <c r="T91">
        <f t="shared" si="77"/>
        <v>0</v>
      </c>
      <c r="U91">
        <f t="shared" si="78"/>
        <v>0</v>
      </c>
      <c r="V91">
        <f t="shared" si="79"/>
        <v>0</v>
      </c>
      <c r="W91">
        <f t="shared" si="80"/>
        <v>0</v>
      </c>
      <c r="X91">
        <f t="shared" si="81"/>
        <v>0</v>
      </c>
      <c r="Y91">
        <f t="shared" si="82"/>
        <v>0</v>
      </c>
      <c r="AA91">
        <v>145026783</v>
      </c>
      <c r="AB91">
        <f t="shared" si="83"/>
        <v>570.1</v>
      </c>
      <c r="AC91">
        <f t="shared" si="111"/>
        <v>570.1</v>
      </c>
      <c r="AD91">
        <f>ROUND((((ET91)-(EU91))+AE91),2)</f>
        <v>0</v>
      </c>
      <c r="AE91">
        <f t="shared" si="118"/>
        <v>0</v>
      </c>
      <c r="AF91">
        <f t="shared" si="118"/>
        <v>0</v>
      </c>
      <c r="AG91">
        <f t="shared" si="84"/>
        <v>0</v>
      </c>
      <c r="AH91">
        <f t="shared" si="119"/>
        <v>0</v>
      </c>
      <c r="AI91">
        <f t="shared" si="119"/>
        <v>0</v>
      </c>
      <c r="AJ91">
        <f t="shared" si="85"/>
        <v>0</v>
      </c>
      <c r="AK91">
        <v>570.09999999999991</v>
      </c>
      <c r="AL91">
        <v>570.09999999999991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1</v>
      </c>
      <c r="AW91">
        <v>1</v>
      </c>
      <c r="AZ91">
        <v>1</v>
      </c>
      <c r="BA91">
        <v>1</v>
      </c>
      <c r="BB91">
        <v>1</v>
      </c>
      <c r="BC91">
        <v>8.9</v>
      </c>
      <c r="BD91" t="s">
        <v>3</v>
      </c>
      <c r="BE91" t="s">
        <v>3</v>
      </c>
      <c r="BF91" t="s">
        <v>3</v>
      </c>
      <c r="BG91" t="s">
        <v>3</v>
      </c>
      <c r="BH91">
        <v>3</v>
      </c>
      <c r="BI91">
        <v>1</v>
      </c>
      <c r="BJ91" t="s">
        <v>3</v>
      </c>
      <c r="BM91">
        <v>1100</v>
      </c>
      <c r="BN91">
        <v>0</v>
      </c>
      <c r="BO91" t="s">
        <v>3</v>
      </c>
      <c r="BP91">
        <v>0</v>
      </c>
      <c r="BQ91">
        <v>8</v>
      </c>
      <c r="BR91">
        <v>0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Y91" t="s">
        <v>3</v>
      </c>
      <c r="BZ91">
        <v>0</v>
      </c>
      <c r="CA91">
        <v>0</v>
      </c>
      <c r="CB91" t="s">
        <v>3</v>
      </c>
      <c r="CE91">
        <v>0</v>
      </c>
      <c r="CF91">
        <v>0</v>
      </c>
      <c r="CG91">
        <v>0</v>
      </c>
      <c r="CM91">
        <v>0</v>
      </c>
      <c r="CN91" t="s">
        <v>3</v>
      </c>
      <c r="CO91">
        <v>0</v>
      </c>
      <c r="CP91">
        <f t="shared" si="86"/>
        <v>5073.8900000000003</v>
      </c>
      <c r="CQ91">
        <f t="shared" si="87"/>
        <v>5073.8900000000003</v>
      </c>
      <c r="CR91">
        <f>(((ET91)*BB91-(EU91)*BS91)+AE91*BS91)</f>
        <v>0</v>
      </c>
      <c r="CS91">
        <f t="shared" si="88"/>
        <v>0</v>
      </c>
      <c r="CT91">
        <f t="shared" si="89"/>
        <v>0</v>
      </c>
      <c r="CU91">
        <f t="shared" si="90"/>
        <v>0</v>
      </c>
      <c r="CV91">
        <f t="shared" si="91"/>
        <v>0</v>
      </c>
      <c r="CW91">
        <f t="shared" si="92"/>
        <v>0</v>
      </c>
      <c r="CX91">
        <f t="shared" si="93"/>
        <v>0</v>
      </c>
      <c r="CY91">
        <f t="shared" si="94"/>
        <v>0</v>
      </c>
      <c r="CZ91">
        <f t="shared" si="95"/>
        <v>0</v>
      </c>
      <c r="DC91" t="s">
        <v>3</v>
      </c>
      <c r="DD91" t="s">
        <v>3</v>
      </c>
      <c r="DE91" t="s">
        <v>3</v>
      </c>
      <c r="DF91" t="s">
        <v>3</v>
      </c>
      <c r="DG91" t="s">
        <v>3</v>
      </c>
      <c r="DH91" t="s">
        <v>3</v>
      </c>
      <c r="DI91" t="s">
        <v>3</v>
      </c>
      <c r="DJ91" t="s">
        <v>3</v>
      </c>
      <c r="DK91" t="s">
        <v>3</v>
      </c>
      <c r="DL91" t="s">
        <v>3</v>
      </c>
      <c r="DM91" t="s">
        <v>3</v>
      </c>
      <c r="DN91">
        <v>0</v>
      </c>
      <c r="DO91">
        <v>0</v>
      </c>
      <c r="DP91">
        <v>1</v>
      </c>
      <c r="DQ91">
        <v>1</v>
      </c>
      <c r="DU91">
        <v>1010</v>
      </c>
      <c r="DV91" t="s">
        <v>31</v>
      </c>
      <c r="DW91" t="s">
        <v>31</v>
      </c>
      <c r="DX91">
        <v>1</v>
      </c>
      <c r="DZ91" t="s">
        <v>3</v>
      </c>
      <c r="EA91" t="s">
        <v>3</v>
      </c>
      <c r="EB91" t="s">
        <v>3</v>
      </c>
      <c r="EC91" t="s">
        <v>3</v>
      </c>
      <c r="EE91">
        <v>140625274</v>
      </c>
      <c r="EF91">
        <v>8</v>
      </c>
      <c r="EG91" t="s">
        <v>32</v>
      </c>
      <c r="EH91">
        <v>0</v>
      </c>
      <c r="EI91" t="s">
        <v>3</v>
      </c>
      <c r="EJ91">
        <v>1</v>
      </c>
      <c r="EK91">
        <v>1100</v>
      </c>
      <c r="EL91" t="s">
        <v>33</v>
      </c>
      <c r="EM91" t="s">
        <v>34</v>
      </c>
      <c r="EO91" t="s">
        <v>3</v>
      </c>
      <c r="EQ91">
        <v>0</v>
      </c>
      <c r="ER91">
        <v>579.87</v>
      </c>
      <c r="ES91">
        <v>570.09999999999991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5</v>
      </c>
      <c r="FC91">
        <v>1</v>
      </c>
      <c r="FD91">
        <v>18</v>
      </c>
      <c r="FF91">
        <v>5685</v>
      </c>
      <c r="FQ91">
        <v>0</v>
      </c>
      <c r="FR91">
        <f t="shared" si="96"/>
        <v>0</v>
      </c>
      <c r="FS91">
        <v>0</v>
      </c>
      <c r="FX91">
        <v>0</v>
      </c>
      <c r="FY91">
        <v>0</v>
      </c>
      <c r="GA91" t="s">
        <v>272</v>
      </c>
      <c r="GD91">
        <v>1</v>
      </c>
      <c r="GF91">
        <v>358766138</v>
      </c>
      <c r="GG91">
        <v>2</v>
      </c>
      <c r="GH91">
        <v>3</v>
      </c>
      <c r="GI91">
        <v>4</v>
      </c>
      <c r="GJ91">
        <v>0</v>
      </c>
      <c r="GK91">
        <v>0</v>
      </c>
      <c r="GL91">
        <f t="shared" si="97"/>
        <v>0</v>
      </c>
      <c r="GM91">
        <f t="shared" si="98"/>
        <v>5073.8900000000003</v>
      </c>
      <c r="GN91">
        <f t="shared" si="99"/>
        <v>5073.8900000000003</v>
      </c>
      <c r="GO91">
        <f t="shared" si="100"/>
        <v>0</v>
      </c>
      <c r="GP91">
        <f t="shared" si="101"/>
        <v>0</v>
      </c>
      <c r="GR91">
        <v>1</v>
      </c>
      <c r="GS91">
        <v>1</v>
      </c>
      <c r="GT91">
        <v>0</v>
      </c>
      <c r="GU91" t="s">
        <v>3</v>
      </c>
      <c r="GV91">
        <f t="shared" si="102"/>
        <v>0</v>
      </c>
      <c r="GW91">
        <v>1</v>
      </c>
      <c r="GX91">
        <f t="shared" si="103"/>
        <v>0</v>
      </c>
      <c r="HA91">
        <v>0</v>
      </c>
      <c r="HB91">
        <v>0</v>
      </c>
      <c r="HC91">
        <f t="shared" si="104"/>
        <v>0</v>
      </c>
      <c r="HE91" t="s">
        <v>36</v>
      </c>
      <c r="HF91" t="s">
        <v>28</v>
      </c>
      <c r="HM91" t="s">
        <v>3</v>
      </c>
      <c r="HN91" t="s">
        <v>3</v>
      </c>
      <c r="HO91" t="s">
        <v>3</v>
      </c>
      <c r="HP91" t="s">
        <v>3</v>
      </c>
      <c r="HQ91" t="s">
        <v>3</v>
      </c>
      <c r="IK91">
        <v>0</v>
      </c>
    </row>
    <row r="92" spans="1:245" x14ac:dyDescent="0.2">
      <c r="A92">
        <v>17</v>
      </c>
      <c r="B92">
        <v>1</v>
      </c>
      <c r="E92" t="s">
        <v>275</v>
      </c>
      <c r="F92" t="s">
        <v>29</v>
      </c>
      <c r="G92" t="s">
        <v>276</v>
      </c>
      <c r="H92" t="s">
        <v>277</v>
      </c>
      <c r="I92">
        <v>2</v>
      </c>
      <c r="J92">
        <v>0</v>
      </c>
      <c r="K92">
        <v>2</v>
      </c>
      <c r="O92">
        <f t="shared" ref="O92:O105" si="120">ROUND(CP92,2)</f>
        <v>3041.66</v>
      </c>
      <c r="P92">
        <f t="shared" ref="P92:P105" si="121">ROUND(CQ92*I92,2)</f>
        <v>3041.66</v>
      </c>
      <c r="Q92">
        <f t="shared" ref="Q92:Q105" si="122">ROUND(CR92*I92,2)</f>
        <v>0</v>
      </c>
      <c r="R92">
        <f t="shared" ref="R92:R105" si="123">ROUND(CS92*I92,2)</f>
        <v>0</v>
      </c>
      <c r="S92">
        <f t="shared" ref="S92:S105" si="124">ROUND(CT92*I92,2)</f>
        <v>0</v>
      </c>
      <c r="T92">
        <f t="shared" ref="T92:T105" si="125">ROUND(CU92*I92,2)</f>
        <v>0</v>
      </c>
      <c r="U92">
        <f t="shared" ref="U92:U105" si="126">CV92*I92</f>
        <v>0</v>
      </c>
      <c r="V92">
        <f t="shared" ref="V92:V105" si="127">CW92*I92</f>
        <v>0</v>
      </c>
      <c r="W92">
        <f t="shared" ref="W92:W105" si="128">ROUND(CX92*I92,2)</f>
        <v>0</v>
      </c>
      <c r="X92">
        <f t="shared" ref="X92:X105" si="129">ROUND(CY92,2)</f>
        <v>0</v>
      </c>
      <c r="Y92">
        <f t="shared" ref="Y92:Y105" si="130">ROUND(CZ92,2)</f>
        <v>0</v>
      </c>
      <c r="AA92">
        <v>145026783</v>
      </c>
      <c r="AB92">
        <f t="shared" ref="AB92:AB105" si="131">ROUND((AC92+AD92+AF92),2)</f>
        <v>170.88</v>
      </c>
      <c r="AC92">
        <f t="shared" si="111"/>
        <v>170.88</v>
      </c>
      <c r="AD92">
        <f>ROUND((((ET92)-(EU92))+AE92),2)</f>
        <v>0</v>
      </c>
      <c r="AE92">
        <f t="shared" si="118"/>
        <v>0</v>
      </c>
      <c r="AF92">
        <f t="shared" si="118"/>
        <v>0</v>
      </c>
      <c r="AG92">
        <f t="shared" ref="AG92:AG105" si="132">ROUND((AP92),2)</f>
        <v>0</v>
      </c>
      <c r="AH92">
        <f t="shared" si="119"/>
        <v>0</v>
      </c>
      <c r="AI92">
        <f t="shared" si="119"/>
        <v>0</v>
      </c>
      <c r="AJ92">
        <f t="shared" ref="AJ92:AJ105" si="133">(AS92)</f>
        <v>0</v>
      </c>
      <c r="AK92">
        <v>170.88</v>
      </c>
      <c r="AL92">
        <v>170.88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1</v>
      </c>
      <c r="AW92">
        <v>1</v>
      </c>
      <c r="AZ92">
        <v>1</v>
      </c>
      <c r="BA92">
        <v>1</v>
      </c>
      <c r="BB92">
        <v>1</v>
      </c>
      <c r="BC92">
        <v>8.9</v>
      </c>
      <c r="BD92" t="s">
        <v>3</v>
      </c>
      <c r="BE92" t="s">
        <v>3</v>
      </c>
      <c r="BF92" t="s">
        <v>3</v>
      </c>
      <c r="BG92" t="s">
        <v>3</v>
      </c>
      <c r="BH92">
        <v>3</v>
      </c>
      <c r="BI92">
        <v>1</v>
      </c>
      <c r="BJ92" t="s">
        <v>3</v>
      </c>
      <c r="BM92">
        <v>1100</v>
      </c>
      <c r="BN92">
        <v>0</v>
      </c>
      <c r="BO92" t="s">
        <v>3</v>
      </c>
      <c r="BP92">
        <v>0</v>
      </c>
      <c r="BQ92">
        <v>8</v>
      </c>
      <c r="BR92">
        <v>0</v>
      </c>
      <c r="BS92">
        <v>1</v>
      </c>
      <c r="BT92">
        <v>1</v>
      </c>
      <c r="BU92">
        <v>1</v>
      </c>
      <c r="BV92">
        <v>1</v>
      </c>
      <c r="BW92">
        <v>1</v>
      </c>
      <c r="BX92">
        <v>1</v>
      </c>
      <c r="BY92" t="s">
        <v>3</v>
      </c>
      <c r="BZ92">
        <v>0</v>
      </c>
      <c r="CA92">
        <v>0</v>
      </c>
      <c r="CB92" t="s">
        <v>3</v>
      </c>
      <c r="CE92">
        <v>0</v>
      </c>
      <c r="CF92">
        <v>0</v>
      </c>
      <c r="CG92">
        <v>0</v>
      </c>
      <c r="CM92">
        <v>0</v>
      </c>
      <c r="CN92" t="s">
        <v>3</v>
      </c>
      <c r="CO92">
        <v>0</v>
      </c>
      <c r="CP92">
        <f t="shared" ref="CP92:CP105" si="134">(P92+Q92+S92)</f>
        <v>3041.66</v>
      </c>
      <c r="CQ92">
        <f t="shared" ref="CQ92:CQ105" si="135">AC92*BC92</f>
        <v>1520.8320000000001</v>
      </c>
      <c r="CR92">
        <f>(((ET92)*BB92-(EU92)*BS92)+AE92*BS92)</f>
        <v>0</v>
      </c>
      <c r="CS92">
        <f t="shared" ref="CS92:CS105" si="136">AE92*BS92</f>
        <v>0</v>
      </c>
      <c r="CT92">
        <f t="shared" ref="CT92:CT105" si="137">AF92*BA92</f>
        <v>0</v>
      </c>
      <c r="CU92">
        <f t="shared" ref="CU92:CU105" si="138">AG92</f>
        <v>0</v>
      </c>
      <c r="CV92">
        <f t="shared" ref="CV92:CV105" si="139">AH92</f>
        <v>0</v>
      </c>
      <c r="CW92">
        <f t="shared" ref="CW92:CW105" si="140">AI92</f>
        <v>0</v>
      </c>
      <c r="CX92">
        <f t="shared" ref="CX92:CX105" si="141">AJ92</f>
        <v>0</v>
      </c>
      <c r="CY92">
        <f t="shared" ref="CY92:CY105" si="142">(((S92+R92)*AT92)/100)</f>
        <v>0</v>
      </c>
      <c r="CZ92">
        <f t="shared" ref="CZ92:CZ105" si="143">(((S92+R92)*AU92)/100)</f>
        <v>0</v>
      </c>
      <c r="DC92" t="s">
        <v>3</v>
      </c>
      <c r="DD92" t="s">
        <v>3</v>
      </c>
      <c r="DE92" t="s">
        <v>3</v>
      </c>
      <c r="DF92" t="s">
        <v>3</v>
      </c>
      <c r="DG92" t="s">
        <v>3</v>
      </c>
      <c r="DH92" t="s">
        <v>3</v>
      </c>
      <c r="DI92" t="s">
        <v>3</v>
      </c>
      <c r="DJ92" t="s">
        <v>3</v>
      </c>
      <c r="DK92" t="s">
        <v>3</v>
      </c>
      <c r="DL92" t="s">
        <v>3</v>
      </c>
      <c r="DM92" t="s">
        <v>3</v>
      </c>
      <c r="DN92">
        <v>0</v>
      </c>
      <c r="DO92">
        <v>0</v>
      </c>
      <c r="DP92">
        <v>1</v>
      </c>
      <c r="DQ92">
        <v>1</v>
      </c>
      <c r="DU92">
        <v>1013</v>
      </c>
      <c r="DV92" t="s">
        <v>277</v>
      </c>
      <c r="DW92" t="s">
        <v>277</v>
      </c>
      <c r="DX92">
        <v>1</v>
      </c>
      <c r="DZ92" t="s">
        <v>3</v>
      </c>
      <c r="EA92" t="s">
        <v>3</v>
      </c>
      <c r="EB92" t="s">
        <v>3</v>
      </c>
      <c r="EC92" t="s">
        <v>3</v>
      </c>
      <c r="EE92">
        <v>140625274</v>
      </c>
      <c r="EF92">
        <v>8</v>
      </c>
      <c r="EG92" t="s">
        <v>32</v>
      </c>
      <c r="EH92">
        <v>0</v>
      </c>
      <c r="EI92" t="s">
        <v>3</v>
      </c>
      <c r="EJ92">
        <v>1</v>
      </c>
      <c r="EK92">
        <v>1100</v>
      </c>
      <c r="EL92" t="s">
        <v>33</v>
      </c>
      <c r="EM92" t="s">
        <v>34</v>
      </c>
      <c r="EO92" t="s">
        <v>3</v>
      </c>
      <c r="EQ92">
        <v>0</v>
      </c>
      <c r="ER92">
        <v>173.80999999999997</v>
      </c>
      <c r="ES92">
        <v>170.88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5</v>
      </c>
      <c r="FC92">
        <v>1</v>
      </c>
      <c r="FD92">
        <v>18</v>
      </c>
      <c r="FF92">
        <v>1704</v>
      </c>
      <c r="FQ92">
        <v>0</v>
      </c>
      <c r="FR92">
        <f t="shared" ref="FR92:FR105" si="144">ROUND(IF(BI92=3,GM92,0),2)</f>
        <v>0</v>
      </c>
      <c r="FS92">
        <v>0</v>
      </c>
      <c r="FX92">
        <v>0</v>
      </c>
      <c r="FY92">
        <v>0</v>
      </c>
      <c r="GA92" t="s">
        <v>278</v>
      </c>
      <c r="GD92">
        <v>1</v>
      </c>
      <c r="GF92">
        <v>409350100</v>
      </c>
      <c r="GG92">
        <v>2</v>
      </c>
      <c r="GH92">
        <v>3</v>
      </c>
      <c r="GI92">
        <v>4</v>
      </c>
      <c r="GJ92">
        <v>0</v>
      </c>
      <c r="GK92">
        <v>0</v>
      </c>
      <c r="GL92">
        <f t="shared" ref="GL92:GL105" si="145">ROUND(IF(AND(BH92=3,BI92=3,FS92&lt;&gt;0),P92,0),2)</f>
        <v>0</v>
      </c>
      <c r="GM92">
        <f t="shared" ref="GM92:GM105" si="146">ROUND(O92+X92+Y92,2)+GX92</f>
        <v>3041.66</v>
      </c>
      <c r="GN92">
        <f t="shared" ref="GN92:GN105" si="147">IF(OR(BI92=0,BI92=1),ROUND(O92+X92+Y92,2),0)</f>
        <v>3041.66</v>
      </c>
      <c r="GO92">
        <f t="shared" ref="GO92:GO105" si="148">IF(BI92=2,ROUND(O92+X92+Y92,2),0)</f>
        <v>0</v>
      </c>
      <c r="GP92">
        <f t="shared" ref="GP92:GP105" si="149">IF(BI92=4,ROUND(O92+X92+Y92,2)+GX92,0)</f>
        <v>0</v>
      </c>
      <c r="GR92">
        <v>1</v>
      </c>
      <c r="GS92">
        <v>1</v>
      </c>
      <c r="GT92">
        <v>0</v>
      </c>
      <c r="GU92" t="s">
        <v>3</v>
      </c>
      <c r="GV92">
        <f t="shared" ref="GV92:GV105" si="150">ROUND((GT92),2)</f>
        <v>0</v>
      </c>
      <c r="GW92">
        <v>1</v>
      </c>
      <c r="GX92">
        <f t="shared" ref="GX92:GX105" si="151">ROUND(HC92*I92,2)</f>
        <v>0</v>
      </c>
      <c r="HA92">
        <v>0</v>
      </c>
      <c r="HB92">
        <v>0</v>
      </c>
      <c r="HC92">
        <f t="shared" ref="HC92:HC105" si="152">GV92*GW92</f>
        <v>0</v>
      </c>
      <c r="HE92" t="s">
        <v>36</v>
      </c>
      <c r="HF92" t="s">
        <v>28</v>
      </c>
      <c r="HM92" t="s">
        <v>3</v>
      </c>
      <c r="HN92" t="s">
        <v>3</v>
      </c>
      <c r="HO92" t="s">
        <v>3</v>
      </c>
      <c r="HP92" t="s">
        <v>3</v>
      </c>
      <c r="HQ92" t="s">
        <v>3</v>
      </c>
      <c r="IK92">
        <v>0</v>
      </c>
    </row>
    <row r="93" spans="1:245" x14ac:dyDescent="0.2">
      <c r="A93">
        <v>17</v>
      </c>
      <c r="B93">
        <v>1</v>
      </c>
      <c r="E93" t="s">
        <v>279</v>
      </c>
      <c r="F93" t="s">
        <v>29</v>
      </c>
      <c r="G93" t="s">
        <v>280</v>
      </c>
      <c r="H93" t="s">
        <v>277</v>
      </c>
      <c r="I93">
        <v>2</v>
      </c>
      <c r="J93">
        <v>0</v>
      </c>
      <c r="K93">
        <v>2</v>
      </c>
      <c r="O93">
        <f t="shared" si="120"/>
        <v>2770.39</v>
      </c>
      <c r="P93">
        <f t="shared" si="121"/>
        <v>2770.39</v>
      </c>
      <c r="Q93">
        <f t="shared" si="122"/>
        <v>0</v>
      </c>
      <c r="R93">
        <f t="shared" si="123"/>
        <v>0</v>
      </c>
      <c r="S93">
        <f t="shared" si="124"/>
        <v>0</v>
      </c>
      <c r="T93">
        <f t="shared" si="125"/>
        <v>0</v>
      </c>
      <c r="U93">
        <f t="shared" si="126"/>
        <v>0</v>
      </c>
      <c r="V93">
        <f t="shared" si="127"/>
        <v>0</v>
      </c>
      <c r="W93">
        <f t="shared" si="128"/>
        <v>0</v>
      </c>
      <c r="X93">
        <f t="shared" si="129"/>
        <v>0</v>
      </c>
      <c r="Y93">
        <f t="shared" si="130"/>
        <v>0</v>
      </c>
      <c r="AA93">
        <v>145026783</v>
      </c>
      <c r="AB93">
        <f t="shared" si="131"/>
        <v>155.63999999999999</v>
      </c>
      <c r="AC93">
        <f t="shared" si="111"/>
        <v>155.63999999999999</v>
      </c>
      <c r="AD93">
        <f>ROUND((((ET93)-(EU93))+AE93),2)</f>
        <v>0</v>
      </c>
      <c r="AE93">
        <f t="shared" si="118"/>
        <v>0</v>
      </c>
      <c r="AF93">
        <f t="shared" si="118"/>
        <v>0</v>
      </c>
      <c r="AG93">
        <f t="shared" si="132"/>
        <v>0</v>
      </c>
      <c r="AH93">
        <f t="shared" si="119"/>
        <v>0</v>
      </c>
      <c r="AI93">
        <f t="shared" si="119"/>
        <v>0</v>
      </c>
      <c r="AJ93">
        <f t="shared" si="133"/>
        <v>0</v>
      </c>
      <c r="AK93">
        <v>155.64000000000001</v>
      </c>
      <c r="AL93">
        <v>155.64000000000001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1</v>
      </c>
      <c r="AW93">
        <v>1</v>
      </c>
      <c r="AZ93">
        <v>1</v>
      </c>
      <c r="BA93">
        <v>1</v>
      </c>
      <c r="BB93">
        <v>1</v>
      </c>
      <c r="BC93">
        <v>8.9</v>
      </c>
      <c r="BD93" t="s">
        <v>3</v>
      </c>
      <c r="BE93" t="s">
        <v>3</v>
      </c>
      <c r="BF93" t="s">
        <v>3</v>
      </c>
      <c r="BG93" t="s">
        <v>3</v>
      </c>
      <c r="BH93">
        <v>3</v>
      </c>
      <c r="BI93">
        <v>1</v>
      </c>
      <c r="BJ93" t="s">
        <v>3</v>
      </c>
      <c r="BM93">
        <v>1100</v>
      </c>
      <c r="BN93">
        <v>0</v>
      </c>
      <c r="BO93" t="s">
        <v>3</v>
      </c>
      <c r="BP93">
        <v>0</v>
      </c>
      <c r="BQ93">
        <v>8</v>
      </c>
      <c r="BR93">
        <v>0</v>
      </c>
      <c r="BS93">
        <v>1</v>
      </c>
      <c r="BT93">
        <v>1</v>
      </c>
      <c r="BU93">
        <v>1</v>
      </c>
      <c r="BV93">
        <v>1</v>
      </c>
      <c r="BW93">
        <v>1</v>
      </c>
      <c r="BX93">
        <v>1</v>
      </c>
      <c r="BY93" t="s">
        <v>3</v>
      </c>
      <c r="BZ93">
        <v>0</v>
      </c>
      <c r="CA93">
        <v>0</v>
      </c>
      <c r="CB93" t="s">
        <v>3</v>
      </c>
      <c r="CE93">
        <v>0</v>
      </c>
      <c r="CF93">
        <v>0</v>
      </c>
      <c r="CG93">
        <v>0</v>
      </c>
      <c r="CM93">
        <v>0</v>
      </c>
      <c r="CN93" t="s">
        <v>3</v>
      </c>
      <c r="CO93">
        <v>0</v>
      </c>
      <c r="CP93">
        <f t="shared" si="134"/>
        <v>2770.39</v>
      </c>
      <c r="CQ93">
        <f t="shared" si="135"/>
        <v>1385.1959999999999</v>
      </c>
      <c r="CR93">
        <f>(((ET93)*BB93-(EU93)*BS93)+AE93*BS93)</f>
        <v>0</v>
      </c>
      <c r="CS93">
        <f t="shared" si="136"/>
        <v>0</v>
      </c>
      <c r="CT93">
        <f t="shared" si="137"/>
        <v>0</v>
      </c>
      <c r="CU93">
        <f t="shared" si="138"/>
        <v>0</v>
      </c>
      <c r="CV93">
        <f t="shared" si="139"/>
        <v>0</v>
      </c>
      <c r="CW93">
        <f t="shared" si="140"/>
        <v>0</v>
      </c>
      <c r="CX93">
        <f t="shared" si="141"/>
        <v>0</v>
      </c>
      <c r="CY93">
        <f t="shared" si="142"/>
        <v>0</v>
      </c>
      <c r="CZ93">
        <f t="shared" si="143"/>
        <v>0</v>
      </c>
      <c r="DC93" t="s">
        <v>3</v>
      </c>
      <c r="DD93" t="s">
        <v>3</v>
      </c>
      <c r="DE93" t="s">
        <v>3</v>
      </c>
      <c r="DF93" t="s">
        <v>3</v>
      </c>
      <c r="DG93" t="s">
        <v>3</v>
      </c>
      <c r="DH93" t="s">
        <v>3</v>
      </c>
      <c r="DI93" t="s">
        <v>3</v>
      </c>
      <c r="DJ93" t="s">
        <v>3</v>
      </c>
      <c r="DK93" t="s">
        <v>3</v>
      </c>
      <c r="DL93" t="s">
        <v>3</v>
      </c>
      <c r="DM93" t="s">
        <v>3</v>
      </c>
      <c r="DN93">
        <v>0</v>
      </c>
      <c r="DO93">
        <v>0</v>
      </c>
      <c r="DP93">
        <v>1</v>
      </c>
      <c r="DQ93">
        <v>1</v>
      </c>
      <c r="DU93">
        <v>1013</v>
      </c>
      <c r="DV93" t="s">
        <v>277</v>
      </c>
      <c r="DW93" t="s">
        <v>277</v>
      </c>
      <c r="DX93">
        <v>1</v>
      </c>
      <c r="DZ93" t="s">
        <v>3</v>
      </c>
      <c r="EA93" t="s">
        <v>3</v>
      </c>
      <c r="EB93" t="s">
        <v>3</v>
      </c>
      <c r="EC93" t="s">
        <v>3</v>
      </c>
      <c r="EE93">
        <v>140625274</v>
      </c>
      <c r="EF93">
        <v>8</v>
      </c>
      <c r="EG93" t="s">
        <v>32</v>
      </c>
      <c r="EH93">
        <v>0</v>
      </c>
      <c r="EI93" t="s">
        <v>3</v>
      </c>
      <c r="EJ93">
        <v>1</v>
      </c>
      <c r="EK93">
        <v>1100</v>
      </c>
      <c r="EL93" t="s">
        <v>33</v>
      </c>
      <c r="EM93" t="s">
        <v>34</v>
      </c>
      <c r="EO93" t="s">
        <v>3</v>
      </c>
      <c r="EQ93">
        <v>0</v>
      </c>
      <c r="ER93">
        <v>158.29999999999998</v>
      </c>
      <c r="ES93">
        <v>155.64000000000001</v>
      </c>
      <c r="ET93">
        <v>0</v>
      </c>
      <c r="EU93">
        <v>0</v>
      </c>
      <c r="EV93">
        <v>0</v>
      </c>
      <c r="EW93">
        <v>0</v>
      </c>
      <c r="EX93">
        <v>0</v>
      </c>
      <c r="EY93">
        <v>0</v>
      </c>
      <c r="EZ93">
        <v>5</v>
      </c>
      <c r="FC93">
        <v>1</v>
      </c>
      <c r="FD93">
        <v>18</v>
      </c>
      <c r="FF93">
        <v>1552</v>
      </c>
      <c r="FQ93">
        <v>0</v>
      </c>
      <c r="FR93">
        <f t="shared" si="144"/>
        <v>0</v>
      </c>
      <c r="FS93">
        <v>0</v>
      </c>
      <c r="FX93">
        <v>0</v>
      </c>
      <c r="FY93">
        <v>0</v>
      </c>
      <c r="GA93" t="s">
        <v>281</v>
      </c>
      <c r="GD93">
        <v>1</v>
      </c>
      <c r="GF93">
        <v>1628284997</v>
      </c>
      <c r="GG93">
        <v>2</v>
      </c>
      <c r="GH93">
        <v>3</v>
      </c>
      <c r="GI93">
        <v>4</v>
      </c>
      <c r="GJ93">
        <v>0</v>
      </c>
      <c r="GK93">
        <v>0</v>
      </c>
      <c r="GL93">
        <f t="shared" si="145"/>
        <v>0</v>
      </c>
      <c r="GM93">
        <f t="shared" si="146"/>
        <v>2770.39</v>
      </c>
      <c r="GN93">
        <f t="shared" si="147"/>
        <v>2770.39</v>
      </c>
      <c r="GO93">
        <f t="shared" si="148"/>
        <v>0</v>
      </c>
      <c r="GP93">
        <f t="shared" si="149"/>
        <v>0</v>
      </c>
      <c r="GR93">
        <v>1</v>
      </c>
      <c r="GS93">
        <v>1</v>
      </c>
      <c r="GT93">
        <v>0</v>
      </c>
      <c r="GU93" t="s">
        <v>3</v>
      </c>
      <c r="GV93">
        <f t="shared" si="150"/>
        <v>0</v>
      </c>
      <c r="GW93">
        <v>1</v>
      </c>
      <c r="GX93">
        <f t="shared" si="151"/>
        <v>0</v>
      </c>
      <c r="HA93">
        <v>0</v>
      </c>
      <c r="HB93">
        <v>0</v>
      </c>
      <c r="HC93">
        <f t="shared" si="152"/>
        <v>0</v>
      </c>
      <c r="HE93" t="s">
        <v>36</v>
      </c>
      <c r="HF93" t="s">
        <v>28</v>
      </c>
      <c r="HM93" t="s">
        <v>3</v>
      </c>
      <c r="HN93" t="s">
        <v>3</v>
      </c>
      <c r="HO93" t="s">
        <v>3</v>
      </c>
      <c r="HP93" t="s">
        <v>3</v>
      </c>
      <c r="HQ93" t="s">
        <v>3</v>
      </c>
      <c r="IK93">
        <v>0</v>
      </c>
    </row>
    <row r="94" spans="1:245" x14ac:dyDescent="0.2">
      <c r="A94">
        <v>17</v>
      </c>
      <c r="B94">
        <v>1</v>
      </c>
      <c r="E94" t="s">
        <v>282</v>
      </c>
      <c r="F94" t="s">
        <v>29</v>
      </c>
      <c r="G94" t="s">
        <v>283</v>
      </c>
      <c r="H94" t="s">
        <v>31</v>
      </c>
      <c r="I94">
        <v>2</v>
      </c>
      <c r="J94">
        <v>0</v>
      </c>
      <c r="K94">
        <v>2</v>
      </c>
      <c r="O94">
        <f t="shared" si="120"/>
        <v>2245.4699999999998</v>
      </c>
      <c r="P94">
        <f t="shared" si="121"/>
        <v>2245.4699999999998</v>
      </c>
      <c r="Q94">
        <f t="shared" si="122"/>
        <v>0</v>
      </c>
      <c r="R94">
        <f t="shared" si="123"/>
        <v>0</v>
      </c>
      <c r="S94">
        <f t="shared" si="124"/>
        <v>0</v>
      </c>
      <c r="T94">
        <f t="shared" si="125"/>
        <v>0</v>
      </c>
      <c r="U94">
        <f t="shared" si="126"/>
        <v>0</v>
      </c>
      <c r="V94">
        <f t="shared" si="127"/>
        <v>0</v>
      </c>
      <c r="W94">
        <f t="shared" si="128"/>
        <v>0</v>
      </c>
      <c r="X94">
        <f t="shared" si="129"/>
        <v>0</v>
      </c>
      <c r="Y94">
        <f t="shared" si="130"/>
        <v>0</v>
      </c>
      <c r="AA94">
        <v>145026783</v>
      </c>
      <c r="AB94">
        <f t="shared" si="131"/>
        <v>126.15</v>
      </c>
      <c r="AC94">
        <f t="shared" si="111"/>
        <v>126.15</v>
      </c>
      <c r="AD94">
        <f>ROUND((((ET94)-(EU94))+AE94),2)</f>
        <v>0</v>
      </c>
      <c r="AE94">
        <f t="shared" si="118"/>
        <v>0</v>
      </c>
      <c r="AF94">
        <f t="shared" si="118"/>
        <v>0</v>
      </c>
      <c r="AG94">
        <f t="shared" si="132"/>
        <v>0</v>
      </c>
      <c r="AH94">
        <f t="shared" si="119"/>
        <v>0</v>
      </c>
      <c r="AI94">
        <f t="shared" si="119"/>
        <v>0</v>
      </c>
      <c r="AJ94">
        <f t="shared" si="133"/>
        <v>0</v>
      </c>
      <c r="AK94">
        <v>126.15</v>
      </c>
      <c r="AL94">
        <v>126.15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1</v>
      </c>
      <c r="AW94">
        <v>1</v>
      </c>
      <c r="AZ94">
        <v>1</v>
      </c>
      <c r="BA94">
        <v>1</v>
      </c>
      <c r="BB94">
        <v>1</v>
      </c>
      <c r="BC94">
        <v>8.9</v>
      </c>
      <c r="BD94" t="s">
        <v>3</v>
      </c>
      <c r="BE94" t="s">
        <v>3</v>
      </c>
      <c r="BF94" t="s">
        <v>3</v>
      </c>
      <c r="BG94" t="s">
        <v>3</v>
      </c>
      <c r="BH94">
        <v>3</v>
      </c>
      <c r="BI94">
        <v>1</v>
      </c>
      <c r="BJ94" t="s">
        <v>3</v>
      </c>
      <c r="BM94">
        <v>1100</v>
      </c>
      <c r="BN94">
        <v>0</v>
      </c>
      <c r="BO94" t="s">
        <v>3</v>
      </c>
      <c r="BP94">
        <v>0</v>
      </c>
      <c r="BQ94">
        <v>8</v>
      </c>
      <c r="BR94">
        <v>0</v>
      </c>
      <c r="BS94">
        <v>1</v>
      </c>
      <c r="BT94">
        <v>1</v>
      </c>
      <c r="BU94">
        <v>1</v>
      </c>
      <c r="BV94">
        <v>1</v>
      </c>
      <c r="BW94">
        <v>1</v>
      </c>
      <c r="BX94">
        <v>1</v>
      </c>
      <c r="BY94" t="s">
        <v>3</v>
      </c>
      <c r="BZ94">
        <v>0</v>
      </c>
      <c r="CA94">
        <v>0</v>
      </c>
      <c r="CB94" t="s">
        <v>3</v>
      </c>
      <c r="CE94">
        <v>0</v>
      </c>
      <c r="CF94">
        <v>0</v>
      </c>
      <c r="CG94">
        <v>0</v>
      </c>
      <c r="CM94">
        <v>0</v>
      </c>
      <c r="CN94" t="s">
        <v>3</v>
      </c>
      <c r="CO94">
        <v>0</v>
      </c>
      <c r="CP94">
        <f t="shared" si="134"/>
        <v>2245.4699999999998</v>
      </c>
      <c r="CQ94">
        <f t="shared" si="135"/>
        <v>1122.7350000000001</v>
      </c>
      <c r="CR94">
        <f>(((ET94)*BB94-(EU94)*BS94)+AE94*BS94)</f>
        <v>0</v>
      </c>
      <c r="CS94">
        <f t="shared" si="136"/>
        <v>0</v>
      </c>
      <c r="CT94">
        <f t="shared" si="137"/>
        <v>0</v>
      </c>
      <c r="CU94">
        <f t="shared" si="138"/>
        <v>0</v>
      </c>
      <c r="CV94">
        <f t="shared" si="139"/>
        <v>0</v>
      </c>
      <c r="CW94">
        <f t="shared" si="140"/>
        <v>0</v>
      </c>
      <c r="CX94">
        <f t="shared" si="141"/>
        <v>0</v>
      </c>
      <c r="CY94">
        <f t="shared" si="142"/>
        <v>0</v>
      </c>
      <c r="CZ94">
        <f t="shared" si="143"/>
        <v>0</v>
      </c>
      <c r="DC94" t="s">
        <v>3</v>
      </c>
      <c r="DD94" t="s">
        <v>3</v>
      </c>
      <c r="DE94" t="s">
        <v>3</v>
      </c>
      <c r="DF94" t="s">
        <v>3</v>
      </c>
      <c r="DG94" t="s">
        <v>3</v>
      </c>
      <c r="DH94" t="s">
        <v>3</v>
      </c>
      <c r="DI94" t="s">
        <v>3</v>
      </c>
      <c r="DJ94" t="s">
        <v>3</v>
      </c>
      <c r="DK94" t="s">
        <v>3</v>
      </c>
      <c r="DL94" t="s">
        <v>3</v>
      </c>
      <c r="DM94" t="s">
        <v>3</v>
      </c>
      <c r="DN94">
        <v>0</v>
      </c>
      <c r="DO94">
        <v>0</v>
      </c>
      <c r="DP94">
        <v>1</v>
      </c>
      <c r="DQ94">
        <v>1</v>
      </c>
      <c r="DU94">
        <v>1010</v>
      </c>
      <c r="DV94" t="s">
        <v>31</v>
      </c>
      <c r="DW94" t="s">
        <v>31</v>
      </c>
      <c r="DX94">
        <v>1</v>
      </c>
      <c r="DZ94" t="s">
        <v>3</v>
      </c>
      <c r="EA94" t="s">
        <v>3</v>
      </c>
      <c r="EB94" t="s">
        <v>3</v>
      </c>
      <c r="EC94" t="s">
        <v>3</v>
      </c>
      <c r="EE94">
        <v>140625274</v>
      </c>
      <c r="EF94">
        <v>8</v>
      </c>
      <c r="EG94" t="s">
        <v>32</v>
      </c>
      <c r="EH94">
        <v>0</v>
      </c>
      <c r="EI94" t="s">
        <v>3</v>
      </c>
      <c r="EJ94">
        <v>1</v>
      </c>
      <c r="EK94">
        <v>1100</v>
      </c>
      <c r="EL94" t="s">
        <v>33</v>
      </c>
      <c r="EM94" t="s">
        <v>34</v>
      </c>
      <c r="EO94" t="s">
        <v>3</v>
      </c>
      <c r="EQ94">
        <v>0</v>
      </c>
      <c r="ER94">
        <v>128.32</v>
      </c>
      <c r="ES94">
        <v>126.15</v>
      </c>
      <c r="ET94">
        <v>0</v>
      </c>
      <c r="EU94">
        <v>0</v>
      </c>
      <c r="EV94">
        <v>0</v>
      </c>
      <c r="EW94">
        <v>0</v>
      </c>
      <c r="EX94">
        <v>0</v>
      </c>
      <c r="EY94">
        <v>0</v>
      </c>
      <c r="EZ94">
        <v>5</v>
      </c>
      <c r="FC94">
        <v>1</v>
      </c>
      <c r="FD94">
        <v>18</v>
      </c>
      <c r="FF94">
        <v>1258</v>
      </c>
      <c r="FQ94">
        <v>0</v>
      </c>
      <c r="FR94">
        <f t="shared" si="144"/>
        <v>0</v>
      </c>
      <c r="FS94">
        <v>0</v>
      </c>
      <c r="FX94">
        <v>0</v>
      </c>
      <c r="FY94">
        <v>0</v>
      </c>
      <c r="GA94" t="s">
        <v>284</v>
      </c>
      <c r="GD94">
        <v>1</v>
      </c>
      <c r="GF94">
        <v>1048544192</v>
      </c>
      <c r="GG94">
        <v>2</v>
      </c>
      <c r="GH94">
        <v>3</v>
      </c>
      <c r="GI94">
        <v>4</v>
      </c>
      <c r="GJ94">
        <v>0</v>
      </c>
      <c r="GK94">
        <v>0</v>
      </c>
      <c r="GL94">
        <f t="shared" si="145"/>
        <v>0</v>
      </c>
      <c r="GM94">
        <f t="shared" si="146"/>
        <v>2245.4699999999998</v>
      </c>
      <c r="GN94">
        <f t="shared" si="147"/>
        <v>2245.4699999999998</v>
      </c>
      <c r="GO94">
        <f t="shared" si="148"/>
        <v>0</v>
      </c>
      <c r="GP94">
        <f t="shared" si="149"/>
        <v>0</v>
      </c>
      <c r="GR94">
        <v>1</v>
      </c>
      <c r="GS94">
        <v>1</v>
      </c>
      <c r="GT94">
        <v>0</v>
      </c>
      <c r="GU94" t="s">
        <v>3</v>
      </c>
      <c r="GV94">
        <f t="shared" si="150"/>
        <v>0</v>
      </c>
      <c r="GW94">
        <v>1</v>
      </c>
      <c r="GX94">
        <f t="shared" si="151"/>
        <v>0</v>
      </c>
      <c r="HA94">
        <v>0</v>
      </c>
      <c r="HB94">
        <v>0</v>
      </c>
      <c r="HC94">
        <f t="shared" si="152"/>
        <v>0</v>
      </c>
      <c r="HE94" t="s">
        <v>36</v>
      </c>
      <c r="HF94" t="s">
        <v>28</v>
      </c>
      <c r="HM94" t="s">
        <v>3</v>
      </c>
      <c r="HN94" t="s">
        <v>3</v>
      </c>
      <c r="HO94" t="s">
        <v>3</v>
      </c>
      <c r="HP94" t="s">
        <v>3</v>
      </c>
      <c r="HQ94" t="s">
        <v>3</v>
      </c>
      <c r="IK94">
        <v>0</v>
      </c>
    </row>
    <row r="95" spans="1:245" x14ac:dyDescent="0.2">
      <c r="A95">
        <v>17</v>
      </c>
      <c r="B95">
        <v>1</v>
      </c>
      <c r="C95">
        <f>ROW(SmtRes!A141)</f>
        <v>141</v>
      </c>
      <c r="D95">
        <f>ROW(EtalonRes!A157)</f>
        <v>157</v>
      </c>
      <c r="E95" t="s">
        <v>285</v>
      </c>
      <c r="F95" t="s">
        <v>286</v>
      </c>
      <c r="G95" t="s">
        <v>287</v>
      </c>
      <c r="H95" t="s">
        <v>40</v>
      </c>
      <c r="I95">
        <f>ROUND(598/100,9)</f>
        <v>5.98</v>
      </c>
      <c r="J95">
        <v>0</v>
      </c>
      <c r="K95">
        <f>ROUND(598/100,9)</f>
        <v>5.98</v>
      </c>
      <c r="O95">
        <f t="shared" si="120"/>
        <v>9947.3700000000008</v>
      </c>
      <c r="P95">
        <f t="shared" si="121"/>
        <v>9.58</v>
      </c>
      <c r="Q95">
        <f t="shared" si="122"/>
        <v>91.16</v>
      </c>
      <c r="R95">
        <f t="shared" si="123"/>
        <v>63.17</v>
      </c>
      <c r="S95">
        <f t="shared" si="124"/>
        <v>9846.6299999999992</v>
      </c>
      <c r="T95">
        <f t="shared" si="125"/>
        <v>0</v>
      </c>
      <c r="U95">
        <f t="shared" si="126"/>
        <v>31.978050000000003</v>
      </c>
      <c r="V95">
        <f t="shared" si="127"/>
        <v>0.14950000000000002</v>
      </c>
      <c r="W95">
        <f t="shared" si="128"/>
        <v>0</v>
      </c>
      <c r="X95">
        <f t="shared" si="129"/>
        <v>9909.7999999999993</v>
      </c>
      <c r="Y95">
        <f t="shared" si="130"/>
        <v>4127.43</v>
      </c>
      <c r="AA95">
        <v>145026783</v>
      </c>
      <c r="AB95">
        <f t="shared" si="131"/>
        <v>52.84</v>
      </c>
      <c r="AC95">
        <f t="shared" si="111"/>
        <v>0.18</v>
      </c>
      <c r="AD95">
        <f>ROUND(((((ET95*1.25))-((EU95*1.25)))+AE95),2)</f>
        <v>1.22</v>
      </c>
      <c r="AE95">
        <f>ROUND(((EU95*1.25)),2)</f>
        <v>0.33</v>
      </c>
      <c r="AF95">
        <f>ROUND(((EV95*1.15)),2)</f>
        <v>51.44</v>
      </c>
      <c r="AG95">
        <f t="shared" si="132"/>
        <v>0</v>
      </c>
      <c r="AH95">
        <f>((EW95*1.15))</f>
        <v>5.3475000000000001</v>
      </c>
      <c r="AI95">
        <f>((EX95*1.25))</f>
        <v>2.5000000000000001E-2</v>
      </c>
      <c r="AJ95">
        <f t="shared" si="133"/>
        <v>0</v>
      </c>
      <c r="AK95">
        <v>45.88</v>
      </c>
      <c r="AL95">
        <v>0.18</v>
      </c>
      <c r="AM95">
        <v>0.97</v>
      </c>
      <c r="AN95">
        <v>0.26</v>
      </c>
      <c r="AO95">
        <v>44.73</v>
      </c>
      <c r="AP95">
        <v>0</v>
      </c>
      <c r="AQ95">
        <v>4.6500000000000004</v>
      </c>
      <c r="AR95">
        <v>0.02</v>
      </c>
      <c r="AS95">
        <v>0</v>
      </c>
      <c r="AT95">
        <v>100</v>
      </c>
      <c r="AU95">
        <v>41.65</v>
      </c>
      <c r="AV95">
        <v>1</v>
      </c>
      <c r="AW95">
        <v>1</v>
      </c>
      <c r="AZ95">
        <v>1</v>
      </c>
      <c r="BA95">
        <v>32.01</v>
      </c>
      <c r="BB95">
        <v>12.44</v>
      </c>
      <c r="BC95">
        <v>8.9</v>
      </c>
      <c r="BD95" t="s">
        <v>3</v>
      </c>
      <c r="BE95" t="s">
        <v>3</v>
      </c>
      <c r="BF95" t="s">
        <v>3</v>
      </c>
      <c r="BG95" t="s">
        <v>3</v>
      </c>
      <c r="BH95">
        <v>0</v>
      </c>
      <c r="BI95">
        <v>1</v>
      </c>
      <c r="BJ95" t="s">
        <v>288</v>
      </c>
      <c r="BM95">
        <v>15001</v>
      </c>
      <c r="BN95">
        <v>0</v>
      </c>
      <c r="BO95" t="s">
        <v>3</v>
      </c>
      <c r="BP95">
        <v>0</v>
      </c>
      <c r="BQ95">
        <v>2</v>
      </c>
      <c r="BR95">
        <v>0</v>
      </c>
      <c r="BS95">
        <v>32.01</v>
      </c>
      <c r="BT95">
        <v>1</v>
      </c>
      <c r="BU95">
        <v>1</v>
      </c>
      <c r="BV95">
        <v>1</v>
      </c>
      <c r="BW95">
        <v>1</v>
      </c>
      <c r="BX95">
        <v>1</v>
      </c>
      <c r="BY95" t="s">
        <v>3</v>
      </c>
      <c r="BZ95">
        <v>100</v>
      </c>
      <c r="CA95">
        <v>49</v>
      </c>
      <c r="CB95" t="s">
        <v>3</v>
      </c>
      <c r="CE95">
        <v>0</v>
      </c>
      <c r="CF95">
        <v>0</v>
      </c>
      <c r="CG95">
        <v>0</v>
      </c>
      <c r="CM95">
        <v>0</v>
      </c>
      <c r="CN95" t="s">
        <v>160</v>
      </c>
      <c r="CO95">
        <v>0</v>
      </c>
      <c r="CP95">
        <f t="shared" si="134"/>
        <v>9947.369999999999</v>
      </c>
      <c r="CQ95">
        <f t="shared" si="135"/>
        <v>1.6020000000000001</v>
      </c>
      <c r="CR95">
        <f>((((ET95*1.25))*BB95-((EU95*1.25))*BS95)+AE95*BS95)</f>
        <v>15.243549999999999</v>
      </c>
      <c r="CS95">
        <f t="shared" si="136"/>
        <v>10.5633</v>
      </c>
      <c r="CT95">
        <f t="shared" si="137"/>
        <v>1646.5943999999997</v>
      </c>
      <c r="CU95">
        <f t="shared" si="138"/>
        <v>0</v>
      </c>
      <c r="CV95">
        <f t="shared" si="139"/>
        <v>5.3475000000000001</v>
      </c>
      <c r="CW95">
        <f t="shared" si="140"/>
        <v>2.5000000000000001E-2</v>
      </c>
      <c r="CX95">
        <f t="shared" si="141"/>
        <v>0</v>
      </c>
      <c r="CY95">
        <f t="shared" si="142"/>
        <v>9909.7999999999993</v>
      </c>
      <c r="CZ95">
        <f t="shared" si="143"/>
        <v>4127.4317000000001</v>
      </c>
      <c r="DC95" t="s">
        <v>3</v>
      </c>
      <c r="DD95" t="s">
        <v>3</v>
      </c>
      <c r="DE95" t="s">
        <v>148</v>
      </c>
      <c r="DF95" t="s">
        <v>148</v>
      </c>
      <c r="DG95" t="s">
        <v>149</v>
      </c>
      <c r="DH95" t="s">
        <v>3</v>
      </c>
      <c r="DI95" t="s">
        <v>149</v>
      </c>
      <c r="DJ95" t="s">
        <v>148</v>
      </c>
      <c r="DK95" t="s">
        <v>3</v>
      </c>
      <c r="DL95" t="s">
        <v>3</v>
      </c>
      <c r="DM95" t="s">
        <v>150</v>
      </c>
      <c r="DN95">
        <v>0</v>
      </c>
      <c r="DO95">
        <v>0</v>
      </c>
      <c r="DP95">
        <v>1</v>
      </c>
      <c r="DQ95">
        <v>1</v>
      </c>
      <c r="DU95">
        <v>1005</v>
      </c>
      <c r="DV95" t="s">
        <v>40</v>
      </c>
      <c r="DW95" t="s">
        <v>40</v>
      </c>
      <c r="DX95">
        <v>100</v>
      </c>
      <c r="DZ95" t="s">
        <v>3</v>
      </c>
      <c r="EA95" t="s">
        <v>3</v>
      </c>
      <c r="EB95" t="s">
        <v>3</v>
      </c>
      <c r="EC95" t="s">
        <v>3</v>
      </c>
      <c r="EE95">
        <v>140625061</v>
      </c>
      <c r="EF95">
        <v>2</v>
      </c>
      <c r="EG95" t="s">
        <v>95</v>
      </c>
      <c r="EH95">
        <v>15</v>
      </c>
      <c r="EI95" t="s">
        <v>105</v>
      </c>
      <c r="EJ95">
        <v>1</v>
      </c>
      <c r="EK95">
        <v>15001</v>
      </c>
      <c r="EL95" t="s">
        <v>105</v>
      </c>
      <c r="EM95" t="s">
        <v>106</v>
      </c>
      <c r="EO95" t="s">
        <v>162</v>
      </c>
      <c r="EQ95">
        <v>2097152</v>
      </c>
      <c r="ER95">
        <v>45.88</v>
      </c>
      <c r="ES95">
        <v>0.18</v>
      </c>
      <c r="ET95">
        <v>0.97</v>
      </c>
      <c r="EU95">
        <v>0.26</v>
      </c>
      <c r="EV95">
        <v>44.73</v>
      </c>
      <c r="EW95">
        <v>4.6500000000000004</v>
      </c>
      <c r="EX95">
        <v>0.02</v>
      </c>
      <c r="EY95">
        <v>0</v>
      </c>
      <c r="FQ95">
        <v>0</v>
      </c>
      <c r="FR95">
        <f t="shared" si="144"/>
        <v>0</v>
      </c>
      <c r="FS95">
        <v>0</v>
      </c>
      <c r="FX95">
        <v>100</v>
      </c>
      <c r="FY95">
        <v>41.65</v>
      </c>
      <c r="GA95" t="s">
        <v>3</v>
      </c>
      <c r="GD95">
        <v>1</v>
      </c>
      <c r="GF95">
        <v>-556044347</v>
      </c>
      <c r="GG95">
        <v>2</v>
      </c>
      <c r="GH95">
        <v>1</v>
      </c>
      <c r="GI95">
        <v>4</v>
      </c>
      <c r="GJ95">
        <v>0</v>
      </c>
      <c r="GK95">
        <v>0</v>
      </c>
      <c r="GL95">
        <f t="shared" si="145"/>
        <v>0</v>
      </c>
      <c r="GM95">
        <f t="shared" si="146"/>
        <v>23984.6</v>
      </c>
      <c r="GN95">
        <f t="shared" si="147"/>
        <v>23984.6</v>
      </c>
      <c r="GO95">
        <f t="shared" si="148"/>
        <v>0</v>
      </c>
      <c r="GP95">
        <f t="shared" si="149"/>
        <v>0</v>
      </c>
      <c r="GR95">
        <v>0</v>
      </c>
      <c r="GS95">
        <v>3</v>
      </c>
      <c r="GT95">
        <v>0</v>
      </c>
      <c r="GU95" t="s">
        <v>3</v>
      </c>
      <c r="GV95">
        <f t="shared" si="150"/>
        <v>0</v>
      </c>
      <c r="GW95">
        <v>1</v>
      </c>
      <c r="GX95">
        <f t="shared" si="151"/>
        <v>0</v>
      </c>
      <c r="HA95">
        <v>0</v>
      </c>
      <c r="HB95">
        <v>0</v>
      </c>
      <c r="HC95">
        <f t="shared" si="152"/>
        <v>0</v>
      </c>
      <c r="HE95" t="s">
        <v>3</v>
      </c>
      <c r="HF95" t="s">
        <v>3</v>
      </c>
      <c r="HM95" t="s">
        <v>3</v>
      </c>
      <c r="HN95" t="s">
        <v>107</v>
      </c>
      <c r="HO95" t="s">
        <v>108</v>
      </c>
      <c r="HP95" t="s">
        <v>105</v>
      </c>
      <c r="HQ95" t="s">
        <v>105</v>
      </c>
      <c r="IK95">
        <v>0</v>
      </c>
    </row>
    <row r="96" spans="1:245" x14ac:dyDescent="0.2">
      <c r="A96">
        <v>17</v>
      </c>
      <c r="B96">
        <v>1</v>
      </c>
      <c r="E96" t="s">
        <v>289</v>
      </c>
      <c r="F96" t="s">
        <v>29</v>
      </c>
      <c r="G96" t="s">
        <v>153</v>
      </c>
      <c r="H96" t="s">
        <v>154</v>
      </c>
      <c r="I96">
        <f>ROUND(I95*13,9)</f>
        <v>77.739999999999995</v>
      </c>
      <c r="J96">
        <v>0</v>
      </c>
      <c r="K96">
        <f>ROUND(I95*13,9)</f>
        <v>77.739999999999995</v>
      </c>
      <c r="O96">
        <f t="shared" si="120"/>
        <v>6254.65</v>
      </c>
      <c r="P96">
        <f t="shared" si="121"/>
        <v>6254.65</v>
      </c>
      <c r="Q96">
        <f t="shared" si="122"/>
        <v>0</v>
      </c>
      <c r="R96">
        <f t="shared" si="123"/>
        <v>0</v>
      </c>
      <c r="S96">
        <f t="shared" si="124"/>
        <v>0</v>
      </c>
      <c r="T96">
        <f t="shared" si="125"/>
        <v>0</v>
      </c>
      <c r="U96">
        <f t="shared" si="126"/>
        <v>0</v>
      </c>
      <c r="V96">
        <f t="shared" si="127"/>
        <v>0</v>
      </c>
      <c r="W96">
        <f t="shared" si="128"/>
        <v>0</v>
      </c>
      <c r="X96">
        <f t="shared" si="129"/>
        <v>0</v>
      </c>
      <c r="Y96">
        <f t="shared" si="130"/>
        <v>0</v>
      </c>
      <c r="AA96">
        <v>145026783</v>
      </c>
      <c r="AB96">
        <f t="shared" si="131"/>
        <v>9.0399999999999991</v>
      </c>
      <c r="AC96">
        <f t="shared" si="111"/>
        <v>9.0399999999999991</v>
      </c>
      <c r="AD96">
        <f>ROUND((((ET96)-(EU96))+AE96),2)</f>
        <v>0</v>
      </c>
      <c r="AE96">
        <f>ROUND((EU96),2)</f>
        <v>0</v>
      </c>
      <c r="AF96">
        <f>ROUND((EV96),2)</f>
        <v>0</v>
      </c>
      <c r="AG96">
        <f t="shared" si="132"/>
        <v>0</v>
      </c>
      <c r="AH96">
        <f>(EW96)</f>
        <v>0</v>
      </c>
      <c r="AI96">
        <f>(EX96)</f>
        <v>0</v>
      </c>
      <c r="AJ96">
        <f t="shared" si="133"/>
        <v>0</v>
      </c>
      <c r="AK96">
        <v>9.0399999999999991</v>
      </c>
      <c r="AL96">
        <v>9.0399999999999991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1</v>
      </c>
      <c r="AW96">
        <v>1</v>
      </c>
      <c r="AZ96">
        <v>1</v>
      </c>
      <c r="BA96">
        <v>1</v>
      </c>
      <c r="BB96">
        <v>1</v>
      </c>
      <c r="BC96">
        <v>8.9</v>
      </c>
      <c r="BD96" t="s">
        <v>3</v>
      </c>
      <c r="BE96" t="s">
        <v>3</v>
      </c>
      <c r="BF96" t="s">
        <v>3</v>
      </c>
      <c r="BG96" t="s">
        <v>3</v>
      </c>
      <c r="BH96">
        <v>3</v>
      </c>
      <c r="BI96">
        <v>1</v>
      </c>
      <c r="BJ96" t="s">
        <v>3</v>
      </c>
      <c r="BM96">
        <v>1100</v>
      </c>
      <c r="BN96">
        <v>0</v>
      </c>
      <c r="BO96" t="s">
        <v>3</v>
      </c>
      <c r="BP96">
        <v>0</v>
      </c>
      <c r="BQ96">
        <v>8</v>
      </c>
      <c r="BR96">
        <v>0</v>
      </c>
      <c r="BS96">
        <v>1</v>
      </c>
      <c r="BT96">
        <v>1</v>
      </c>
      <c r="BU96">
        <v>1</v>
      </c>
      <c r="BV96">
        <v>1</v>
      </c>
      <c r="BW96">
        <v>1</v>
      </c>
      <c r="BX96">
        <v>1</v>
      </c>
      <c r="BY96" t="s">
        <v>3</v>
      </c>
      <c r="BZ96">
        <v>0</v>
      </c>
      <c r="CA96">
        <v>0</v>
      </c>
      <c r="CB96" t="s">
        <v>3</v>
      </c>
      <c r="CE96">
        <v>0</v>
      </c>
      <c r="CF96">
        <v>0</v>
      </c>
      <c r="CG96">
        <v>0</v>
      </c>
      <c r="CM96">
        <v>0</v>
      </c>
      <c r="CN96" t="s">
        <v>3</v>
      </c>
      <c r="CO96">
        <v>0</v>
      </c>
      <c r="CP96">
        <f t="shared" si="134"/>
        <v>6254.65</v>
      </c>
      <c r="CQ96">
        <f t="shared" si="135"/>
        <v>80.455999999999989</v>
      </c>
      <c r="CR96">
        <f>(((ET96)*BB96-(EU96)*BS96)+AE96*BS96)</f>
        <v>0</v>
      </c>
      <c r="CS96">
        <f t="shared" si="136"/>
        <v>0</v>
      </c>
      <c r="CT96">
        <f t="shared" si="137"/>
        <v>0</v>
      </c>
      <c r="CU96">
        <f t="shared" si="138"/>
        <v>0</v>
      </c>
      <c r="CV96">
        <f t="shared" si="139"/>
        <v>0</v>
      </c>
      <c r="CW96">
        <f t="shared" si="140"/>
        <v>0</v>
      </c>
      <c r="CX96">
        <f t="shared" si="141"/>
        <v>0</v>
      </c>
      <c r="CY96">
        <f t="shared" si="142"/>
        <v>0</v>
      </c>
      <c r="CZ96">
        <f t="shared" si="143"/>
        <v>0</v>
      </c>
      <c r="DC96" t="s">
        <v>3</v>
      </c>
      <c r="DD96" t="s">
        <v>3</v>
      </c>
      <c r="DE96" t="s">
        <v>3</v>
      </c>
      <c r="DF96" t="s">
        <v>3</v>
      </c>
      <c r="DG96" t="s">
        <v>3</v>
      </c>
      <c r="DH96" t="s">
        <v>3</v>
      </c>
      <c r="DI96" t="s">
        <v>3</v>
      </c>
      <c r="DJ96" t="s">
        <v>3</v>
      </c>
      <c r="DK96" t="s">
        <v>3</v>
      </c>
      <c r="DL96" t="s">
        <v>3</v>
      </c>
      <c r="DM96" t="s">
        <v>3</v>
      </c>
      <c r="DN96">
        <v>0</v>
      </c>
      <c r="DO96">
        <v>0</v>
      </c>
      <c r="DP96">
        <v>1</v>
      </c>
      <c r="DQ96">
        <v>1</v>
      </c>
      <c r="DU96">
        <v>1009</v>
      </c>
      <c r="DV96" t="s">
        <v>154</v>
      </c>
      <c r="DW96" t="s">
        <v>154</v>
      </c>
      <c r="DX96">
        <v>1</v>
      </c>
      <c r="DZ96" t="s">
        <v>3</v>
      </c>
      <c r="EA96" t="s">
        <v>3</v>
      </c>
      <c r="EB96" t="s">
        <v>3</v>
      </c>
      <c r="EC96" t="s">
        <v>3</v>
      </c>
      <c r="EE96">
        <v>140625274</v>
      </c>
      <c r="EF96">
        <v>8</v>
      </c>
      <c r="EG96" t="s">
        <v>32</v>
      </c>
      <c r="EH96">
        <v>0</v>
      </c>
      <c r="EI96" t="s">
        <v>3</v>
      </c>
      <c r="EJ96">
        <v>1</v>
      </c>
      <c r="EK96">
        <v>1100</v>
      </c>
      <c r="EL96" t="s">
        <v>33</v>
      </c>
      <c r="EM96" t="s">
        <v>34</v>
      </c>
      <c r="EO96" t="s">
        <v>3</v>
      </c>
      <c r="EQ96">
        <v>0</v>
      </c>
      <c r="ER96">
        <v>9.0399999999999991</v>
      </c>
      <c r="ES96">
        <v>9.0399999999999991</v>
      </c>
      <c r="ET96">
        <v>0</v>
      </c>
      <c r="EU96">
        <v>0</v>
      </c>
      <c r="EV96">
        <v>0</v>
      </c>
      <c r="EW96">
        <v>0</v>
      </c>
      <c r="EX96">
        <v>0</v>
      </c>
      <c r="EY96">
        <v>0</v>
      </c>
      <c r="EZ96">
        <v>5</v>
      </c>
      <c r="FC96">
        <v>1</v>
      </c>
      <c r="FD96">
        <v>18</v>
      </c>
      <c r="FF96">
        <v>90.1</v>
      </c>
      <c r="FQ96">
        <v>0</v>
      </c>
      <c r="FR96">
        <f t="shared" si="144"/>
        <v>0</v>
      </c>
      <c r="FS96">
        <v>0</v>
      </c>
      <c r="FX96">
        <v>0</v>
      </c>
      <c r="FY96">
        <v>0</v>
      </c>
      <c r="GA96" t="s">
        <v>219</v>
      </c>
      <c r="GD96">
        <v>1</v>
      </c>
      <c r="GF96">
        <v>-752850908</v>
      </c>
      <c r="GG96">
        <v>2</v>
      </c>
      <c r="GH96">
        <v>3</v>
      </c>
      <c r="GI96">
        <v>4</v>
      </c>
      <c r="GJ96">
        <v>0</v>
      </c>
      <c r="GK96">
        <v>0</v>
      </c>
      <c r="GL96">
        <f t="shared" si="145"/>
        <v>0</v>
      </c>
      <c r="GM96">
        <f t="shared" si="146"/>
        <v>6254.65</v>
      </c>
      <c r="GN96">
        <f t="shared" si="147"/>
        <v>6254.65</v>
      </c>
      <c r="GO96">
        <f t="shared" si="148"/>
        <v>0</v>
      </c>
      <c r="GP96">
        <f t="shared" si="149"/>
        <v>0</v>
      </c>
      <c r="GR96">
        <v>1</v>
      </c>
      <c r="GS96">
        <v>1</v>
      </c>
      <c r="GT96">
        <v>0</v>
      </c>
      <c r="GU96" t="s">
        <v>3</v>
      </c>
      <c r="GV96">
        <f t="shared" si="150"/>
        <v>0</v>
      </c>
      <c r="GW96">
        <v>1</v>
      </c>
      <c r="GX96">
        <f t="shared" si="151"/>
        <v>0</v>
      </c>
      <c r="HA96">
        <v>0</v>
      </c>
      <c r="HB96">
        <v>0</v>
      </c>
      <c r="HC96">
        <f t="shared" si="152"/>
        <v>0</v>
      </c>
      <c r="HE96" t="s">
        <v>36</v>
      </c>
      <c r="HF96" t="s">
        <v>28</v>
      </c>
      <c r="HM96" t="s">
        <v>3</v>
      </c>
      <c r="HN96" t="s">
        <v>3</v>
      </c>
      <c r="HO96" t="s">
        <v>3</v>
      </c>
      <c r="HP96" t="s">
        <v>3</v>
      </c>
      <c r="HQ96" t="s">
        <v>3</v>
      </c>
      <c r="IK96">
        <v>0</v>
      </c>
    </row>
    <row r="97" spans="1:245" x14ac:dyDescent="0.2">
      <c r="A97">
        <v>17</v>
      </c>
      <c r="B97">
        <v>1</v>
      </c>
      <c r="C97">
        <f>ROW(SmtRes!A151)</f>
        <v>151</v>
      </c>
      <c r="D97">
        <f>ROW(EtalonRes!A168)</f>
        <v>168</v>
      </c>
      <c r="E97" t="s">
        <v>290</v>
      </c>
      <c r="F97" t="s">
        <v>291</v>
      </c>
      <c r="G97" t="s">
        <v>292</v>
      </c>
      <c r="H97" t="s">
        <v>40</v>
      </c>
      <c r="I97">
        <f>ROUND(162.44/100,9)</f>
        <v>1.6244000000000001</v>
      </c>
      <c r="J97">
        <v>0</v>
      </c>
      <c r="K97">
        <f>ROUND(162.44/100,9)</f>
        <v>1.6244000000000001</v>
      </c>
      <c r="O97">
        <f t="shared" si="120"/>
        <v>25239.19</v>
      </c>
      <c r="P97">
        <f t="shared" si="121"/>
        <v>2272.81</v>
      </c>
      <c r="Q97">
        <f t="shared" si="122"/>
        <v>24.76</v>
      </c>
      <c r="R97">
        <f t="shared" si="123"/>
        <v>17.16</v>
      </c>
      <c r="S97">
        <f t="shared" si="124"/>
        <v>22941.62</v>
      </c>
      <c r="T97">
        <f t="shared" si="125"/>
        <v>0</v>
      </c>
      <c r="U97">
        <f t="shared" si="126"/>
        <v>79.018937999999991</v>
      </c>
      <c r="V97">
        <f t="shared" si="127"/>
        <v>4.0610000000000007E-2</v>
      </c>
      <c r="W97">
        <f t="shared" si="128"/>
        <v>0</v>
      </c>
      <c r="X97">
        <f t="shared" si="129"/>
        <v>22958.78</v>
      </c>
      <c r="Y97">
        <f t="shared" si="130"/>
        <v>9562.33</v>
      </c>
      <c r="AA97">
        <v>145026783</v>
      </c>
      <c r="AB97">
        <f t="shared" si="131"/>
        <v>599.64</v>
      </c>
      <c r="AC97">
        <f t="shared" si="111"/>
        <v>157.21</v>
      </c>
      <c r="AD97">
        <f>ROUND(((((ET97*1.25))-((EU97*1.25)))+AE97),2)</f>
        <v>1.22</v>
      </c>
      <c r="AE97">
        <f>ROUND(((EU97*1.25)),2)</f>
        <v>0.33</v>
      </c>
      <c r="AF97">
        <f>ROUND(((EV97*1.15)),2)</f>
        <v>441.21</v>
      </c>
      <c r="AG97">
        <f t="shared" si="132"/>
        <v>0</v>
      </c>
      <c r="AH97">
        <f>((EW97*1.15))</f>
        <v>48.644999999999996</v>
      </c>
      <c r="AI97">
        <f>((EX97*1.25))</f>
        <v>2.5000000000000001E-2</v>
      </c>
      <c r="AJ97">
        <f t="shared" si="133"/>
        <v>0</v>
      </c>
      <c r="AK97">
        <v>541.84</v>
      </c>
      <c r="AL97">
        <v>157.21</v>
      </c>
      <c r="AM97">
        <v>0.97</v>
      </c>
      <c r="AN97">
        <v>0.26</v>
      </c>
      <c r="AO97">
        <v>383.66</v>
      </c>
      <c r="AP97">
        <v>0</v>
      </c>
      <c r="AQ97">
        <v>42.3</v>
      </c>
      <c r="AR97">
        <v>0.02</v>
      </c>
      <c r="AS97">
        <v>0</v>
      </c>
      <c r="AT97">
        <v>100</v>
      </c>
      <c r="AU97">
        <v>41.65</v>
      </c>
      <c r="AV97">
        <v>1</v>
      </c>
      <c r="AW97">
        <v>1</v>
      </c>
      <c r="AZ97">
        <v>1</v>
      </c>
      <c r="BA97">
        <v>32.01</v>
      </c>
      <c r="BB97">
        <v>12.44</v>
      </c>
      <c r="BC97">
        <v>8.9</v>
      </c>
      <c r="BD97" t="s">
        <v>3</v>
      </c>
      <c r="BE97" t="s">
        <v>3</v>
      </c>
      <c r="BF97" t="s">
        <v>3</v>
      </c>
      <c r="BG97" t="s">
        <v>3</v>
      </c>
      <c r="BH97">
        <v>0</v>
      </c>
      <c r="BI97">
        <v>1</v>
      </c>
      <c r="BJ97" t="s">
        <v>293</v>
      </c>
      <c r="BM97">
        <v>15001</v>
      </c>
      <c r="BN97">
        <v>0</v>
      </c>
      <c r="BO97" t="s">
        <v>3</v>
      </c>
      <c r="BP97">
        <v>0</v>
      </c>
      <c r="BQ97">
        <v>2</v>
      </c>
      <c r="BR97">
        <v>0</v>
      </c>
      <c r="BS97">
        <v>32.01</v>
      </c>
      <c r="BT97">
        <v>1</v>
      </c>
      <c r="BU97">
        <v>1</v>
      </c>
      <c r="BV97">
        <v>1</v>
      </c>
      <c r="BW97">
        <v>1</v>
      </c>
      <c r="BX97">
        <v>1</v>
      </c>
      <c r="BY97" t="s">
        <v>3</v>
      </c>
      <c r="BZ97">
        <v>100</v>
      </c>
      <c r="CA97">
        <v>49</v>
      </c>
      <c r="CB97" t="s">
        <v>3</v>
      </c>
      <c r="CE97">
        <v>0</v>
      </c>
      <c r="CF97">
        <v>0</v>
      </c>
      <c r="CG97">
        <v>0</v>
      </c>
      <c r="CM97">
        <v>0</v>
      </c>
      <c r="CN97" t="s">
        <v>863</v>
      </c>
      <c r="CO97">
        <v>0</v>
      </c>
      <c r="CP97">
        <f t="shared" si="134"/>
        <v>25239.19</v>
      </c>
      <c r="CQ97">
        <f t="shared" si="135"/>
        <v>1399.1690000000001</v>
      </c>
      <c r="CR97">
        <f>((((ET97*1.25))*BB97-((EU97*1.25))*BS97)+AE97*BS97)</f>
        <v>15.243549999999999</v>
      </c>
      <c r="CS97">
        <f t="shared" si="136"/>
        <v>10.5633</v>
      </c>
      <c r="CT97">
        <f t="shared" si="137"/>
        <v>14123.132099999999</v>
      </c>
      <c r="CU97">
        <f t="shared" si="138"/>
        <v>0</v>
      </c>
      <c r="CV97">
        <f t="shared" si="139"/>
        <v>48.644999999999996</v>
      </c>
      <c r="CW97">
        <f t="shared" si="140"/>
        <v>2.5000000000000001E-2</v>
      </c>
      <c r="CX97">
        <f t="shared" si="141"/>
        <v>0</v>
      </c>
      <c r="CY97">
        <f t="shared" si="142"/>
        <v>22958.78</v>
      </c>
      <c r="CZ97">
        <f t="shared" si="143"/>
        <v>9562.33187</v>
      </c>
      <c r="DC97" t="s">
        <v>3</v>
      </c>
      <c r="DD97" t="s">
        <v>3</v>
      </c>
      <c r="DE97" t="s">
        <v>148</v>
      </c>
      <c r="DF97" t="s">
        <v>148</v>
      </c>
      <c r="DG97" t="s">
        <v>149</v>
      </c>
      <c r="DH97" t="s">
        <v>3</v>
      </c>
      <c r="DI97" t="s">
        <v>149</v>
      </c>
      <c r="DJ97" t="s">
        <v>148</v>
      </c>
      <c r="DK97" t="s">
        <v>3</v>
      </c>
      <c r="DL97" t="s">
        <v>3</v>
      </c>
      <c r="DM97" t="s">
        <v>150</v>
      </c>
      <c r="DN97">
        <v>0</v>
      </c>
      <c r="DO97">
        <v>0</v>
      </c>
      <c r="DP97">
        <v>1</v>
      </c>
      <c r="DQ97">
        <v>1</v>
      </c>
      <c r="DU97">
        <v>1005</v>
      </c>
      <c r="DV97" t="s">
        <v>40</v>
      </c>
      <c r="DW97" t="s">
        <v>40</v>
      </c>
      <c r="DX97">
        <v>100</v>
      </c>
      <c r="DZ97" t="s">
        <v>3</v>
      </c>
      <c r="EA97" t="s">
        <v>3</v>
      </c>
      <c r="EB97" t="s">
        <v>3</v>
      </c>
      <c r="EC97" t="s">
        <v>3</v>
      </c>
      <c r="EE97">
        <v>140625061</v>
      </c>
      <c r="EF97">
        <v>2</v>
      </c>
      <c r="EG97" t="s">
        <v>95</v>
      </c>
      <c r="EH97">
        <v>15</v>
      </c>
      <c r="EI97" t="s">
        <v>105</v>
      </c>
      <c r="EJ97">
        <v>1</v>
      </c>
      <c r="EK97">
        <v>15001</v>
      </c>
      <c r="EL97" t="s">
        <v>105</v>
      </c>
      <c r="EM97" t="s">
        <v>106</v>
      </c>
      <c r="EO97" t="s">
        <v>151</v>
      </c>
      <c r="EQ97">
        <v>1310720</v>
      </c>
      <c r="ER97">
        <v>541.84</v>
      </c>
      <c r="ES97">
        <v>157.21</v>
      </c>
      <c r="ET97">
        <v>0.97</v>
      </c>
      <c r="EU97">
        <v>0.26</v>
      </c>
      <c r="EV97">
        <v>383.66</v>
      </c>
      <c r="EW97">
        <v>42.3</v>
      </c>
      <c r="EX97">
        <v>0.02</v>
      </c>
      <c r="EY97">
        <v>0</v>
      </c>
      <c r="FQ97">
        <v>0</v>
      </c>
      <c r="FR97">
        <f t="shared" si="144"/>
        <v>0</v>
      </c>
      <c r="FS97">
        <v>0</v>
      </c>
      <c r="FX97">
        <v>100</v>
      </c>
      <c r="FY97">
        <v>41.65</v>
      </c>
      <c r="GA97" t="s">
        <v>3</v>
      </c>
      <c r="GD97">
        <v>1</v>
      </c>
      <c r="GF97">
        <v>-1422001965</v>
      </c>
      <c r="GG97">
        <v>2</v>
      </c>
      <c r="GH97">
        <v>1</v>
      </c>
      <c r="GI97">
        <v>4</v>
      </c>
      <c r="GJ97">
        <v>0</v>
      </c>
      <c r="GK97">
        <v>0</v>
      </c>
      <c r="GL97">
        <f t="shared" si="145"/>
        <v>0</v>
      </c>
      <c r="GM97">
        <f t="shared" si="146"/>
        <v>57760.3</v>
      </c>
      <c r="GN97">
        <f t="shared" si="147"/>
        <v>57760.3</v>
      </c>
      <c r="GO97">
        <f t="shared" si="148"/>
        <v>0</v>
      </c>
      <c r="GP97">
        <f t="shared" si="149"/>
        <v>0</v>
      </c>
      <c r="GR97">
        <v>0</v>
      </c>
      <c r="GS97">
        <v>3</v>
      </c>
      <c r="GT97">
        <v>0</v>
      </c>
      <c r="GU97" t="s">
        <v>3</v>
      </c>
      <c r="GV97">
        <f t="shared" si="150"/>
        <v>0</v>
      </c>
      <c r="GW97">
        <v>1</v>
      </c>
      <c r="GX97">
        <f t="shared" si="151"/>
        <v>0</v>
      </c>
      <c r="HA97">
        <v>0</v>
      </c>
      <c r="HB97">
        <v>0</v>
      </c>
      <c r="HC97">
        <f t="shared" si="152"/>
        <v>0</v>
      </c>
      <c r="HE97" t="s">
        <v>3</v>
      </c>
      <c r="HF97" t="s">
        <v>3</v>
      </c>
      <c r="HM97" t="s">
        <v>3</v>
      </c>
      <c r="HN97" t="s">
        <v>107</v>
      </c>
      <c r="HO97" t="s">
        <v>108</v>
      </c>
      <c r="HP97" t="s">
        <v>105</v>
      </c>
      <c r="HQ97" t="s">
        <v>105</v>
      </c>
      <c r="IK97">
        <v>0</v>
      </c>
    </row>
    <row r="98" spans="1:245" x14ac:dyDescent="0.2">
      <c r="A98">
        <v>18</v>
      </c>
      <c r="B98">
        <v>1</v>
      </c>
      <c r="C98">
        <v>150</v>
      </c>
      <c r="E98" t="s">
        <v>294</v>
      </c>
      <c r="F98" t="s">
        <v>295</v>
      </c>
      <c r="G98" t="s">
        <v>296</v>
      </c>
      <c r="H98" t="s">
        <v>49</v>
      </c>
      <c r="I98">
        <f>I97*J98</f>
        <v>-4.7109999999999999E-3</v>
      </c>
      <c r="J98">
        <v>-2.9001477468603792E-3</v>
      </c>
      <c r="K98">
        <v>-2.8999999999999998E-3</v>
      </c>
      <c r="O98">
        <f t="shared" si="120"/>
        <v>-1089.71</v>
      </c>
      <c r="P98">
        <f t="shared" si="121"/>
        <v>-1089.71</v>
      </c>
      <c r="Q98">
        <f t="shared" si="122"/>
        <v>0</v>
      </c>
      <c r="R98">
        <f t="shared" si="123"/>
        <v>0</v>
      </c>
      <c r="S98">
        <f t="shared" si="124"/>
        <v>0</v>
      </c>
      <c r="T98">
        <f t="shared" si="125"/>
        <v>0</v>
      </c>
      <c r="U98">
        <f t="shared" si="126"/>
        <v>0</v>
      </c>
      <c r="V98">
        <f t="shared" si="127"/>
        <v>0</v>
      </c>
      <c r="W98">
        <f t="shared" si="128"/>
        <v>0</v>
      </c>
      <c r="X98">
        <f t="shared" si="129"/>
        <v>0</v>
      </c>
      <c r="Y98">
        <f t="shared" si="130"/>
        <v>0</v>
      </c>
      <c r="AA98">
        <v>145026783</v>
      </c>
      <c r="AB98">
        <f t="shared" si="131"/>
        <v>25990</v>
      </c>
      <c r="AC98">
        <f t="shared" si="111"/>
        <v>25990</v>
      </c>
      <c r="AD98">
        <f>ROUND((((ET98)-(EU98))+AE98),2)</f>
        <v>0</v>
      </c>
      <c r="AE98">
        <f t="shared" ref="AE98:AF100" si="153">ROUND((EU98),2)</f>
        <v>0</v>
      </c>
      <c r="AF98">
        <f t="shared" si="153"/>
        <v>0</v>
      </c>
      <c r="AG98">
        <f t="shared" si="132"/>
        <v>0</v>
      </c>
      <c r="AH98">
        <f t="shared" ref="AH98:AI100" si="154">(EW98)</f>
        <v>0</v>
      </c>
      <c r="AI98">
        <f t="shared" si="154"/>
        <v>0</v>
      </c>
      <c r="AJ98">
        <f t="shared" si="133"/>
        <v>0</v>
      </c>
      <c r="AK98">
        <v>25990</v>
      </c>
      <c r="AL98">
        <v>25990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100</v>
      </c>
      <c r="AU98">
        <v>49</v>
      </c>
      <c r="AV98">
        <v>1</v>
      </c>
      <c r="AW98">
        <v>1</v>
      </c>
      <c r="AZ98">
        <v>1</v>
      </c>
      <c r="BA98">
        <v>1</v>
      </c>
      <c r="BB98">
        <v>1</v>
      </c>
      <c r="BC98">
        <v>8.9</v>
      </c>
      <c r="BD98" t="s">
        <v>3</v>
      </c>
      <c r="BE98" t="s">
        <v>3</v>
      </c>
      <c r="BF98" t="s">
        <v>3</v>
      </c>
      <c r="BG98" t="s">
        <v>3</v>
      </c>
      <c r="BH98">
        <v>3</v>
      </c>
      <c r="BI98">
        <v>1</v>
      </c>
      <c r="BJ98" t="s">
        <v>297</v>
      </c>
      <c r="BM98">
        <v>15001</v>
      </c>
      <c r="BN98">
        <v>0</v>
      </c>
      <c r="BO98" t="s">
        <v>3</v>
      </c>
      <c r="BP98">
        <v>0</v>
      </c>
      <c r="BQ98">
        <v>2</v>
      </c>
      <c r="BR98">
        <v>1</v>
      </c>
      <c r="BS98">
        <v>1</v>
      </c>
      <c r="BT98">
        <v>1</v>
      </c>
      <c r="BU98">
        <v>1</v>
      </c>
      <c r="BV98">
        <v>1</v>
      </c>
      <c r="BW98">
        <v>1</v>
      </c>
      <c r="BX98">
        <v>1</v>
      </c>
      <c r="BY98" t="s">
        <v>3</v>
      </c>
      <c r="BZ98">
        <v>100</v>
      </c>
      <c r="CA98">
        <v>49</v>
      </c>
      <c r="CB98" t="s">
        <v>3</v>
      </c>
      <c r="CE98">
        <v>0</v>
      </c>
      <c r="CF98">
        <v>0</v>
      </c>
      <c r="CG98">
        <v>0</v>
      </c>
      <c r="CM98">
        <v>0</v>
      </c>
      <c r="CN98" t="s">
        <v>3</v>
      </c>
      <c r="CO98">
        <v>0</v>
      </c>
      <c r="CP98">
        <f t="shared" si="134"/>
        <v>-1089.71</v>
      </c>
      <c r="CQ98">
        <f t="shared" si="135"/>
        <v>231311</v>
      </c>
      <c r="CR98">
        <f>(((ET98)*BB98-(EU98)*BS98)+AE98*BS98)</f>
        <v>0</v>
      </c>
      <c r="CS98">
        <f t="shared" si="136"/>
        <v>0</v>
      </c>
      <c r="CT98">
        <f t="shared" si="137"/>
        <v>0</v>
      </c>
      <c r="CU98">
        <f t="shared" si="138"/>
        <v>0</v>
      </c>
      <c r="CV98">
        <f t="shared" si="139"/>
        <v>0</v>
      </c>
      <c r="CW98">
        <f t="shared" si="140"/>
        <v>0</v>
      </c>
      <c r="CX98">
        <f t="shared" si="141"/>
        <v>0</v>
      </c>
      <c r="CY98">
        <f t="shared" si="142"/>
        <v>0</v>
      </c>
      <c r="CZ98">
        <f t="shared" si="143"/>
        <v>0</v>
      </c>
      <c r="DC98" t="s">
        <v>3</v>
      </c>
      <c r="DD98" t="s">
        <v>3</v>
      </c>
      <c r="DE98" t="s">
        <v>3</v>
      </c>
      <c r="DF98" t="s">
        <v>3</v>
      </c>
      <c r="DG98" t="s">
        <v>3</v>
      </c>
      <c r="DH98" t="s">
        <v>3</v>
      </c>
      <c r="DI98" t="s">
        <v>3</v>
      </c>
      <c r="DJ98" t="s">
        <v>3</v>
      </c>
      <c r="DK98" t="s">
        <v>3</v>
      </c>
      <c r="DL98" t="s">
        <v>3</v>
      </c>
      <c r="DM98" t="s">
        <v>3</v>
      </c>
      <c r="DN98">
        <v>0</v>
      </c>
      <c r="DO98">
        <v>0</v>
      </c>
      <c r="DP98">
        <v>1</v>
      </c>
      <c r="DQ98">
        <v>1</v>
      </c>
      <c r="DU98">
        <v>1009</v>
      </c>
      <c r="DV98" t="s">
        <v>49</v>
      </c>
      <c r="DW98" t="s">
        <v>49</v>
      </c>
      <c r="DX98">
        <v>1000</v>
      </c>
      <c r="DZ98" t="s">
        <v>3</v>
      </c>
      <c r="EA98" t="s">
        <v>3</v>
      </c>
      <c r="EB98" t="s">
        <v>3</v>
      </c>
      <c r="EC98" t="s">
        <v>3</v>
      </c>
      <c r="EE98">
        <v>140625061</v>
      </c>
      <c r="EF98">
        <v>2</v>
      </c>
      <c r="EG98" t="s">
        <v>95</v>
      </c>
      <c r="EH98">
        <v>15</v>
      </c>
      <c r="EI98" t="s">
        <v>105</v>
      </c>
      <c r="EJ98">
        <v>1</v>
      </c>
      <c r="EK98">
        <v>15001</v>
      </c>
      <c r="EL98" t="s">
        <v>105</v>
      </c>
      <c r="EM98" t="s">
        <v>106</v>
      </c>
      <c r="EO98" t="s">
        <v>3</v>
      </c>
      <c r="EQ98">
        <v>0</v>
      </c>
      <c r="ER98">
        <v>25990</v>
      </c>
      <c r="ES98">
        <v>25990</v>
      </c>
      <c r="ET98">
        <v>0</v>
      </c>
      <c r="EU98">
        <v>0</v>
      </c>
      <c r="EV98">
        <v>0</v>
      </c>
      <c r="EW98">
        <v>0</v>
      </c>
      <c r="EX98">
        <v>0</v>
      </c>
      <c r="FQ98">
        <v>0</v>
      </c>
      <c r="FR98">
        <f t="shared" si="144"/>
        <v>0</v>
      </c>
      <c r="FS98">
        <v>0</v>
      </c>
      <c r="FX98">
        <v>100</v>
      </c>
      <c r="FY98">
        <v>49</v>
      </c>
      <c r="GA98" t="s">
        <v>3</v>
      </c>
      <c r="GD98">
        <v>1</v>
      </c>
      <c r="GF98">
        <v>453939628</v>
      </c>
      <c r="GG98">
        <v>2</v>
      </c>
      <c r="GH98">
        <v>1</v>
      </c>
      <c r="GI98">
        <v>4</v>
      </c>
      <c r="GJ98">
        <v>0</v>
      </c>
      <c r="GK98">
        <v>0</v>
      </c>
      <c r="GL98">
        <f t="shared" si="145"/>
        <v>0</v>
      </c>
      <c r="GM98">
        <f t="shared" si="146"/>
        <v>-1089.71</v>
      </c>
      <c r="GN98">
        <f t="shared" si="147"/>
        <v>-1089.71</v>
      </c>
      <c r="GO98">
        <f t="shared" si="148"/>
        <v>0</v>
      </c>
      <c r="GP98">
        <f t="shared" si="149"/>
        <v>0</v>
      </c>
      <c r="GR98">
        <v>0</v>
      </c>
      <c r="GS98">
        <v>3</v>
      </c>
      <c r="GT98">
        <v>0</v>
      </c>
      <c r="GU98" t="s">
        <v>3</v>
      </c>
      <c r="GV98">
        <f t="shared" si="150"/>
        <v>0</v>
      </c>
      <c r="GW98">
        <v>1</v>
      </c>
      <c r="GX98">
        <f t="shared" si="151"/>
        <v>0</v>
      </c>
      <c r="HA98">
        <v>0</v>
      </c>
      <c r="HB98">
        <v>0</v>
      </c>
      <c r="HC98">
        <f t="shared" si="152"/>
        <v>0</v>
      </c>
      <c r="HE98" t="s">
        <v>3</v>
      </c>
      <c r="HF98" t="s">
        <v>3</v>
      </c>
      <c r="HM98" t="s">
        <v>3</v>
      </c>
      <c r="HN98" t="s">
        <v>107</v>
      </c>
      <c r="HO98" t="s">
        <v>108</v>
      </c>
      <c r="HP98" t="s">
        <v>105</v>
      </c>
      <c r="HQ98" t="s">
        <v>105</v>
      </c>
      <c r="IK98">
        <v>0</v>
      </c>
    </row>
    <row r="99" spans="1:245" x14ac:dyDescent="0.2">
      <c r="A99">
        <v>17</v>
      </c>
      <c r="B99">
        <v>1</v>
      </c>
      <c r="E99" t="s">
        <v>298</v>
      </c>
      <c r="F99" t="s">
        <v>29</v>
      </c>
      <c r="G99" t="s">
        <v>299</v>
      </c>
      <c r="H99" t="s">
        <v>72</v>
      </c>
      <c r="I99">
        <v>187</v>
      </c>
      <c r="J99">
        <v>0</v>
      </c>
      <c r="K99">
        <v>187</v>
      </c>
      <c r="O99">
        <f t="shared" si="120"/>
        <v>10551.66</v>
      </c>
      <c r="P99">
        <f t="shared" si="121"/>
        <v>10551.66</v>
      </c>
      <c r="Q99">
        <f t="shared" si="122"/>
        <v>0</v>
      </c>
      <c r="R99">
        <f t="shared" si="123"/>
        <v>0</v>
      </c>
      <c r="S99">
        <f t="shared" si="124"/>
        <v>0</v>
      </c>
      <c r="T99">
        <f t="shared" si="125"/>
        <v>0</v>
      </c>
      <c r="U99">
        <f t="shared" si="126"/>
        <v>0</v>
      </c>
      <c r="V99">
        <f t="shared" si="127"/>
        <v>0</v>
      </c>
      <c r="W99">
        <f t="shared" si="128"/>
        <v>0</v>
      </c>
      <c r="X99">
        <f t="shared" si="129"/>
        <v>0</v>
      </c>
      <c r="Y99">
        <f t="shared" si="130"/>
        <v>0</v>
      </c>
      <c r="AA99">
        <v>145026783</v>
      </c>
      <c r="AB99">
        <f t="shared" si="131"/>
        <v>6.34</v>
      </c>
      <c r="AC99">
        <f t="shared" si="111"/>
        <v>6.34</v>
      </c>
      <c r="AD99">
        <f>ROUND((((ET99)-(EU99))+AE99),2)</f>
        <v>0</v>
      </c>
      <c r="AE99">
        <f t="shared" si="153"/>
        <v>0</v>
      </c>
      <c r="AF99">
        <f t="shared" si="153"/>
        <v>0</v>
      </c>
      <c r="AG99">
        <f t="shared" si="132"/>
        <v>0</v>
      </c>
      <c r="AH99">
        <f t="shared" si="154"/>
        <v>0</v>
      </c>
      <c r="AI99">
        <f t="shared" si="154"/>
        <v>0</v>
      </c>
      <c r="AJ99">
        <f t="shared" si="133"/>
        <v>0</v>
      </c>
      <c r="AK99">
        <v>6.34</v>
      </c>
      <c r="AL99">
        <v>6.34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100</v>
      </c>
      <c r="AU99">
        <v>49</v>
      </c>
      <c r="AV99">
        <v>1</v>
      </c>
      <c r="AW99">
        <v>1</v>
      </c>
      <c r="AZ99">
        <v>1</v>
      </c>
      <c r="BA99">
        <v>1</v>
      </c>
      <c r="BB99">
        <v>1</v>
      </c>
      <c r="BC99">
        <v>8.9</v>
      </c>
      <c r="BD99" t="s">
        <v>3</v>
      </c>
      <c r="BE99" t="s">
        <v>3</v>
      </c>
      <c r="BF99" t="s">
        <v>3</v>
      </c>
      <c r="BG99" t="s">
        <v>3</v>
      </c>
      <c r="BH99">
        <v>3</v>
      </c>
      <c r="BI99">
        <v>1</v>
      </c>
      <c r="BJ99" t="s">
        <v>3</v>
      </c>
      <c r="BM99">
        <v>15001</v>
      </c>
      <c r="BN99">
        <v>0</v>
      </c>
      <c r="BO99" t="s">
        <v>3</v>
      </c>
      <c r="BP99">
        <v>0</v>
      </c>
      <c r="BQ99">
        <v>2</v>
      </c>
      <c r="BR99">
        <v>0</v>
      </c>
      <c r="BS99">
        <v>1</v>
      </c>
      <c r="BT99">
        <v>1</v>
      </c>
      <c r="BU99">
        <v>1</v>
      </c>
      <c r="BV99">
        <v>1</v>
      </c>
      <c r="BW99">
        <v>1</v>
      </c>
      <c r="BX99">
        <v>1</v>
      </c>
      <c r="BY99" t="s">
        <v>3</v>
      </c>
      <c r="BZ99">
        <v>100</v>
      </c>
      <c r="CA99">
        <v>49</v>
      </c>
      <c r="CB99" t="s">
        <v>3</v>
      </c>
      <c r="CE99">
        <v>0</v>
      </c>
      <c r="CF99">
        <v>0</v>
      </c>
      <c r="CG99">
        <v>0</v>
      </c>
      <c r="CM99">
        <v>0</v>
      </c>
      <c r="CN99" t="s">
        <v>3</v>
      </c>
      <c r="CO99">
        <v>0</v>
      </c>
      <c r="CP99">
        <f t="shared" si="134"/>
        <v>10551.66</v>
      </c>
      <c r="CQ99">
        <f t="shared" si="135"/>
        <v>56.426000000000002</v>
      </c>
      <c r="CR99">
        <f>(((ET99)*BB99-(EU99)*BS99)+AE99*BS99)</f>
        <v>0</v>
      </c>
      <c r="CS99">
        <f t="shared" si="136"/>
        <v>0</v>
      </c>
      <c r="CT99">
        <f t="shared" si="137"/>
        <v>0</v>
      </c>
      <c r="CU99">
        <f t="shared" si="138"/>
        <v>0</v>
      </c>
      <c r="CV99">
        <f t="shared" si="139"/>
        <v>0</v>
      </c>
      <c r="CW99">
        <f t="shared" si="140"/>
        <v>0</v>
      </c>
      <c r="CX99">
        <f t="shared" si="141"/>
        <v>0</v>
      </c>
      <c r="CY99">
        <f t="shared" si="142"/>
        <v>0</v>
      </c>
      <c r="CZ99">
        <f t="shared" si="143"/>
        <v>0</v>
      </c>
      <c r="DC99" t="s">
        <v>3</v>
      </c>
      <c r="DD99" t="s">
        <v>3</v>
      </c>
      <c r="DE99" t="s">
        <v>3</v>
      </c>
      <c r="DF99" t="s">
        <v>3</v>
      </c>
      <c r="DG99" t="s">
        <v>3</v>
      </c>
      <c r="DH99" t="s">
        <v>3</v>
      </c>
      <c r="DI99" t="s">
        <v>3</v>
      </c>
      <c r="DJ99" t="s">
        <v>3</v>
      </c>
      <c r="DK99" t="s">
        <v>3</v>
      </c>
      <c r="DL99" t="s">
        <v>3</v>
      </c>
      <c r="DM99" t="s">
        <v>3</v>
      </c>
      <c r="DN99">
        <v>0</v>
      </c>
      <c r="DO99">
        <v>0</v>
      </c>
      <c r="DP99">
        <v>1</v>
      </c>
      <c r="DQ99">
        <v>1</v>
      </c>
      <c r="DU99">
        <v>1005</v>
      </c>
      <c r="DV99" t="s">
        <v>72</v>
      </c>
      <c r="DW99" t="s">
        <v>72</v>
      </c>
      <c r="DX99">
        <v>1</v>
      </c>
      <c r="DZ99" t="s">
        <v>3</v>
      </c>
      <c r="EA99" t="s">
        <v>3</v>
      </c>
      <c r="EB99" t="s">
        <v>3</v>
      </c>
      <c r="EC99" t="s">
        <v>3</v>
      </c>
      <c r="EE99">
        <v>140625061</v>
      </c>
      <c r="EF99">
        <v>2</v>
      </c>
      <c r="EG99" t="s">
        <v>95</v>
      </c>
      <c r="EH99">
        <v>15</v>
      </c>
      <c r="EI99" t="s">
        <v>105</v>
      </c>
      <c r="EJ99">
        <v>1</v>
      </c>
      <c r="EK99">
        <v>15001</v>
      </c>
      <c r="EL99" t="s">
        <v>105</v>
      </c>
      <c r="EM99" t="s">
        <v>106</v>
      </c>
      <c r="EO99" t="s">
        <v>3</v>
      </c>
      <c r="EQ99">
        <v>0</v>
      </c>
      <c r="ER99">
        <v>6.3399999999999998E-2</v>
      </c>
      <c r="ES99">
        <v>6.34</v>
      </c>
      <c r="ET99">
        <v>0</v>
      </c>
      <c r="EU99">
        <v>0</v>
      </c>
      <c r="EV99">
        <v>0</v>
      </c>
      <c r="EW99">
        <v>0</v>
      </c>
      <c r="EX99">
        <v>0</v>
      </c>
      <c r="EY99">
        <v>0</v>
      </c>
      <c r="EZ99">
        <v>5</v>
      </c>
      <c r="FC99">
        <v>1</v>
      </c>
      <c r="FD99">
        <v>18</v>
      </c>
      <c r="FF99">
        <v>63.2</v>
      </c>
      <c r="FQ99">
        <v>0</v>
      </c>
      <c r="FR99">
        <f t="shared" si="144"/>
        <v>0</v>
      </c>
      <c r="FS99">
        <v>0</v>
      </c>
      <c r="FX99">
        <v>100</v>
      </c>
      <c r="FY99">
        <v>49</v>
      </c>
      <c r="GA99" t="s">
        <v>300</v>
      </c>
      <c r="GD99">
        <v>1</v>
      </c>
      <c r="GF99">
        <v>-927206422</v>
      </c>
      <c r="GG99">
        <v>2</v>
      </c>
      <c r="GH99">
        <v>3</v>
      </c>
      <c r="GI99">
        <v>4</v>
      </c>
      <c r="GJ99">
        <v>0</v>
      </c>
      <c r="GK99">
        <v>0</v>
      </c>
      <c r="GL99">
        <f t="shared" si="145"/>
        <v>0</v>
      </c>
      <c r="GM99">
        <f t="shared" si="146"/>
        <v>10551.66</v>
      </c>
      <c r="GN99">
        <f t="shared" si="147"/>
        <v>10551.66</v>
      </c>
      <c r="GO99">
        <f t="shared" si="148"/>
        <v>0</v>
      </c>
      <c r="GP99">
        <f t="shared" si="149"/>
        <v>0</v>
      </c>
      <c r="GR99">
        <v>1</v>
      </c>
      <c r="GS99">
        <v>1</v>
      </c>
      <c r="GT99">
        <v>0</v>
      </c>
      <c r="GU99" t="s">
        <v>3</v>
      </c>
      <c r="GV99">
        <f t="shared" si="150"/>
        <v>0</v>
      </c>
      <c r="GW99">
        <v>1</v>
      </c>
      <c r="GX99">
        <f t="shared" si="151"/>
        <v>0</v>
      </c>
      <c r="HA99">
        <v>0</v>
      </c>
      <c r="HB99">
        <v>0</v>
      </c>
      <c r="HC99">
        <f t="shared" si="152"/>
        <v>0</v>
      </c>
      <c r="HE99" t="s">
        <v>36</v>
      </c>
      <c r="HF99" t="s">
        <v>28</v>
      </c>
      <c r="HM99" t="s">
        <v>3</v>
      </c>
      <c r="HN99" t="s">
        <v>107</v>
      </c>
      <c r="HO99" t="s">
        <v>108</v>
      </c>
      <c r="HP99" t="s">
        <v>105</v>
      </c>
      <c r="HQ99" t="s">
        <v>105</v>
      </c>
      <c r="IK99">
        <v>0</v>
      </c>
    </row>
    <row r="100" spans="1:245" x14ac:dyDescent="0.2">
      <c r="A100">
        <v>17</v>
      </c>
      <c r="B100">
        <v>1</v>
      </c>
      <c r="E100" t="s">
        <v>301</v>
      </c>
      <c r="F100" t="s">
        <v>29</v>
      </c>
      <c r="G100" t="s">
        <v>302</v>
      </c>
      <c r="H100" t="s">
        <v>213</v>
      </c>
      <c r="I100">
        <v>3</v>
      </c>
      <c r="J100">
        <v>0</v>
      </c>
      <c r="K100">
        <v>3</v>
      </c>
      <c r="O100">
        <f t="shared" si="120"/>
        <v>1654.87</v>
      </c>
      <c r="P100">
        <f t="shared" si="121"/>
        <v>1654.87</v>
      </c>
      <c r="Q100">
        <f t="shared" si="122"/>
        <v>0</v>
      </c>
      <c r="R100">
        <f t="shared" si="123"/>
        <v>0</v>
      </c>
      <c r="S100">
        <f t="shared" si="124"/>
        <v>0</v>
      </c>
      <c r="T100">
        <f t="shared" si="125"/>
        <v>0</v>
      </c>
      <c r="U100">
        <f t="shared" si="126"/>
        <v>0</v>
      </c>
      <c r="V100">
        <f t="shared" si="127"/>
        <v>0</v>
      </c>
      <c r="W100">
        <f t="shared" si="128"/>
        <v>0</v>
      </c>
      <c r="X100">
        <f t="shared" si="129"/>
        <v>0</v>
      </c>
      <c r="Y100">
        <f t="shared" si="130"/>
        <v>0</v>
      </c>
      <c r="AA100">
        <v>145026783</v>
      </c>
      <c r="AB100">
        <f t="shared" si="131"/>
        <v>61.98</v>
      </c>
      <c r="AC100">
        <f t="shared" si="111"/>
        <v>61.98</v>
      </c>
      <c r="AD100">
        <f>ROUND((((ET100)-(EU100))+AE100),2)</f>
        <v>0</v>
      </c>
      <c r="AE100">
        <f t="shared" si="153"/>
        <v>0</v>
      </c>
      <c r="AF100">
        <f t="shared" si="153"/>
        <v>0</v>
      </c>
      <c r="AG100">
        <f t="shared" si="132"/>
        <v>0</v>
      </c>
      <c r="AH100">
        <f t="shared" si="154"/>
        <v>0</v>
      </c>
      <c r="AI100">
        <f t="shared" si="154"/>
        <v>0</v>
      </c>
      <c r="AJ100">
        <f t="shared" si="133"/>
        <v>0</v>
      </c>
      <c r="AK100">
        <v>61.98</v>
      </c>
      <c r="AL100">
        <v>61.98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100</v>
      </c>
      <c r="AU100">
        <v>49</v>
      </c>
      <c r="AV100">
        <v>1</v>
      </c>
      <c r="AW100">
        <v>1</v>
      </c>
      <c r="AZ100">
        <v>1</v>
      </c>
      <c r="BA100">
        <v>1</v>
      </c>
      <c r="BB100">
        <v>1</v>
      </c>
      <c r="BC100">
        <v>8.9</v>
      </c>
      <c r="BD100" t="s">
        <v>3</v>
      </c>
      <c r="BE100" t="s">
        <v>3</v>
      </c>
      <c r="BF100" t="s">
        <v>3</v>
      </c>
      <c r="BG100" t="s">
        <v>3</v>
      </c>
      <c r="BH100">
        <v>3</v>
      </c>
      <c r="BI100">
        <v>1</v>
      </c>
      <c r="BJ100" t="s">
        <v>3</v>
      </c>
      <c r="BM100">
        <v>15001</v>
      </c>
      <c r="BN100">
        <v>0</v>
      </c>
      <c r="BO100" t="s">
        <v>3</v>
      </c>
      <c r="BP100">
        <v>0</v>
      </c>
      <c r="BQ100">
        <v>2</v>
      </c>
      <c r="BR100">
        <v>0</v>
      </c>
      <c r="BS100">
        <v>1</v>
      </c>
      <c r="BT100">
        <v>1</v>
      </c>
      <c r="BU100">
        <v>1</v>
      </c>
      <c r="BV100">
        <v>1</v>
      </c>
      <c r="BW100">
        <v>1</v>
      </c>
      <c r="BX100">
        <v>1</v>
      </c>
      <c r="BY100" t="s">
        <v>3</v>
      </c>
      <c r="BZ100">
        <v>100</v>
      </c>
      <c r="CA100">
        <v>49</v>
      </c>
      <c r="CB100" t="s">
        <v>3</v>
      </c>
      <c r="CE100">
        <v>0</v>
      </c>
      <c r="CF100">
        <v>0</v>
      </c>
      <c r="CG100">
        <v>0</v>
      </c>
      <c r="CM100">
        <v>0</v>
      </c>
      <c r="CN100" t="s">
        <v>3</v>
      </c>
      <c r="CO100">
        <v>0</v>
      </c>
      <c r="CP100">
        <f t="shared" si="134"/>
        <v>1654.87</v>
      </c>
      <c r="CQ100">
        <f t="shared" si="135"/>
        <v>551.62199999999996</v>
      </c>
      <c r="CR100">
        <f>(((ET100)*BB100-(EU100)*BS100)+AE100*BS100)</f>
        <v>0</v>
      </c>
      <c r="CS100">
        <f t="shared" si="136"/>
        <v>0</v>
      </c>
      <c r="CT100">
        <f t="shared" si="137"/>
        <v>0</v>
      </c>
      <c r="CU100">
        <f t="shared" si="138"/>
        <v>0</v>
      </c>
      <c r="CV100">
        <f t="shared" si="139"/>
        <v>0</v>
      </c>
      <c r="CW100">
        <f t="shared" si="140"/>
        <v>0</v>
      </c>
      <c r="CX100">
        <f t="shared" si="141"/>
        <v>0</v>
      </c>
      <c r="CY100">
        <f t="shared" si="142"/>
        <v>0</v>
      </c>
      <c r="CZ100">
        <f t="shared" si="143"/>
        <v>0</v>
      </c>
      <c r="DC100" t="s">
        <v>3</v>
      </c>
      <c r="DD100" t="s">
        <v>3</v>
      </c>
      <c r="DE100" t="s">
        <v>3</v>
      </c>
      <c r="DF100" t="s">
        <v>3</v>
      </c>
      <c r="DG100" t="s">
        <v>3</v>
      </c>
      <c r="DH100" t="s">
        <v>3</v>
      </c>
      <c r="DI100" t="s">
        <v>3</v>
      </c>
      <c r="DJ100" t="s">
        <v>3</v>
      </c>
      <c r="DK100" t="s">
        <v>3</v>
      </c>
      <c r="DL100" t="s">
        <v>3</v>
      </c>
      <c r="DM100" t="s">
        <v>3</v>
      </c>
      <c r="DN100">
        <v>0</v>
      </c>
      <c r="DO100">
        <v>0</v>
      </c>
      <c r="DP100">
        <v>1</v>
      </c>
      <c r="DQ100">
        <v>1</v>
      </c>
      <c r="DU100">
        <v>1013</v>
      </c>
      <c r="DV100" t="s">
        <v>213</v>
      </c>
      <c r="DW100" t="s">
        <v>213</v>
      </c>
      <c r="DX100">
        <v>1</v>
      </c>
      <c r="DZ100" t="s">
        <v>3</v>
      </c>
      <c r="EA100" t="s">
        <v>3</v>
      </c>
      <c r="EB100" t="s">
        <v>3</v>
      </c>
      <c r="EC100" t="s">
        <v>3</v>
      </c>
      <c r="EE100">
        <v>140625061</v>
      </c>
      <c r="EF100">
        <v>2</v>
      </c>
      <c r="EG100" t="s">
        <v>95</v>
      </c>
      <c r="EH100">
        <v>15</v>
      </c>
      <c r="EI100" t="s">
        <v>105</v>
      </c>
      <c r="EJ100">
        <v>1</v>
      </c>
      <c r="EK100">
        <v>15001</v>
      </c>
      <c r="EL100" t="s">
        <v>105</v>
      </c>
      <c r="EM100" t="s">
        <v>106</v>
      </c>
      <c r="EO100" t="s">
        <v>3</v>
      </c>
      <c r="EQ100">
        <v>0</v>
      </c>
      <c r="ER100">
        <v>61.98</v>
      </c>
      <c r="ES100">
        <v>61.98</v>
      </c>
      <c r="ET100">
        <v>0</v>
      </c>
      <c r="EU100">
        <v>0</v>
      </c>
      <c r="EV100">
        <v>0</v>
      </c>
      <c r="EW100">
        <v>0</v>
      </c>
      <c r="EX100">
        <v>0</v>
      </c>
      <c r="EY100">
        <v>0</v>
      </c>
      <c r="EZ100">
        <v>5</v>
      </c>
      <c r="FC100">
        <v>1</v>
      </c>
      <c r="FD100">
        <v>18</v>
      </c>
      <c r="FF100">
        <v>618</v>
      </c>
      <c r="FQ100">
        <v>0</v>
      </c>
      <c r="FR100">
        <f t="shared" si="144"/>
        <v>0</v>
      </c>
      <c r="FS100">
        <v>0</v>
      </c>
      <c r="FX100">
        <v>100</v>
      </c>
      <c r="FY100">
        <v>49</v>
      </c>
      <c r="GA100" t="s">
        <v>303</v>
      </c>
      <c r="GD100">
        <v>1</v>
      </c>
      <c r="GF100">
        <v>-2025170451</v>
      </c>
      <c r="GG100">
        <v>2</v>
      </c>
      <c r="GH100">
        <v>3</v>
      </c>
      <c r="GI100">
        <v>4</v>
      </c>
      <c r="GJ100">
        <v>0</v>
      </c>
      <c r="GK100">
        <v>0</v>
      </c>
      <c r="GL100">
        <f t="shared" si="145"/>
        <v>0</v>
      </c>
      <c r="GM100">
        <f t="shared" si="146"/>
        <v>1654.87</v>
      </c>
      <c r="GN100">
        <f t="shared" si="147"/>
        <v>1654.87</v>
      </c>
      <c r="GO100">
        <f t="shared" si="148"/>
        <v>0</v>
      </c>
      <c r="GP100">
        <f t="shared" si="149"/>
        <v>0</v>
      </c>
      <c r="GR100">
        <v>1</v>
      </c>
      <c r="GS100">
        <v>1</v>
      </c>
      <c r="GT100">
        <v>0</v>
      </c>
      <c r="GU100" t="s">
        <v>3</v>
      </c>
      <c r="GV100">
        <f t="shared" si="150"/>
        <v>0</v>
      </c>
      <c r="GW100">
        <v>1</v>
      </c>
      <c r="GX100">
        <f t="shared" si="151"/>
        <v>0</v>
      </c>
      <c r="HA100">
        <v>0</v>
      </c>
      <c r="HB100">
        <v>0</v>
      </c>
      <c r="HC100">
        <f t="shared" si="152"/>
        <v>0</v>
      </c>
      <c r="HE100" t="s">
        <v>36</v>
      </c>
      <c r="HF100" t="s">
        <v>28</v>
      </c>
      <c r="HM100" t="s">
        <v>3</v>
      </c>
      <c r="HN100" t="s">
        <v>107</v>
      </c>
      <c r="HO100" t="s">
        <v>108</v>
      </c>
      <c r="HP100" t="s">
        <v>105</v>
      </c>
      <c r="HQ100" t="s">
        <v>105</v>
      </c>
      <c r="IK100">
        <v>0</v>
      </c>
    </row>
    <row r="101" spans="1:245" x14ac:dyDescent="0.2">
      <c r="A101">
        <v>17</v>
      </c>
      <c r="B101">
        <v>1</v>
      </c>
      <c r="C101">
        <f>ROW(SmtRes!A158)</f>
        <v>158</v>
      </c>
      <c r="D101">
        <f>ROW(EtalonRes!A177)</f>
        <v>177</v>
      </c>
      <c r="E101" t="s">
        <v>304</v>
      </c>
      <c r="F101" t="s">
        <v>305</v>
      </c>
      <c r="G101" t="s">
        <v>306</v>
      </c>
      <c r="H101" t="s">
        <v>40</v>
      </c>
      <c r="I101">
        <f>ROUND(598/100,9)</f>
        <v>5.98</v>
      </c>
      <c r="J101">
        <v>0</v>
      </c>
      <c r="K101">
        <f>ROUND(598/100,9)</f>
        <v>5.98</v>
      </c>
      <c r="O101">
        <f t="shared" si="120"/>
        <v>118973.29</v>
      </c>
      <c r="P101">
        <f t="shared" si="121"/>
        <v>34198.33</v>
      </c>
      <c r="Q101">
        <f t="shared" si="122"/>
        <v>967.54</v>
      </c>
      <c r="R101">
        <f t="shared" si="123"/>
        <v>470.89</v>
      </c>
      <c r="S101">
        <f t="shared" si="124"/>
        <v>83807.42</v>
      </c>
      <c r="T101">
        <f t="shared" si="125"/>
        <v>0</v>
      </c>
      <c r="U101">
        <f t="shared" si="126"/>
        <v>299.56212000000005</v>
      </c>
      <c r="V101">
        <f t="shared" si="127"/>
        <v>1.2707500000000003</v>
      </c>
      <c r="W101">
        <f t="shared" si="128"/>
        <v>0</v>
      </c>
      <c r="X101">
        <f t="shared" si="129"/>
        <v>84278.31</v>
      </c>
      <c r="Y101">
        <f t="shared" si="130"/>
        <v>35101.919999999998</v>
      </c>
      <c r="AA101">
        <v>145026783</v>
      </c>
      <c r="AB101">
        <f t="shared" si="131"/>
        <v>1093.3900000000001</v>
      </c>
      <c r="AC101">
        <f t="shared" si="111"/>
        <v>642.55999999999995</v>
      </c>
      <c r="AD101">
        <f>ROUND(((((ET101*1.25))-((EU101*1.25)))+AE101),2)</f>
        <v>13.01</v>
      </c>
      <c r="AE101">
        <f>ROUND(((EU101*1.25)),2)</f>
        <v>2.46</v>
      </c>
      <c r="AF101">
        <f>ROUND(((EV101*1.15)),2)</f>
        <v>437.82</v>
      </c>
      <c r="AG101">
        <f t="shared" si="132"/>
        <v>0</v>
      </c>
      <c r="AH101">
        <f>((EW101*1.15))</f>
        <v>50.094000000000001</v>
      </c>
      <c r="AI101">
        <f>((EX101*1.25))</f>
        <v>0.21250000000000002</v>
      </c>
      <c r="AJ101">
        <f t="shared" si="133"/>
        <v>0</v>
      </c>
      <c r="AK101">
        <v>1033.68</v>
      </c>
      <c r="AL101">
        <v>642.55999999999995</v>
      </c>
      <c r="AM101">
        <v>10.41</v>
      </c>
      <c r="AN101">
        <v>1.97</v>
      </c>
      <c r="AO101">
        <v>380.71</v>
      </c>
      <c r="AP101">
        <v>0</v>
      </c>
      <c r="AQ101">
        <v>43.56</v>
      </c>
      <c r="AR101">
        <v>0.17</v>
      </c>
      <c r="AS101">
        <v>0</v>
      </c>
      <c r="AT101">
        <v>100</v>
      </c>
      <c r="AU101">
        <v>41.65</v>
      </c>
      <c r="AV101">
        <v>1</v>
      </c>
      <c r="AW101">
        <v>1</v>
      </c>
      <c r="AZ101">
        <v>1</v>
      </c>
      <c r="BA101">
        <v>32.01</v>
      </c>
      <c r="BB101">
        <v>12.44</v>
      </c>
      <c r="BC101">
        <v>8.9</v>
      </c>
      <c r="BD101" t="s">
        <v>3</v>
      </c>
      <c r="BE101" t="s">
        <v>3</v>
      </c>
      <c r="BF101" t="s">
        <v>3</v>
      </c>
      <c r="BG101" t="s">
        <v>3</v>
      </c>
      <c r="BH101">
        <v>0</v>
      </c>
      <c r="BI101">
        <v>1</v>
      </c>
      <c r="BJ101" t="s">
        <v>307</v>
      </c>
      <c r="BM101">
        <v>15001</v>
      </c>
      <c r="BN101">
        <v>0</v>
      </c>
      <c r="BO101" t="s">
        <v>3</v>
      </c>
      <c r="BP101">
        <v>0</v>
      </c>
      <c r="BQ101">
        <v>2</v>
      </c>
      <c r="BR101">
        <v>0</v>
      </c>
      <c r="BS101">
        <v>32.01</v>
      </c>
      <c r="BT101">
        <v>1</v>
      </c>
      <c r="BU101">
        <v>1</v>
      </c>
      <c r="BV101">
        <v>1</v>
      </c>
      <c r="BW101">
        <v>1</v>
      </c>
      <c r="BX101">
        <v>1</v>
      </c>
      <c r="BY101" t="s">
        <v>3</v>
      </c>
      <c r="BZ101">
        <v>100</v>
      </c>
      <c r="CA101">
        <v>49</v>
      </c>
      <c r="CB101" t="s">
        <v>3</v>
      </c>
      <c r="CE101">
        <v>0</v>
      </c>
      <c r="CF101">
        <v>0</v>
      </c>
      <c r="CG101">
        <v>0</v>
      </c>
      <c r="CM101">
        <v>0</v>
      </c>
      <c r="CN101" t="s">
        <v>160</v>
      </c>
      <c r="CO101">
        <v>0</v>
      </c>
      <c r="CP101">
        <f t="shared" si="134"/>
        <v>118973.29000000001</v>
      </c>
      <c r="CQ101">
        <f t="shared" si="135"/>
        <v>5718.7839999999997</v>
      </c>
      <c r="CR101">
        <f>((((ET101*1.25))*BB101-((EU101*1.25))*BS101)+AE101*BS101)</f>
        <v>161.79547499999998</v>
      </c>
      <c r="CS101">
        <f t="shared" si="136"/>
        <v>78.744599999999991</v>
      </c>
      <c r="CT101">
        <f t="shared" si="137"/>
        <v>14014.618199999999</v>
      </c>
      <c r="CU101">
        <f t="shared" si="138"/>
        <v>0</v>
      </c>
      <c r="CV101">
        <f t="shared" si="139"/>
        <v>50.094000000000001</v>
      </c>
      <c r="CW101">
        <f t="shared" si="140"/>
        <v>0.21250000000000002</v>
      </c>
      <c r="CX101">
        <f t="shared" si="141"/>
        <v>0</v>
      </c>
      <c r="CY101">
        <f t="shared" si="142"/>
        <v>84278.31</v>
      </c>
      <c r="CZ101">
        <f t="shared" si="143"/>
        <v>35101.916115</v>
      </c>
      <c r="DC101" t="s">
        <v>3</v>
      </c>
      <c r="DD101" t="s">
        <v>3</v>
      </c>
      <c r="DE101" t="s">
        <v>148</v>
      </c>
      <c r="DF101" t="s">
        <v>148</v>
      </c>
      <c r="DG101" t="s">
        <v>149</v>
      </c>
      <c r="DH101" t="s">
        <v>3</v>
      </c>
      <c r="DI101" t="s">
        <v>149</v>
      </c>
      <c r="DJ101" t="s">
        <v>148</v>
      </c>
      <c r="DK101" t="s">
        <v>3</v>
      </c>
      <c r="DL101" t="s">
        <v>3</v>
      </c>
      <c r="DM101" t="s">
        <v>150</v>
      </c>
      <c r="DN101">
        <v>0</v>
      </c>
      <c r="DO101">
        <v>0</v>
      </c>
      <c r="DP101">
        <v>1</v>
      </c>
      <c r="DQ101">
        <v>1</v>
      </c>
      <c r="DU101">
        <v>1005</v>
      </c>
      <c r="DV101" t="s">
        <v>40</v>
      </c>
      <c r="DW101" t="s">
        <v>40</v>
      </c>
      <c r="DX101">
        <v>100</v>
      </c>
      <c r="DZ101" t="s">
        <v>3</v>
      </c>
      <c r="EA101" t="s">
        <v>3</v>
      </c>
      <c r="EB101" t="s">
        <v>3</v>
      </c>
      <c r="EC101" t="s">
        <v>3</v>
      </c>
      <c r="EE101">
        <v>140625061</v>
      </c>
      <c r="EF101">
        <v>2</v>
      </c>
      <c r="EG101" t="s">
        <v>95</v>
      </c>
      <c r="EH101">
        <v>15</v>
      </c>
      <c r="EI101" t="s">
        <v>105</v>
      </c>
      <c r="EJ101">
        <v>1</v>
      </c>
      <c r="EK101">
        <v>15001</v>
      </c>
      <c r="EL101" t="s">
        <v>105</v>
      </c>
      <c r="EM101" t="s">
        <v>106</v>
      </c>
      <c r="EO101" t="s">
        <v>162</v>
      </c>
      <c r="EQ101">
        <v>2097152</v>
      </c>
      <c r="ER101">
        <v>1033.68</v>
      </c>
      <c r="ES101">
        <v>642.55999999999995</v>
      </c>
      <c r="ET101">
        <v>10.41</v>
      </c>
      <c r="EU101">
        <v>1.97</v>
      </c>
      <c r="EV101">
        <v>380.71</v>
      </c>
      <c r="EW101">
        <v>43.56</v>
      </c>
      <c r="EX101">
        <v>0.17</v>
      </c>
      <c r="EY101">
        <v>0</v>
      </c>
      <c r="FQ101">
        <v>0</v>
      </c>
      <c r="FR101">
        <f t="shared" si="144"/>
        <v>0</v>
      </c>
      <c r="FS101">
        <v>0</v>
      </c>
      <c r="FX101">
        <v>100</v>
      </c>
      <c r="FY101">
        <v>41.65</v>
      </c>
      <c r="GA101" t="s">
        <v>3</v>
      </c>
      <c r="GD101">
        <v>1</v>
      </c>
      <c r="GF101">
        <v>-869380272</v>
      </c>
      <c r="GG101">
        <v>2</v>
      </c>
      <c r="GH101">
        <v>1</v>
      </c>
      <c r="GI101">
        <v>4</v>
      </c>
      <c r="GJ101">
        <v>0</v>
      </c>
      <c r="GK101">
        <v>0</v>
      </c>
      <c r="GL101">
        <f t="shared" si="145"/>
        <v>0</v>
      </c>
      <c r="GM101">
        <f t="shared" si="146"/>
        <v>238353.52</v>
      </c>
      <c r="GN101">
        <f t="shared" si="147"/>
        <v>238353.52</v>
      </c>
      <c r="GO101">
        <f t="shared" si="148"/>
        <v>0</v>
      </c>
      <c r="GP101">
        <f t="shared" si="149"/>
        <v>0</v>
      </c>
      <c r="GR101">
        <v>0</v>
      </c>
      <c r="GS101">
        <v>3</v>
      </c>
      <c r="GT101">
        <v>0</v>
      </c>
      <c r="GU101" t="s">
        <v>3</v>
      </c>
      <c r="GV101">
        <f t="shared" si="150"/>
        <v>0</v>
      </c>
      <c r="GW101">
        <v>1</v>
      </c>
      <c r="GX101">
        <f t="shared" si="151"/>
        <v>0</v>
      </c>
      <c r="HA101">
        <v>0</v>
      </c>
      <c r="HB101">
        <v>0</v>
      </c>
      <c r="HC101">
        <f t="shared" si="152"/>
        <v>0</v>
      </c>
      <c r="HE101" t="s">
        <v>3</v>
      </c>
      <c r="HF101" t="s">
        <v>3</v>
      </c>
      <c r="HM101" t="s">
        <v>3</v>
      </c>
      <c r="HN101" t="s">
        <v>107</v>
      </c>
      <c r="HO101" t="s">
        <v>108</v>
      </c>
      <c r="HP101" t="s">
        <v>105</v>
      </c>
      <c r="HQ101" t="s">
        <v>105</v>
      </c>
      <c r="IK101">
        <v>0</v>
      </c>
    </row>
    <row r="102" spans="1:245" x14ac:dyDescent="0.2">
      <c r="A102">
        <v>18</v>
      </c>
      <c r="B102">
        <v>1</v>
      </c>
      <c r="C102">
        <v>158</v>
      </c>
      <c r="E102" t="s">
        <v>308</v>
      </c>
      <c r="F102" t="s">
        <v>309</v>
      </c>
      <c r="G102" t="s">
        <v>310</v>
      </c>
      <c r="H102" t="s">
        <v>49</v>
      </c>
      <c r="I102">
        <f>I101*J102</f>
        <v>-0.30497999999999997</v>
      </c>
      <c r="J102">
        <v>-5.099999999999999E-2</v>
      </c>
      <c r="K102">
        <v>-5.0999999999999997E-2</v>
      </c>
      <c r="O102">
        <f t="shared" si="120"/>
        <v>-30935.4</v>
      </c>
      <c r="P102">
        <f t="shared" si="121"/>
        <v>-30935.4</v>
      </c>
      <c r="Q102">
        <f t="shared" si="122"/>
        <v>0</v>
      </c>
      <c r="R102">
        <f t="shared" si="123"/>
        <v>0</v>
      </c>
      <c r="S102">
        <f t="shared" si="124"/>
        <v>0</v>
      </c>
      <c r="T102">
        <f t="shared" si="125"/>
        <v>0</v>
      </c>
      <c r="U102">
        <f t="shared" si="126"/>
        <v>0</v>
      </c>
      <c r="V102">
        <f t="shared" si="127"/>
        <v>0</v>
      </c>
      <c r="W102">
        <f t="shared" si="128"/>
        <v>0</v>
      </c>
      <c r="X102">
        <f t="shared" si="129"/>
        <v>0</v>
      </c>
      <c r="Y102">
        <f t="shared" si="130"/>
        <v>0</v>
      </c>
      <c r="AA102">
        <v>145026783</v>
      </c>
      <c r="AB102">
        <f t="shared" si="131"/>
        <v>11397.1</v>
      </c>
      <c r="AC102">
        <f t="shared" si="111"/>
        <v>11397.1</v>
      </c>
      <c r="AD102">
        <f>ROUND((((ET102)-(EU102))+AE102),2)</f>
        <v>0</v>
      </c>
      <c r="AE102">
        <f t="shared" ref="AE102:AF105" si="155">ROUND((EU102),2)</f>
        <v>0</v>
      </c>
      <c r="AF102">
        <f t="shared" si="155"/>
        <v>0</v>
      </c>
      <c r="AG102">
        <f t="shared" si="132"/>
        <v>0</v>
      </c>
      <c r="AH102">
        <f t="shared" ref="AH102:AI105" si="156">(EW102)</f>
        <v>0</v>
      </c>
      <c r="AI102">
        <f t="shared" si="156"/>
        <v>0</v>
      </c>
      <c r="AJ102">
        <f t="shared" si="133"/>
        <v>0</v>
      </c>
      <c r="AK102">
        <v>11397.1</v>
      </c>
      <c r="AL102">
        <v>11397.1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100</v>
      </c>
      <c r="AU102">
        <v>49</v>
      </c>
      <c r="AV102">
        <v>1</v>
      </c>
      <c r="AW102">
        <v>1</v>
      </c>
      <c r="AZ102">
        <v>1</v>
      </c>
      <c r="BA102">
        <v>1</v>
      </c>
      <c r="BB102">
        <v>1</v>
      </c>
      <c r="BC102">
        <v>8.9</v>
      </c>
      <c r="BD102" t="s">
        <v>3</v>
      </c>
      <c r="BE102" t="s">
        <v>3</v>
      </c>
      <c r="BF102" t="s">
        <v>3</v>
      </c>
      <c r="BG102" t="s">
        <v>3</v>
      </c>
      <c r="BH102">
        <v>3</v>
      </c>
      <c r="BI102">
        <v>1</v>
      </c>
      <c r="BJ102" t="s">
        <v>311</v>
      </c>
      <c r="BM102">
        <v>15001</v>
      </c>
      <c r="BN102">
        <v>0</v>
      </c>
      <c r="BO102" t="s">
        <v>3</v>
      </c>
      <c r="BP102">
        <v>0</v>
      </c>
      <c r="BQ102">
        <v>2</v>
      </c>
      <c r="BR102">
        <v>1</v>
      </c>
      <c r="BS102">
        <v>1</v>
      </c>
      <c r="BT102">
        <v>1</v>
      </c>
      <c r="BU102">
        <v>1</v>
      </c>
      <c r="BV102">
        <v>1</v>
      </c>
      <c r="BW102">
        <v>1</v>
      </c>
      <c r="BX102">
        <v>1</v>
      </c>
      <c r="BY102" t="s">
        <v>3</v>
      </c>
      <c r="BZ102">
        <v>100</v>
      </c>
      <c r="CA102">
        <v>49</v>
      </c>
      <c r="CB102" t="s">
        <v>3</v>
      </c>
      <c r="CE102">
        <v>0</v>
      </c>
      <c r="CF102">
        <v>0</v>
      </c>
      <c r="CG102">
        <v>0</v>
      </c>
      <c r="CM102">
        <v>0</v>
      </c>
      <c r="CN102" t="s">
        <v>3</v>
      </c>
      <c r="CO102">
        <v>0</v>
      </c>
      <c r="CP102">
        <f t="shared" si="134"/>
        <v>-30935.4</v>
      </c>
      <c r="CQ102">
        <f t="shared" si="135"/>
        <v>101434.19</v>
      </c>
      <c r="CR102">
        <f>(((ET102)*BB102-(EU102)*BS102)+AE102*BS102)</f>
        <v>0</v>
      </c>
      <c r="CS102">
        <f t="shared" si="136"/>
        <v>0</v>
      </c>
      <c r="CT102">
        <f t="shared" si="137"/>
        <v>0</v>
      </c>
      <c r="CU102">
        <f t="shared" si="138"/>
        <v>0</v>
      </c>
      <c r="CV102">
        <f t="shared" si="139"/>
        <v>0</v>
      </c>
      <c r="CW102">
        <f t="shared" si="140"/>
        <v>0</v>
      </c>
      <c r="CX102">
        <f t="shared" si="141"/>
        <v>0</v>
      </c>
      <c r="CY102">
        <f t="shared" si="142"/>
        <v>0</v>
      </c>
      <c r="CZ102">
        <f t="shared" si="143"/>
        <v>0</v>
      </c>
      <c r="DC102" t="s">
        <v>3</v>
      </c>
      <c r="DD102" t="s">
        <v>3</v>
      </c>
      <c r="DE102" t="s">
        <v>3</v>
      </c>
      <c r="DF102" t="s">
        <v>3</v>
      </c>
      <c r="DG102" t="s">
        <v>3</v>
      </c>
      <c r="DH102" t="s">
        <v>3</v>
      </c>
      <c r="DI102" t="s">
        <v>3</v>
      </c>
      <c r="DJ102" t="s">
        <v>3</v>
      </c>
      <c r="DK102" t="s">
        <v>3</v>
      </c>
      <c r="DL102" t="s">
        <v>3</v>
      </c>
      <c r="DM102" t="s">
        <v>3</v>
      </c>
      <c r="DN102">
        <v>0</v>
      </c>
      <c r="DO102">
        <v>0</v>
      </c>
      <c r="DP102">
        <v>1</v>
      </c>
      <c r="DQ102">
        <v>1</v>
      </c>
      <c r="DU102">
        <v>1009</v>
      </c>
      <c r="DV102" t="s">
        <v>49</v>
      </c>
      <c r="DW102" t="s">
        <v>49</v>
      </c>
      <c r="DX102">
        <v>1000</v>
      </c>
      <c r="DZ102" t="s">
        <v>3</v>
      </c>
      <c r="EA102" t="s">
        <v>3</v>
      </c>
      <c r="EB102" t="s">
        <v>3</v>
      </c>
      <c r="EC102" t="s">
        <v>3</v>
      </c>
      <c r="EE102">
        <v>140625061</v>
      </c>
      <c r="EF102">
        <v>2</v>
      </c>
      <c r="EG102" t="s">
        <v>95</v>
      </c>
      <c r="EH102">
        <v>15</v>
      </c>
      <c r="EI102" t="s">
        <v>105</v>
      </c>
      <c r="EJ102">
        <v>1</v>
      </c>
      <c r="EK102">
        <v>15001</v>
      </c>
      <c r="EL102" t="s">
        <v>105</v>
      </c>
      <c r="EM102" t="s">
        <v>106</v>
      </c>
      <c r="EO102" t="s">
        <v>3</v>
      </c>
      <c r="EQ102">
        <v>0</v>
      </c>
      <c r="ER102">
        <v>11397.1</v>
      </c>
      <c r="ES102">
        <v>11397.1</v>
      </c>
      <c r="ET102">
        <v>0</v>
      </c>
      <c r="EU102">
        <v>0</v>
      </c>
      <c r="EV102">
        <v>0</v>
      </c>
      <c r="EW102">
        <v>0</v>
      </c>
      <c r="EX102">
        <v>0</v>
      </c>
      <c r="FQ102">
        <v>0</v>
      </c>
      <c r="FR102">
        <f t="shared" si="144"/>
        <v>0</v>
      </c>
      <c r="FS102">
        <v>0</v>
      </c>
      <c r="FX102">
        <v>100</v>
      </c>
      <c r="FY102">
        <v>49</v>
      </c>
      <c r="GA102" t="s">
        <v>3</v>
      </c>
      <c r="GD102">
        <v>1</v>
      </c>
      <c r="GF102">
        <v>280307875</v>
      </c>
      <c r="GG102">
        <v>2</v>
      </c>
      <c r="GH102">
        <v>1</v>
      </c>
      <c r="GI102">
        <v>4</v>
      </c>
      <c r="GJ102">
        <v>0</v>
      </c>
      <c r="GK102">
        <v>0</v>
      </c>
      <c r="GL102">
        <f t="shared" si="145"/>
        <v>0</v>
      </c>
      <c r="GM102">
        <f t="shared" si="146"/>
        <v>-30935.4</v>
      </c>
      <c r="GN102">
        <f t="shared" si="147"/>
        <v>-30935.4</v>
      </c>
      <c r="GO102">
        <f t="shared" si="148"/>
        <v>0</v>
      </c>
      <c r="GP102">
        <f t="shared" si="149"/>
        <v>0</v>
      </c>
      <c r="GR102">
        <v>0</v>
      </c>
      <c r="GS102">
        <v>3</v>
      </c>
      <c r="GT102">
        <v>0</v>
      </c>
      <c r="GU102" t="s">
        <v>3</v>
      </c>
      <c r="GV102">
        <f t="shared" si="150"/>
        <v>0</v>
      </c>
      <c r="GW102">
        <v>1</v>
      </c>
      <c r="GX102">
        <f t="shared" si="151"/>
        <v>0</v>
      </c>
      <c r="HA102">
        <v>0</v>
      </c>
      <c r="HB102">
        <v>0</v>
      </c>
      <c r="HC102">
        <f t="shared" si="152"/>
        <v>0</v>
      </c>
      <c r="HE102" t="s">
        <v>3</v>
      </c>
      <c r="HF102" t="s">
        <v>3</v>
      </c>
      <c r="HM102" t="s">
        <v>3</v>
      </c>
      <c r="HN102" t="s">
        <v>107</v>
      </c>
      <c r="HO102" t="s">
        <v>108</v>
      </c>
      <c r="HP102" t="s">
        <v>105</v>
      </c>
      <c r="HQ102" t="s">
        <v>105</v>
      </c>
      <c r="IK102">
        <v>0</v>
      </c>
    </row>
    <row r="103" spans="1:245" x14ac:dyDescent="0.2">
      <c r="A103">
        <v>17</v>
      </c>
      <c r="B103">
        <v>1</v>
      </c>
      <c r="E103" t="s">
        <v>312</v>
      </c>
      <c r="F103" t="s">
        <v>29</v>
      </c>
      <c r="G103" t="s">
        <v>313</v>
      </c>
      <c r="H103" t="s">
        <v>154</v>
      </c>
      <c r="I103">
        <f>ROUND(I101*30,9)</f>
        <v>179.4</v>
      </c>
      <c r="J103">
        <v>0</v>
      </c>
      <c r="K103">
        <f>ROUND(I101*30,9)</f>
        <v>179.4</v>
      </c>
      <c r="O103">
        <f t="shared" si="120"/>
        <v>14896.84</v>
      </c>
      <c r="P103">
        <f t="shared" si="121"/>
        <v>14896.84</v>
      </c>
      <c r="Q103">
        <f t="shared" si="122"/>
        <v>0</v>
      </c>
      <c r="R103">
        <f t="shared" si="123"/>
        <v>0</v>
      </c>
      <c r="S103">
        <f t="shared" si="124"/>
        <v>0</v>
      </c>
      <c r="T103">
        <f t="shared" si="125"/>
        <v>0</v>
      </c>
      <c r="U103">
        <f t="shared" si="126"/>
        <v>0</v>
      </c>
      <c r="V103">
        <f t="shared" si="127"/>
        <v>0</v>
      </c>
      <c r="W103">
        <f t="shared" si="128"/>
        <v>0</v>
      </c>
      <c r="X103">
        <f t="shared" si="129"/>
        <v>0</v>
      </c>
      <c r="Y103">
        <f t="shared" si="130"/>
        <v>0</v>
      </c>
      <c r="AA103">
        <v>145026783</v>
      </c>
      <c r="AB103">
        <f t="shared" si="131"/>
        <v>9.33</v>
      </c>
      <c r="AC103">
        <f t="shared" si="111"/>
        <v>9.33</v>
      </c>
      <c r="AD103">
        <f>ROUND((((ET103)-(EU103))+AE103),2)</f>
        <v>0</v>
      </c>
      <c r="AE103">
        <f t="shared" si="155"/>
        <v>0</v>
      </c>
      <c r="AF103">
        <f t="shared" si="155"/>
        <v>0</v>
      </c>
      <c r="AG103">
        <f t="shared" si="132"/>
        <v>0</v>
      </c>
      <c r="AH103">
        <f t="shared" si="156"/>
        <v>0</v>
      </c>
      <c r="AI103">
        <f t="shared" si="156"/>
        <v>0</v>
      </c>
      <c r="AJ103">
        <f t="shared" si="133"/>
        <v>0</v>
      </c>
      <c r="AK103">
        <v>9.33</v>
      </c>
      <c r="AL103">
        <v>9.33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1</v>
      </c>
      <c r="AW103">
        <v>1</v>
      </c>
      <c r="AZ103">
        <v>1</v>
      </c>
      <c r="BA103">
        <v>1</v>
      </c>
      <c r="BB103">
        <v>1</v>
      </c>
      <c r="BC103">
        <v>8.9</v>
      </c>
      <c r="BD103" t="s">
        <v>3</v>
      </c>
      <c r="BE103" t="s">
        <v>3</v>
      </c>
      <c r="BF103" t="s">
        <v>3</v>
      </c>
      <c r="BG103" t="s">
        <v>3</v>
      </c>
      <c r="BH103">
        <v>3</v>
      </c>
      <c r="BI103">
        <v>1</v>
      </c>
      <c r="BJ103" t="s">
        <v>3</v>
      </c>
      <c r="BM103">
        <v>1100</v>
      </c>
      <c r="BN103">
        <v>0</v>
      </c>
      <c r="BO103" t="s">
        <v>3</v>
      </c>
      <c r="BP103">
        <v>0</v>
      </c>
      <c r="BQ103">
        <v>8</v>
      </c>
      <c r="BR103">
        <v>0</v>
      </c>
      <c r="BS103">
        <v>1</v>
      </c>
      <c r="BT103">
        <v>1</v>
      </c>
      <c r="BU103">
        <v>1</v>
      </c>
      <c r="BV103">
        <v>1</v>
      </c>
      <c r="BW103">
        <v>1</v>
      </c>
      <c r="BX103">
        <v>1</v>
      </c>
      <c r="BY103" t="s">
        <v>3</v>
      </c>
      <c r="BZ103">
        <v>0</v>
      </c>
      <c r="CA103">
        <v>0</v>
      </c>
      <c r="CB103" t="s">
        <v>3</v>
      </c>
      <c r="CE103">
        <v>0</v>
      </c>
      <c r="CF103">
        <v>0</v>
      </c>
      <c r="CG103">
        <v>0</v>
      </c>
      <c r="CM103">
        <v>0</v>
      </c>
      <c r="CN103" t="s">
        <v>3</v>
      </c>
      <c r="CO103">
        <v>0</v>
      </c>
      <c r="CP103">
        <f t="shared" si="134"/>
        <v>14896.84</v>
      </c>
      <c r="CQ103">
        <f t="shared" si="135"/>
        <v>83.037000000000006</v>
      </c>
      <c r="CR103">
        <f>(((ET103)*BB103-(EU103)*BS103)+AE103*BS103)</f>
        <v>0</v>
      </c>
      <c r="CS103">
        <f t="shared" si="136"/>
        <v>0</v>
      </c>
      <c r="CT103">
        <f t="shared" si="137"/>
        <v>0</v>
      </c>
      <c r="CU103">
        <f t="shared" si="138"/>
        <v>0</v>
      </c>
      <c r="CV103">
        <f t="shared" si="139"/>
        <v>0</v>
      </c>
      <c r="CW103">
        <f t="shared" si="140"/>
        <v>0</v>
      </c>
      <c r="CX103">
        <f t="shared" si="141"/>
        <v>0</v>
      </c>
      <c r="CY103">
        <f t="shared" si="142"/>
        <v>0</v>
      </c>
      <c r="CZ103">
        <f t="shared" si="143"/>
        <v>0</v>
      </c>
      <c r="DC103" t="s">
        <v>3</v>
      </c>
      <c r="DD103" t="s">
        <v>3</v>
      </c>
      <c r="DE103" t="s">
        <v>3</v>
      </c>
      <c r="DF103" t="s">
        <v>3</v>
      </c>
      <c r="DG103" t="s">
        <v>3</v>
      </c>
      <c r="DH103" t="s">
        <v>3</v>
      </c>
      <c r="DI103" t="s">
        <v>3</v>
      </c>
      <c r="DJ103" t="s">
        <v>3</v>
      </c>
      <c r="DK103" t="s">
        <v>3</v>
      </c>
      <c r="DL103" t="s">
        <v>3</v>
      </c>
      <c r="DM103" t="s">
        <v>3</v>
      </c>
      <c r="DN103">
        <v>0</v>
      </c>
      <c r="DO103">
        <v>0</v>
      </c>
      <c r="DP103">
        <v>1</v>
      </c>
      <c r="DQ103">
        <v>1</v>
      </c>
      <c r="DU103">
        <v>1009</v>
      </c>
      <c r="DV103" t="s">
        <v>154</v>
      </c>
      <c r="DW103" t="s">
        <v>154</v>
      </c>
      <c r="DX103">
        <v>1</v>
      </c>
      <c r="DZ103" t="s">
        <v>3</v>
      </c>
      <c r="EA103" t="s">
        <v>3</v>
      </c>
      <c r="EB103" t="s">
        <v>3</v>
      </c>
      <c r="EC103" t="s">
        <v>3</v>
      </c>
      <c r="EE103">
        <v>140625274</v>
      </c>
      <c r="EF103">
        <v>8</v>
      </c>
      <c r="EG103" t="s">
        <v>32</v>
      </c>
      <c r="EH103">
        <v>0</v>
      </c>
      <c r="EI103" t="s">
        <v>3</v>
      </c>
      <c r="EJ103">
        <v>1</v>
      </c>
      <c r="EK103">
        <v>1100</v>
      </c>
      <c r="EL103" t="s">
        <v>33</v>
      </c>
      <c r="EM103" t="s">
        <v>34</v>
      </c>
      <c r="EO103" t="s">
        <v>3</v>
      </c>
      <c r="EQ103">
        <v>0</v>
      </c>
      <c r="ER103">
        <v>9.4899999999999984</v>
      </c>
      <c r="ES103">
        <v>9.33</v>
      </c>
      <c r="ET103">
        <v>0</v>
      </c>
      <c r="EU103">
        <v>0</v>
      </c>
      <c r="EV103">
        <v>0</v>
      </c>
      <c r="EW103">
        <v>0</v>
      </c>
      <c r="EX103">
        <v>0</v>
      </c>
      <c r="EY103">
        <v>0</v>
      </c>
      <c r="EZ103">
        <v>5</v>
      </c>
      <c r="FC103">
        <v>1</v>
      </c>
      <c r="FD103">
        <v>18</v>
      </c>
      <c r="FF103">
        <v>93</v>
      </c>
      <c r="FQ103">
        <v>0</v>
      </c>
      <c r="FR103">
        <f t="shared" si="144"/>
        <v>0</v>
      </c>
      <c r="FS103">
        <v>0</v>
      </c>
      <c r="FX103">
        <v>0</v>
      </c>
      <c r="FY103">
        <v>0</v>
      </c>
      <c r="GA103" t="s">
        <v>314</v>
      </c>
      <c r="GD103">
        <v>1</v>
      </c>
      <c r="GF103">
        <v>-1693642425</v>
      </c>
      <c r="GG103">
        <v>2</v>
      </c>
      <c r="GH103">
        <v>3</v>
      </c>
      <c r="GI103">
        <v>4</v>
      </c>
      <c r="GJ103">
        <v>0</v>
      </c>
      <c r="GK103">
        <v>0</v>
      </c>
      <c r="GL103">
        <f t="shared" si="145"/>
        <v>0</v>
      </c>
      <c r="GM103">
        <f t="shared" si="146"/>
        <v>14896.84</v>
      </c>
      <c r="GN103">
        <f t="shared" si="147"/>
        <v>14896.84</v>
      </c>
      <c r="GO103">
        <f t="shared" si="148"/>
        <v>0</v>
      </c>
      <c r="GP103">
        <f t="shared" si="149"/>
        <v>0</v>
      </c>
      <c r="GR103">
        <v>1</v>
      </c>
      <c r="GS103">
        <v>1</v>
      </c>
      <c r="GT103">
        <v>0</v>
      </c>
      <c r="GU103" t="s">
        <v>3</v>
      </c>
      <c r="GV103">
        <f t="shared" si="150"/>
        <v>0</v>
      </c>
      <c r="GW103">
        <v>1</v>
      </c>
      <c r="GX103">
        <f t="shared" si="151"/>
        <v>0</v>
      </c>
      <c r="HA103">
        <v>0</v>
      </c>
      <c r="HB103">
        <v>0</v>
      </c>
      <c r="HC103">
        <f t="shared" si="152"/>
        <v>0</v>
      </c>
      <c r="HE103" t="s">
        <v>36</v>
      </c>
      <c r="HF103" t="s">
        <v>28</v>
      </c>
      <c r="HM103" t="s">
        <v>3</v>
      </c>
      <c r="HN103" t="s">
        <v>3</v>
      </c>
      <c r="HO103" t="s">
        <v>3</v>
      </c>
      <c r="HP103" t="s">
        <v>3</v>
      </c>
      <c r="HQ103" t="s">
        <v>3</v>
      </c>
      <c r="IK103">
        <v>0</v>
      </c>
    </row>
    <row r="104" spans="1:245" x14ac:dyDescent="0.2">
      <c r="A104">
        <v>17</v>
      </c>
      <c r="B104">
        <v>1</v>
      </c>
      <c r="E104" t="s">
        <v>315</v>
      </c>
      <c r="F104" t="s">
        <v>29</v>
      </c>
      <c r="G104" t="s">
        <v>153</v>
      </c>
      <c r="H104" t="s">
        <v>154</v>
      </c>
      <c r="I104">
        <f>ROUND(I101*20,9)</f>
        <v>119.6</v>
      </c>
      <c r="J104">
        <v>0</v>
      </c>
      <c r="K104">
        <f>ROUND(I101*20,9)</f>
        <v>119.6</v>
      </c>
      <c r="O104">
        <f t="shared" si="120"/>
        <v>9622.5400000000009</v>
      </c>
      <c r="P104">
        <f t="shared" si="121"/>
        <v>9622.5400000000009</v>
      </c>
      <c r="Q104">
        <f t="shared" si="122"/>
        <v>0</v>
      </c>
      <c r="R104">
        <f t="shared" si="123"/>
        <v>0</v>
      </c>
      <c r="S104">
        <f t="shared" si="124"/>
        <v>0</v>
      </c>
      <c r="T104">
        <f t="shared" si="125"/>
        <v>0</v>
      </c>
      <c r="U104">
        <f t="shared" si="126"/>
        <v>0</v>
      </c>
      <c r="V104">
        <f t="shared" si="127"/>
        <v>0</v>
      </c>
      <c r="W104">
        <f t="shared" si="128"/>
        <v>0</v>
      </c>
      <c r="X104">
        <f t="shared" si="129"/>
        <v>0</v>
      </c>
      <c r="Y104">
        <f t="shared" si="130"/>
        <v>0</v>
      </c>
      <c r="AA104">
        <v>145026783</v>
      </c>
      <c r="AB104">
        <f t="shared" si="131"/>
        <v>9.0399999999999991</v>
      </c>
      <c r="AC104">
        <f t="shared" si="111"/>
        <v>9.0399999999999991</v>
      </c>
      <c r="AD104">
        <f>ROUND((((ET104)-(EU104))+AE104),2)</f>
        <v>0</v>
      </c>
      <c r="AE104">
        <f t="shared" si="155"/>
        <v>0</v>
      </c>
      <c r="AF104">
        <f t="shared" si="155"/>
        <v>0</v>
      </c>
      <c r="AG104">
        <f t="shared" si="132"/>
        <v>0</v>
      </c>
      <c r="AH104">
        <f t="shared" si="156"/>
        <v>0</v>
      </c>
      <c r="AI104">
        <f t="shared" si="156"/>
        <v>0</v>
      </c>
      <c r="AJ104">
        <f t="shared" si="133"/>
        <v>0</v>
      </c>
      <c r="AK104">
        <v>9.0399999999999991</v>
      </c>
      <c r="AL104">
        <v>9.0399999999999991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1</v>
      </c>
      <c r="AW104">
        <v>1</v>
      </c>
      <c r="AZ104">
        <v>1</v>
      </c>
      <c r="BA104">
        <v>1</v>
      </c>
      <c r="BB104">
        <v>1</v>
      </c>
      <c r="BC104">
        <v>8.9</v>
      </c>
      <c r="BD104" t="s">
        <v>3</v>
      </c>
      <c r="BE104" t="s">
        <v>3</v>
      </c>
      <c r="BF104" t="s">
        <v>3</v>
      </c>
      <c r="BG104" t="s">
        <v>3</v>
      </c>
      <c r="BH104">
        <v>3</v>
      </c>
      <c r="BI104">
        <v>1</v>
      </c>
      <c r="BJ104" t="s">
        <v>3</v>
      </c>
      <c r="BM104">
        <v>1100</v>
      </c>
      <c r="BN104">
        <v>0</v>
      </c>
      <c r="BO104" t="s">
        <v>3</v>
      </c>
      <c r="BP104">
        <v>0</v>
      </c>
      <c r="BQ104">
        <v>8</v>
      </c>
      <c r="BR104">
        <v>0</v>
      </c>
      <c r="BS104">
        <v>1</v>
      </c>
      <c r="BT104">
        <v>1</v>
      </c>
      <c r="BU104">
        <v>1</v>
      </c>
      <c r="BV104">
        <v>1</v>
      </c>
      <c r="BW104">
        <v>1</v>
      </c>
      <c r="BX104">
        <v>1</v>
      </c>
      <c r="BY104" t="s">
        <v>3</v>
      </c>
      <c r="BZ104">
        <v>0</v>
      </c>
      <c r="CA104">
        <v>0</v>
      </c>
      <c r="CB104" t="s">
        <v>3</v>
      </c>
      <c r="CE104">
        <v>0</v>
      </c>
      <c r="CF104">
        <v>0</v>
      </c>
      <c r="CG104">
        <v>0</v>
      </c>
      <c r="CM104">
        <v>0</v>
      </c>
      <c r="CN104" t="s">
        <v>3</v>
      </c>
      <c r="CO104">
        <v>0</v>
      </c>
      <c r="CP104">
        <f t="shared" si="134"/>
        <v>9622.5400000000009</v>
      </c>
      <c r="CQ104">
        <f t="shared" si="135"/>
        <v>80.455999999999989</v>
      </c>
      <c r="CR104">
        <f>(((ET104)*BB104-(EU104)*BS104)+AE104*BS104)</f>
        <v>0</v>
      </c>
      <c r="CS104">
        <f t="shared" si="136"/>
        <v>0</v>
      </c>
      <c r="CT104">
        <f t="shared" si="137"/>
        <v>0</v>
      </c>
      <c r="CU104">
        <f t="shared" si="138"/>
        <v>0</v>
      </c>
      <c r="CV104">
        <f t="shared" si="139"/>
        <v>0</v>
      </c>
      <c r="CW104">
        <f t="shared" si="140"/>
        <v>0</v>
      </c>
      <c r="CX104">
        <f t="shared" si="141"/>
        <v>0</v>
      </c>
      <c r="CY104">
        <f t="shared" si="142"/>
        <v>0</v>
      </c>
      <c r="CZ104">
        <f t="shared" si="143"/>
        <v>0</v>
      </c>
      <c r="DC104" t="s">
        <v>3</v>
      </c>
      <c r="DD104" t="s">
        <v>3</v>
      </c>
      <c r="DE104" t="s">
        <v>3</v>
      </c>
      <c r="DF104" t="s">
        <v>3</v>
      </c>
      <c r="DG104" t="s">
        <v>3</v>
      </c>
      <c r="DH104" t="s">
        <v>3</v>
      </c>
      <c r="DI104" t="s">
        <v>3</v>
      </c>
      <c r="DJ104" t="s">
        <v>3</v>
      </c>
      <c r="DK104" t="s">
        <v>3</v>
      </c>
      <c r="DL104" t="s">
        <v>3</v>
      </c>
      <c r="DM104" t="s">
        <v>3</v>
      </c>
      <c r="DN104">
        <v>0</v>
      </c>
      <c r="DO104">
        <v>0</v>
      </c>
      <c r="DP104">
        <v>1</v>
      </c>
      <c r="DQ104">
        <v>1</v>
      </c>
      <c r="DU104">
        <v>1009</v>
      </c>
      <c r="DV104" t="s">
        <v>154</v>
      </c>
      <c r="DW104" t="s">
        <v>154</v>
      </c>
      <c r="DX104">
        <v>1</v>
      </c>
      <c r="DZ104" t="s">
        <v>3</v>
      </c>
      <c r="EA104" t="s">
        <v>3</v>
      </c>
      <c r="EB104" t="s">
        <v>3</v>
      </c>
      <c r="EC104" t="s">
        <v>3</v>
      </c>
      <c r="EE104">
        <v>140625274</v>
      </c>
      <c r="EF104">
        <v>8</v>
      </c>
      <c r="EG104" t="s">
        <v>32</v>
      </c>
      <c r="EH104">
        <v>0</v>
      </c>
      <c r="EI104" t="s">
        <v>3</v>
      </c>
      <c r="EJ104">
        <v>1</v>
      </c>
      <c r="EK104">
        <v>1100</v>
      </c>
      <c r="EL104" t="s">
        <v>33</v>
      </c>
      <c r="EM104" t="s">
        <v>34</v>
      </c>
      <c r="EO104" t="s">
        <v>3</v>
      </c>
      <c r="EQ104">
        <v>0</v>
      </c>
      <c r="ER104">
        <v>9.0399999999999991</v>
      </c>
      <c r="ES104">
        <v>9.0399999999999991</v>
      </c>
      <c r="ET104">
        <v>0</v>
      </c>
      <c r="EU104">
        <v>0</v>
      </c>
      <c r="EV104">
        <v>0</v>
      </c>
      <c r="EW104">
        <v>0</v>
      </c>
      <c r="EX104">
        <v>0</v>
      </c>
      <c r="EY104">
        <v>0</v>
      </c>
      <c r="EZ104">
        <v>5</v>
      </c>
      <c r="FC104">
        <v>1</v>
      </c>
      <c r="FD104">
        <v>18</v>
      </c>
      <c r="FF104">
        <v>90.1</v>
      </c>
      <c r="FQ104">
        <v>0</v>
      </c>
      <c r="FR104">
        <f t="shared" si="144"/>
        <v>0</v>
      </c>
      <c r="FS104">
        <v>0</v>
      </c>
      <c r="FX104">
        <v>0</v>
      </c>
      <c r="FY104">
        <v>0</v>
      </c>
      <c r="GA104" t="s">
        <v>219</v>
      </c>
      <c r="GD104">
        <v>1</v>
      </c>
      <c r="GF104">
        <v>-752850908</v>
      </c>
      <c r="GG104">
        <v>2</v>
      </c>
      <c r="GH104">
        <v>3</v>
      </c>
      <c r="GI104">
        <v>4</v>
      </c>
      <c r="GJ104">
        <v>0</v>
      </c>
      <c r="GK104">
        <v>0</v>
      </c>
      <c r="GL104">
        <f t="shared" si="145"/>
        <v>0</v>
      </c>
      <c r="GM104">
        <f t="shared" si="146"/>
        <v>9622.5400000000009</v>
      </c>
      <c r="GN104">
        <f t="shared" si="147"/>
        <v>9622.5400000000009</v>
      </c>
      <c r="GO104">
        <f t="shared" si="148"/>
        <v>0</v>
      </c>
      <c r="GP104">
        <f t="shared" si="149"/>
        <v>0</v>
      </c>
      <c r="GR104">
        <v>1</v>
      </c>
      <c r="GS104">
        <v>1</v>
      </c>
      <c r="GT104">
        <v>0</v>
      </c>
      <c r="GU104" t="s">
        <v>3</v>
      </c>
      <c r="GV104">
        <f t="shared" si="150"/>
        <v>0</v>
      </c>
      <c r="GW104">
        <v>1</v>
      </c>
      <c r="GX104">
        <f t="shared" si="151"/>
        <v>0</v>
      </c>
      <c r="HA104">
        <v>0</v>
      </c>
      <c r="HB104">
        <v>0</v>
      </c>
      <c r="HC104">
        <f t="shared" si="152"/>
        <v>0</v>
      </c>
      <c r="HE104" t="s">
        <v>36</v>
      </c>
      <c r="HF104" t="s">
        <v>28</v>
      </c>
      <c r="HM104" t="s">
        <v>3</v>
      </c>
      <c r="HN104" t="s">
        <v>3</v>
      </c>
      <c r="HO104" t="s">
        <v>3</v>
      </c>
      <c r="HP104" t="s">
        <v>3</v>
      </c>
      <c r="HQ104" t="s">
        <v>3</v>
      </c>
      <c r="IK104">
        <v>0</v>
      </c>
    </row>
    <row r="105" spans="1:245" x14ac:dyDescent="0.2">
      <c r="A105">
        <v>17</v>
      </c>
      <c r="B105">
        <v>1</v>
      </c>
      <c r="E105" t="s">
        <v>316</v>
      </c>
      <c r="F105" t="s">
        <v>29</v>
      </c>
      <c r="G105" t="s">
        <v>317</v>
      </c>
      <c r="H105" t="s">
        <v>154</v>
      </c>
      <c r="I105">
        <f>ROUND(I101*51,9)</f>
        <v>304.98</v>
      </c>
      <c r="J105">
        <v>0</v>
      </c>
      <c r="K105">
        <f>ROUND(I101*51,9)</f>
        <v>304.98</v>
      </c>
      <c r="O105">
        <f t="shared" si="120"/>
        <v>6460.09</v>
      </c>
      <c r="P105">
        <f t="shared" si="121"/>
        <v>6460.09</v>
      </c>
      <c r="Q105">
        <f t="shared" si="122"/>
        <v>0</v>
      </c>
      <c r="R105">
        <f t="shared" si="123"/>
        <v>0</v>
      </c>
      <c r="S105">
        <f t="shared" si="124"/>
        <v>0</v>
      </c>
      <c r="T105">
        <f t="shared" si="125"/>
        <v>0</v>
      </c>
      <c r="U105">
        <f t="shared" si="126"/>
        <v>0</v>
      </c>
      <c r="V105">
        <f t="shared" si="127"/>
        <v>0</v>
      </c>
      <c r="W105">
        <f t="shared" si="128"/>
        <v>0</v>
      </c>
      <c r="X105">
        <f t="shared" si="129"/>
        <v>0</v>
      </c>
      <c r="Y105">
        <f t="shared" si="130"/>
        <v>0</v>
      </c>
      <c r="AA105">
        <v>145026783</v>
      </c>
      <c r="AB105">
        <f t="shared" si="131"/>
        <v>2.38</v>
      </c>
      <c r="AC105">
        <f t="shared" si="111"/>
        <v>2.38</v>
      </c>
      <c r="AD105">
        <f>ROUND((((ET105)-(EU105))+AE105),2)</f>
        <v>0</v>
      </c>
      <c r="AE105">
        <f t="shared" si="155"/>
        <v>0</v>
      </c>
      <c r="AF105">
        <f t="shared" si="155"/>
        <v>0</v>
      </c>
      <c r="AG105">
        <f t="shared" si="132"/>
        <v>0</v>
      </c>
      <c r="AH105">
        <f t="shared" si="156"/>
        <v>0</v>
      </c>
      <c r="AI105">
        <f t="shared" si="156"/>
        <v>0</v>
      </c>
      <c r="AJ105">
        <f t="shared" si="133"/>
        <v>0</v>
      </c>
      <c r="AK105">
        <v>2.38</v>
      </c>
      <c r="AL105">
        <v>2.38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1</v>
      </c>
      <c r="AW105">
        <v>1</v>
      </c>
      <c r="AZ105">
        <v>1</v>
      </c>
      <c r="BA105">
        <v>1</v>
      </c>
      <c r="BB105">
        <v>1</v>
      </c>
      <c r="BC105">
        <v>8.9</v>
      </c>
      <c r="BD105" t="s">
        <v>3</v>
      </c>
      <c r="BE105" t="s">
        <v>3</v>
      </c>
      <c r="BF105" t="s">
        <v>3</v>
      </c>
      <c r="BG105" t="s">
        <v>3</v>
      </c>
      <c r="BH105">
        <v>3</v>
      </c>
      <c r="BI105">
        <v>1</v>
      </c>
      <c r="BJ105" t="s">
        <v>3</v>
      </c>
      <c r="BM105">
        <v>1100</v>
      </c>
      <c r="BN105">
        <v>0</v>
      </c>
      <c r="BO105" t="s">
        <v>3</v>
      </c>
      <c r="BP105">
        <v>0</v>
      </c>
      <c r="BQ105">
        <v>8</v>
      </c>
      <c r="BR105">
        <v>0</v>
      </c>
      <c r="BS105">
        <v>1</v>
      </c>
      <c r="BT105">
        <v>1</v>
      </c>
      <c r="BU105">
        <v>1</v>
      </c>
      <c r="BV105">
        <v>1</v>
      </c>
      <c r="BW105">
        <v>1</v>
      </c>
      <c r="BX105">
        <v>1</v>
      </c>
      <c r="BY105" t="s">
        <v>3</v>
      </c>
      <c r="BZ105">
        <v>0</v>
      </c>
      <c r="CA105">
        <v>0</v>
      </c>
      <c r="CB105" t="s">
        <v>3</v>
      </c>
      <c r="CE105">
        <v>0</v>
      </c>
      <c r="CF105">
        <v>0</v>
      </c>
      <c r="CG105">
        <v>0</v>
      </c>
      <c r="CM105">
        <v>0</v>
      </c>
      <c r="CN105" t="s">
        <v>3</v>
      </c>
      <c r="CO105">
        <v>0</v>
      </c>
      <c r="CP105">
        <f t="shared" si="134"/>
        <v>6460.09</v>
      </c>
      <c r="CQ105">
        <f t="shared" si="135"/>
        <v>21.181999999999999</v>
      </c>
      <c r="CR105">
        <f>(((ET105)*BB105-(EU105)*BS105)+AE105*BS105)</f>
        <v>0</v>
      </c>
      <c r="CS105">
        <f t="shared" si="136"/>
        <v>0</v>
      </c>
      <c r="CT105">
        <f t="shared" si="137"/>
        <v>0</v>
      </c>
      <c r="CU105">
        <f t="shared" si="138"/>
        <v>0</v>
      </c>
      <c r="CV105">
        <f t="shared" si="139"/>
        <v>0</v>
      </c>
      <c r="CW105">
        <f t="shared" si="140"/>
        <v>0</v>
      </c>
      <c r="CX105">
        <f t="shared" si="141"/>
        <v>0</v>
      </c>
      <c r="CY105">
        <f t="shared" si="142"/>
        <v>0</v>
      </c>
      <c r="CZ105">
        <f t="shared" si="143"/>
        <v>0</v>
      </c>
      <c r="DC105" t="s">
        <v>3</v>
      </c>
      <c r="DD105" t="s">
        <v>3</v>
      </c>
      <c r="DE105" t="s">
        <v>3</v>
      </c>
      <c r="DF105" t="s">
        <v>3</v>
      </c>
      <c r="DG105" t="s">
        <v>3</v>
      </c>
      <c r="DH105" t="s">
        <v>3</v>
      </c>
      <c r="DI105" t="s">
        <v>3</v>
      </c>
      <c r="DJ105" t="s">
        <v>3</v>
      </c>
      <c r="DK105" t="s">
        <v>3</v>
      </c>
      <c r="DL105" t="s">
        <v>3</v>
      </c>
      <c r="DM105" t="s">
        <v>3</v>
      </c>
      <c r="DN105">
        <v>0</v>
      </c>
      <c r="DO105">
        <v>0</v>
      </c>
      <c r="DP105">
        <v>1</v>
      </c>
      <c r="DQ105">
        <v>1</v>
      </c>
      <c r="DU105">
        <v>1009</v>
      </c>
      <c r="DV105" t="s">
        <v>154</v>
      </c>
      <c r="DW105" t="s">
        <v>154</v>
      </c>
      <c r="DX105">
        <v>1</v>
      </c>
      <c r="DZ105" t="s">
        <v>3</v>
      </c>
      <c r="EA105" t="s">
        <v>3</v>
      </c>
      <c r="EB105" t="s">
        <v>3</v>
      </c>
      <c r="EC105" t="s">
        <v>3</v>
      </c>
      <c r="EE105">
        <v>140625274</v>
      </c>
      <c r="EF105">
        <v>8</v>
      </c>
      <c r="EG105" t="s">
        <v>32</v>
      </c>
      <c r="EH105">
        <v>0</v>
      </c>
      <c r="EI105" t="s">
        <v>3</v>
      </c>
      <c r="EJ105">
        <v>1</v>
      </c>
      <c r="EK105">
        <v>1100</v>
      </c>
      <c r="EL105" t="s">
        <v>33</v>
      </c>
      <c r="EM105" t="s">
        <v>34</v>
      </c>
      <c r="EO105" t="s">
        <v>3</v>
      </c>
      <c r="EQ105">
        <v>0</v>
      </c>
      <c r="ER105">
        <v>2.38</v>
      </c>
      <c r="ES105">
        <v>2.38</v>
      </c>
      <c r="ET105">
        <v>0</v>
      </c>
      <c r="EU105">
        <v>0</v>
      </c>
      <c r="EV105">
        <v>0</v>
      </c>
      <c r="EW105">
        <v>0</v>
      </c>
      <c r="EX105">
        <v>0</v>
      </c>
      <c r="EY105">
        <v>0</v>
      </c>
      <c r="EZ105">
        <v>5</v>
      </c>
      <c r="FC105">
        <v>1</v>
      </c>
      <c r="FD105">
        <v>18</v>
      </c>
      <c r="FF105">
        <v>23.68</v>
      </c>
      <c r="FQ105">
        <v>0</v>
      </c>
      <c r="FR105">
        <f t="shared" si="144"/>
        <v>0</v>
      </c>
      <c r="FS105">
        <v>0</v>
      </c>
      <c r="FX105">
        <v>0</v>
      </c>
      <c r="FY105">
        <v>0</v>
      </c>
      <c r="GA105" t="s">
        <v>318</v>
      </c>
      <c r="GD105">
        <v>1</v>
      </c>
      <c r="GF105">
        <v>141573016</v>
      </c>
      <c r="GG105">
        <v>2</v>
      </c>
      <c r="GH105">
        <v>3</v>
      </c>
      <c r="GI105">
        <v>4</v>
      </c>
      <c r="GJ105">
        <v>0</v>
      </c>
      <c r="GK105">
        <v>0</v>
      </c>
      <c r="GL105">
        <f t="shared" si="145"/>
        <v>0</v>
      </c>
      <c r="GM105">
        <f t="shared" si="146"/>
        <v>6460.09</v>
      </c>
      <c r="GN105">
        <f t="shared" si="147"/>
        <v>6460.09</v>
      </c>
      <c r="GO105">
        <f t="shared" si="148"/>
        <v>0</v>
      </c>
      <c r="GP105">
        <f t="shared" si="149"/>
        <v>0</v>
      </c>
      <c r="GR105">
        <v>1</v>
      </c>
      <c r="GS105">
        <v>1</v>
      </c>
      <c r="GT105">
        <v>0</v>
      </c>
      <c r="GU105" t="s">
        <v>3</v>
      </c>
      <c r="GV105">
        <f t="shared" si="150"/>
        <v>0</v>
      </c>
      <c r="GW105">
        <v>1</v>
      </c>
      <c r="GX105">
        <f t="shared" si="151"/>
        <v>0</v>
      </c>
      <c r="HA105">
        <v>0</v>
      </c>
      <c r="HB105">
        <v>0</v>
      </c>
      <c r="HC105">
        <f t="shared" si="152"/>
        <v>0</v>
      </c>
      <c r="HE105" t="s">
        <v>36</v>
      </c>
      <c r="HF105" t="s">
        <v>28</v>
      </c>
      <c r="HM105" t="s">
        <v>3</v>
      </c>
      <c r="HN105" t="s">
        <v>3</v>
      </c>
      <c r="HO105" t="s">
        <v>3</v>
      </c>
      <c r="HP105" t="s">
        <v>3</v>
      </c>
      <c r="HQ105" t="s">
        <v>3</v>
      </c>
      <c r="IK105">
        <v>0</v>
      </c>
    </row>
    <row r="107" spans="1:245" x14ac:dyDescent="0.2">
      <c r="A107" s="2">
        <v>51</v>
      </c>
      <c r="B107" s="2">
        <f>B24</f>
        <v>1</v>
      </c>
      <c r="C107" s="2">
        <f>A24</f>
        <v>4</v>
      </c>
      <c r="D107" s="2">
        <f>ROW(A24)</f>
        <v>24</v>
      </c>
      <c r="E107" s="2"/>
      <c r="F107" s="2" t="str">
        <f>IF(F24&lt;&gt;"",F24,"")</f>
        <v>Новый раздел</v>
      </c>
      <c r="G107" s="2" t="str">
        <f>IF(G24&lt;&gt;"",G24,"")</f>
        <v>Ремонт помещений высотой 2,9 м</v>
      </c>
      <c r="H107" s="2">
        <v>0</v>
      </c>
      <c r="I107" s="2"/>
      <c r="J107" s="2"/>
      <c r="K107" s="2"/>
      <c r="L107" s="2"/>
      <c r="M107" s="2"/>
      <c r="N107" s="2"/>
      <c r="O107" s="2">
        <f t="shared" ref="O107:T107" si="157">ROUND(AB107,2)</f>
        <v>1665720.81</v>
      </c>
      <c r="P107" s="2">
        <f t="shared" si="157"/>
        <v>910732.34</v>
      </c>
      <c r="Q107" s="2">
        <f t="shared" si="157"/>
        <v>13561.93</v>
      </c>
      <c r="R107" s="2">
        <f t="shared" si="157"/>
        <v>9815.1</v>
      </c>
      <c r="S107" s="2">
        <f t="shared" si="157"/>
        <v>741426.54</v>
      </c>
      <c r="T107" s="2">
        <f t="shared" si="157"/>
        <v>0</v>
      </c>
      <c r="U107" s="2">
        <f>AH107</f>
        <v>2630.6589516999998</v>
      </c>
      <c r="V107" s="2">
        <f>AI107</f>
        <v>25.643911000000003</v>
      </c>
      <c r="W107" s="2">
        <f>ROUND(AJ107,2)</f>
        <v>0</v>
      </c>
      <c r="X107" s="2">
        <f>ROUND(AK107,2)</f>
        <v>735026.01</v>
      </c>
      <c r="Y107" s="2">
        <f>ROUND(AL107,2)</f>
        <v>351845.8</v>
      </c>
      <c r="Z107" s="2"/>
      <c r="AA107" s="2"/>
      <c r="AB107" s="2">
        <f>ROUND(SUMIF(AA28:AA105,"=145026783",O28:O105),2)</f>
        <v>1665720.81</v>
      </c>
      <c r="AC107" s="2">
        <f>ROUND(SUMIF(AA28:AA105,"=145026783",P28:P105),2)</f>
        <v>910732.34</v>
      </c>
      <c r="AD107" s="2">
        <f>ROUND(SUMIF(AA28:AA105,"=145026783",Q28:Q105),2)</f>
        <v>13561.93</v>
      </c>
      <c r="AE107" s="2">
        <f>ROUND(SUMIF(AA28:AA105,"=145026783",R28:R105),2)</f>
        <v>9815.1</v>
      </c>
      <c r="AF107" s="2">
        <f>ROUND(SUMIF(AA28:AA105,"=145026783",S28:S105),2)</f>
        <v>741426.54</v>
      </c>
      <c r="AG107" s="2">
        <f>ROUND(SUMIF(AA28:AA105,"=145026783",T28:T105),2)</f>
        <v>0</v>
      </c>
      <c r="AH107" s="2">
        <f>SUMIF(AA28:AA105,"=145026783",U28:U105)</f>
        <v>2630.6589516999998</v>
      </c>
      <c r="AI107" s="2">
        <f>SUMIF(AA28:AA105,"=145026783",V28:V105)</f>
        <v>25.643911000000003</v>
      </c>
      <c r="AJ107" s="2">
        <f>ROUND(SUMIF(AA28:AA105,"=145026783",W28:W105),2)</f>
        <v>0</v>
      </c>
      <c r="AK107" s="2">
        <f>ROUND(SUMIF(AA28:AA105,"=145026783",X28:X105),2)</f>
        <v>735026.01</v>
      </c>
      <c r="AL107" s="2">
        <f>ROUND(SUMIF(AA28:AA105,"=145026783",Y28:Y105),2)</f>
        <v>351845.8</v>
      </c>
      <c r="AM107" s="2"/>
      <c r="AN107" s="2"/>
      <c r="AO107" s="2">
        <f t="shared" ref="AO107:BD107" si="158">ROUND(BX107,2)</f>
        <v>0</v>
      </c>
      <c r="AP107" s="2">
        <f t="shared" si="158"/>
        <v>0</v>
      </c>
      <c r="AQ107" s="2">
        <f t="shared" si="158"/>
        <v>0</v>
      </c>
      <c r="AR107" s="2">
        <f t="shared" si="158"/>
        <v>2752592.62</v>
      </c>
      <c r="AS107" s="2">
        <f t="shared" si="158"/>
        <v>2752592.62</v>
      </c>
      <c r="AT107" s="2">
        <f t="shared" si="158"/>
        <v>0</v>
      </c>
      <c r="AU107" s="2">
        <f t="shared" si="158"/>
        <v>0</v>
      </c>
      <c r="AV107" s="2">
        <f t="shared" si="158"/>
        <v>910732.34</v>
      </c>
      <c r="AW107" s="2">
        <f t="shared" si="158"/>
        <v>910732.34</v>
      </c>
      <c r="AX107" s="2">
        <f t="shared" si="158"/>
        <v>0</v>
      </c>
      <c r="AY107" s="2">
        <f t="shared" si="158"/>
        <v>910732.34</v>
      </c>
      <c r="AZ107" s="2">
        <f t="shared" si="158"/>
        <v>0</v>
      </c>
      <c r="BA107" s="2">
        <f t="shared" si="158"/>
        <v>0</v>
      </c>
      <c r="BB107" s="2">
        <f t="shared" si="158"/>
        <v>0</v>
      </c>
      <c r="BC107" s="2">
        <f t="shared" si="158"/>
        <v>0</v>
      </c>
      <c r="BD107" s="2">
        <f t="shared" si="158"/>
        <v>0</v>
      </c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>
        <f>ROUND(SUMIF(AA28:AA105,"=145026783",FQ28:FQ105),2)</f>
        <v>0</v>
      </c>
      <c r="BY107" s="2">
        <f>ROUND(SUMIF(AA28:AA105,"=145026783",FR28:FR105),2)</f>
        <v>0</v>
      </c>
      <c r="BZ107" s="2">
        <f>ROUND(SUMIF(AA28:AA105,"=145026783",GL28:GL105),2)</f>
        <v>0</v>
      </c>
      <c r="CA107" s="2">
        <f>ROUND(SUMIF(AA28:AA105,"=145026783",GM28:GM105),2)</f>
        <v>2752592.62</v>
      </c>
      <c r="CB107" s="2">
        <f>ROUND(SUMIF(AA28:AA105,"=145026783",GN28:GN105),2)</f>
        <v>2752592.62</v>
      </c>
      <c r="CC107" s="2">
        <f>ROUND(SUMIF(AA28:AA105,"=145026783",GO28:GO105),2)</f>
        <v>0</v>
      </c>
      <c r="CD107" s="2">
        <f>ROUND(SUMIF(AA28:AA105,"=145026783",GP28:GP105),2)</f>
        <v>0</v>
      </c>
      <c r="CE107" s="2">
        <f>AC107-BX107</f>
        <v>910732.34</v>
      </c>
      <c r="CF107" s="2">
        <f>AC107-BY107</f>
        <v>910732.34</v>
      </c>
      <c r="CG107" s="2">
        <f>BX107-BZ107</f>
        <v>0</v>
      </c>
      <c r="CH107" s="2">
        <f>AC107-BX107-BY107+BZ107</f>
        <v>910732.34</v>
      </c>
      <c r="CI107" s="2">
        <f>BY107-BZ107</f>
        <v>0</v>
      </c>
      <c r="CJ107" s="2">
        <f>ROUND(SUMIF(AA28:AA105,"=145026783",GX28:GX105),2)</f>
        <v>0</v>
      </c>
      <c r="CK107" s="2">
        <f>ROUND(SUMIF(AA28:AA105,"=145026783",GY28:GY105),2)</f>
        <v>0</v>
      </c>
      <c r="CL107" s="2">
        <f>ROUND(SUMIF(AA28:AA105,"=145026783",GZ28:GZ105),2)</f>
        <v>0</v>
      </c>
      <c r="CM107" s="2">
        <f>ROUND(SUMIF(AA28:AA105,"=145026783",HD28:HD105),2)</f>
        <v>0</v>
      </c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>
        <v>0</v>
      </c>
    </row>
    <row r="109" spans="1:245" x14ac:dyDescent="0.2">
      <c r="A109" s="4">
        <v>50</v>
      </c>
      <c r="B109" s="4">
        <v>0</v>
      </c>
      <c r="C109" s="4">
        <v>0</v>
      </c>
      <c r="D109" s="4">
        <v>1</v>
      </c>
      <c r="E109" s="4">
        <v>201</v>
      </c>
      <c r="F109" s="4">
        <f>ROUND(Source!O107,O109)</f>
        <v>1665720.81</v>
      </c>
      <c r="G109" s="4" t="s">
        <v>319</v>
      </c>
      <c r="H109" s="4" t="s">
        <v>320</v>
      </c>
      <c r="I109" s="4"/>
      <c r="J109" s="4"/>
      <c r="K109" s="4">
        <v>201</v>
      </c>
      <c r="L109" s="4">
        <v>1</v>
      </c>
      <c r="M109" s="4">
        <v>3</v>
      </c>
      <c r="N109" s="4" t="s">
        <v>3</v>
      </c>
      <c r="O109" s="4">
        <v>2</v>
      </c>
      <c r="P109" s="4"/>
      <c r="Q109" s="4"/>
      <c r="R109" s="4"/>
      <c r="S109" s="4"/>
      <c r="T109" s="4"/>
      <c r="U109" s="4"/>
      <c r="V109" s="4"/>
      <c r="W109" s="4">
        <v>1665720.81</v>
      </c>
      <c r="X109" s="4">
        <v>1</v>
      </c>
      <c r="Y109" s="4">
        <v>1665720.81</v>
      </c>
      <c r="Z109" s="4"/>
      <c r="AA109" s="4"/>
      <c r="AB109" s="4"/>
    </row>
    <row r="110" spans="1:245" x14ac:dyDescent="0.2">
      <c r="A110" s="4">
        <v>50</v>
      </c>
      <c r="B110" s="4">
        <v>0</v>
      </c>
      <c r="C110" s="4">
        <v>0</v>
      </c>
      <c r="D110" s="4">
        <v>1</v>
      </c>
      <c r="E110" s="4">
        <v>202</v>
      </c>
      <c r="F110" s="4">
        <f>ROUND(Source!P107,O110)</f>
        <v>910732.34</v>
      </c>
      <c r="G110" s="4" t="s">
        <v>321</v>
      </c>
      <c r="H110" s="4" t="s">
        <v>322</v>
      </c>
      <c r="I110" s="4"/>
      <c r="J110" s="4"/>
      <c r="K110" s="4">
        <v>202</v>
      </c>
      <c r="L110" s="4">
        <v>2</v>
      </c>
      <c r="M110" s="4">
        <v>3</v>
      </c>
      <c r="N110" s="4" t="s">
        <v>3</v>
      </c>
      <c r="O110" s="4">
        <v>2</v>
      </c>
      <c r="P110" s="4"/>
      <c r="Q110" s="4"/>
      <c r="R110" s="4"/>
      <c r="S110" s="4"/>
      <c r="T110" s="4"/>
      <c r="U110" s="4"/>
      <c r="V110" s="4"/>
      <c r="W110" s="4">
        <v>910732.34</v>
      </c>
      <c r="X110" s="4">
        <v>1</v>
      </c>
      <c r="Y110" s="4">
        <v>910732.34</v>
      </c>
      <c r="Z110" s="4"/>
      <c r="AA110" s="4"/>
      <c r="AB110" s="4"/>
    </row>
    <row r="111" spans="1:245" x14ac:dyDescent="0.2">
      <c r="A111" s="4">
        <v>50</v>
      </c>
      <c r="B111" s="4">
        <v>0</v>
      </c>
      <c r="C111" s="4">
        <v>0</v>
      </c>
      <c r="D111" s="4">
        <v>1</v>
      </c>
      <c r="E111" s="4">
        <v>222</v>
      </c>
      <c r="F111" s="4">
        <f>ROUND(Source!AO107,O111)</f>
        <v>0</v>
      </c>
      <c r="G111" s="4" t="s">
        <v>323</v>
      </c>
      <c r="H111" s="4" t="s">
        <v>324</v>
      </c>
      <c r="I111" s="4"/>
      <c r="J111" s="4"/>
      <c r="K111" s="4">
        <v>222</v>
      </c>
      <c r="L111" s="4">
        <v>3</v>
      </c>
      <c r="M111" s="4">
        <v>3</v>
      </c>
      <c r="N111" s="4" t="s">
        <v>3</v>
      </c>
      <c r="O111" s="4">
        <v>2</v>
      </c>
      <c r="P111" s="4"/>
      <c r="Q111" s="4"/>
      <c r="R111" s="4"/>
      <c r="S111" s="4"/>
      <c r="T111" s="4"/>
      <c r="U111" s="4"/>
      <c r="V111" s="4"/>
      <c r="W111" s="4">
        <v>0</v>
      </c>
      <c r="X111" s="4">
        <v>1</v>
      </c>
      <c r="Y111" s="4">
        <v>0</v>
      </c>
      <c r="Z111" s="4"/>
      <c r="AA111" s="4"/>
      <c r="AB111" s="4"/>
    </row>
    <row r="112" spans="1:245" x14ac:dyDescent="0.2">
      <c r="A112" s="4">
        <v>50</v>
      </c>
      <c r="B112" s="4">
        <v>0</v>
      </c>
      <c r="C112" s="4">
        <v>0</v>
      </c>
      <c r="D112" s="4">
        <v>1</v>
      </c>
      <c r="E112" s="4">
        <v>225</v>
      </c>
      <c r="F112" s="4">
        <f>ROUND(Source!AV107,O112)</f>
        <v>910732.34</v>
      </c>
      <c r="G112" s="4" t="s">
        <v>325</v>
      </c>
      <c r="H112" s="4" t="s">
        <v>326</v>
      </c>
      <c r="I112" s="4"/>
      <c r="J112" s="4"/>
      <c r="K112" s="4">
        <v>225</v>
      </c>
      <c r="L112" s="4">
        <v>4</v>
      </c>
      <c r="M112" s="4">
        <v>3</v>
      </c>
      <c r="N112" s="4" t="s">
        <v>3</v>
      </c>
      <c r="O112" s="4">
        <v>2</v>
      </c>
      <c r="P112" s="4"/>
      <c r="Q112" s="4"/>
      <c r="R112" s="4"/>
      <c r="S112" s="4"/>
      <c r="T112" s="4"/>
      <c r="U112" s="4"/>
      <c r="V112" s="4"/>
      <c r="W112" s="4">
        <v>910732.34</v>
      </c>
      <c r="X112" s="4">
        <v>1</v>
      </c>
      <c r="Y112" s="4">
        <v>910732.34</v>
      </c>
      <c r="Z112" s="4"/>
      <c r="AA112" s="4"/>
      <c r="AB112" s="4"/>
    </row>
    <row r="113" spans="1:28" x14ac:dyDescent="0.2">
      <c r="A113" s="4">
        <v>50</v>
      </c>
      <c r="B113" s="4">
        <v>0</v>
      </c>
      <c r="C113" s="4">
        <v>0</v>
      </c>
      <c r="D113" s="4">
        <v>1</v>
      </c>
      <c r="E113" s="4">
        <v>226</v>
      </c>
      <c r="F113" s="4">
        <f>ROUND(Source!AW107,O113)</f>
        <v>910732.34</v>
      </c>
      <c r="G113" s="4" t="s">
        <v>327</v>
      </c>
      <c r="H113" s="4" t="s">
        <v>328</v>
      </c>
      <c r="I113" s="4"/>
      <c r="J113" s="4"/>
      <c r="K113" s="4">
        <v>226</v>
      </c>
      <c r="L113" s="4">
        <v>5</v>
      </c>
      <c r="M113" s="4">
        <v>3</v>
      </c>
      <c r="N113" s="4" t="s">
        <v>3</v>
      </c>
      <c r="O113" s="4">
        <v>2</v>
      </c>
      <c r="P113" s="4"/>
      <c r="Q113" s="4"/>
      <c r="R113" s="4"/>
      <c r="S113" s="4"/>
      <c r="T113" s="4"/>
      <c r="U113" s="4"/>
      <c r="V113" s="4"/>
      <c r="W113" s="4">
        <v>910732.34</v>
      </c>
      <c r="X113" s="4">
        <v>1</v>
      </c>
      <c r="Y113" s="4">
        <v>910732.34</v>
      </c>
      <c r="Z113" s="4"/>
      <c r="AA113" s="4"/>
      <c r="AB113" s="4"/>
    </row>
    <row r="114" spans="1:28" x14ac:dyDescent="0.2">
      <c r="A114" s="4">
        <v>50</v>
      </c>
      <c r="B114" s="4">
        <v>0</v>
      </c>
      <c r="C114" s="4">
        <v>0</v>
      </c>
      <c r="D114" s="4">
        <v>1</v>
      </c>
      <c r="E114" s="4">
        <v>227</v>
      </c>
      <c r="F114" s="4">
        <f>ROUND(Source!AX107,O114)</f>
        <v>0</v>
      </c>
      <c r="G114" s="4" t="s">
        <v>329</v>
      </c>
      <c r="H114" s="4" t="s">
        <v>330</v>
      </c>
      <c r="I114" s="4"/>
      <c r="J114" s="4"/>
      <c r="K114" s="4">
        <v>227</v>
      </c>
      <c r="L114" s="4">
        <v>6</v>
      </c>
      <c r="M114" s="4">
        <v>3</v>
      </c>
      <c r="N114" s="4" t="s">
        <v>3</v>
      </c>
      <c r="O114" s="4">
        <v>2</v>
      </c>
      <c r="P114" s="4"/>
      <c r="Q114" s="4"/>
      <c r="R114" s="4"/>
      <c r="S114" s="4"/>
      <c r="T114" s="4"/>
      <c r="U114" s="4"/>
      <c r="V114" s="4"/>
      <c r="W114" s="4">
        <v>0</v>
      </c>
      <c r="X114" s="4">
        <v>1</v>
      </c>
      <c r="Y114" s="4">
        <v>0</v>
      </c>
      <c r="Z114" s="4"/>
      <c r="AA114" s="4"/>
      <c r="AB114" s="4"/>
    </row>
    <row r="115" spans="1:28" x14ac:dyDescent="0.2">
      <c r="A115" s="4">
        <v>50</v>
      </c>
      <c r="B115" s="4">
        <v>0</v>
      </c>
      <c r="C115" s="4">
        <v>0</v>
      </c>
      <c r="D115" s="4">
        <v>1</v>
      </c>
      <c r="E115" s="4">
        <v>228</v>
      </c>
      <c r="F115" s="4">
        <f>ROUND(Source!AY107,O115)</f>
        <v>910732.34</v>
      </c>
      <c r="G115" s="4" t="s">
        <v>331</v>
      </c>
      <c r="H115" s="4" t="s">
        <v>332</v>
      </c>
      <c r="I115" s="4"/>
      <c r="J115" s="4"/>
      <c r="K115" s="4">
        <v>228</v>
      </c>
      <c r="L115" s="4">
        <v>7</v>
      </c>
      <c r="M115" s="4">
        <v>3</v>
      </c>
      <c r="N115" s="4" t="s">
        <v>3</v>
      </c>
      <c r="O115" s="4">
        <v>2</v>
      </c>
      <c r="P115" s="4"/>
      <c r="Q115" s="4"/>
      <c r="R115" s="4"/>
      <c r="S115" s="4"/>
      <c r="T115" s="4"/>
      <c r="U115" s="4"/>
      <c r="V115" s="4"/>
      <c r="W115" s="4">
        <v>910732.34</v>
      </c>
      <c r="X115" s="4">
        <v>1</v>
      </c>
      <c r="Y115" s="4">
        <v>910732.34</v>
      </c>
      <c r="Z115" s="4"/>
      <c r="AA115" s="4"/>
      <c r="AB115" s="4"/>
    </row>
    <row r="116" spans="1:28" x14ac:dyDescent="0.2">
      <c r="A116" s="4">
        <v>50</v>
      </c>
      <c r="B116" s="4">
        <v>0</v>
      </c>
      <c r="C116" s="4">
        <v>0</v>
      </c>
      <c r="D116" s="4">
        <v>1</v>
      </c>
      <c r="E116" s="4">
        <v>216</v>
      </c>
      <c r="F116" s="4">
        <f>ROUND(Source!AP107,O116)</f>
        <v>0</v>
      </c>
      <c r="G116" s="4" t="s">
        <v>333</v>
      </c>
      <c r="H116" s="4" t="s">
        <v>334</v>
      </c>
      <c r="I116" s="4"/>
      <c r="J116" s="4"/>
      <c r="K116" s="4">
        <v>216</v>
      </c>
      <c r="L116" s="4">
        <v>8</v>
      </c>
      <c r="M116" s="4">
        <v>3</v>
      </c>
      <c r="N116" s="4" t="s">
        <v>3</v>
      </c>
      <c r="O116" s="4">
        <v>2</v>
      </c>
      <c r="P116" s="4"/>
      <c r="Q116" s="4"/>
      <c r="R116" s="4"/>
      <c r="S116" s="4"/>
      <c r="T116" s="4"/>
      <c r="U116" s="4"/>
      <c r="V116" s="4"/>
      <c r="W116" s="4">
        <v>0</v>
      </c>
      <c r="X116" s="4">
        <v>1</v>
      </c>
      <c r="Y116" s="4">
        <v>0</v>
      </c>
      <c r="Z116" s="4"/>
      <c r="AA116" s="4"/>
      <c r="AB116" s="4"/>
    </row>
    <row r="117" spans="1:28" x14ac:dyDescent="0.2">
      <c r="A117" s="4">
        <v>50</v>
      </c>
      <c r="B117" s="4">
        <v>0</v>
      </c>
      <c r="C117" s="4">
        <v>0</v>
      </c>
      <c r="D117" s="4">
        <v>1</v>
      </c>
      <c r="E117" s="4">
        <v>223</v>
      </c>
      <c r="F117" s="4">
        <f>ROUND(Source!AQ107,O117)</f>
        <v>0</v>
      </c>
      <c r="G117" s="4" t="s">
        <v>335</v>
      </c>
      <c r="H117" s="4" t="s">
        <v>336</v>
      </c>
      <c r="I117" s="4"/>
      <c r="J117" s="4"/>
      <c r="K117" s="4">
        <v>223</v>
      </c>
      <c r="L117" s="4">
        <v>9</v>
      </c>
      <c r="M117" s="4">
        <v>3</v>
      </c>
      <c r="N117" s="4" t="s">
        <v>3</v>
      </c>
      <c r="O117" s="4">
        <v>2</v>
      </c>
      <c r="P117" s="4"/>
      <c r="Q117" s="4"/>
      <c r="R117" s="4"/>
      <c r="S117" s="4"/>
      <c r="T117" s="4"/>
      <c r="U117" s="4"/>
      <c r="V117" s="4"/>
      <c r="W117" s="4">
        <v>0</v>
      </c>
      <c r="X117" s="4">
        <v>1</v>
      </c>
      <c r="Y117" s="4">
        <v>0</v>
      </c>
      <c r="Z117" s="4"/>
      <c r="AA117" s="4"/>
      <c r="AB117" s="4"/>
    </row>
    <row r="118" spans="1:28" x14ac:dyDescent="0.2">
      <c r="A118" s="4">
        <v>50</v>
      </c>
      <c r="B118" s="4">
        <v>0</v>
      </c>
      <c r="C118" s="4">
        <v>0</v>
      </c>
      <c r="D118" s="4">
        <v>1</v>
      </c>
      <c r="E118" s="4">
        <v>229</v>
      </c>
      <c r="F118" s="4">
        <f>ROUND(Source!AZ107,O118)</f>
        <v>0</v>
      </c>
      <c r="G118" s="4" t="s">
        <v>337</v>
      </c>
      <c r="H118" s="4" t="s">
        <v>338</v>
      </c>
      <c r="I118" s="4"/>
      <c r="J118" s="4"/>
      <c r="K118" s="4">
        <v>229</v>
      </c>
      <c r="L118" s="4">
        <v>10</v>
      </c>
      <c r="M118" s="4">
        <v>3</v>
      </c>
      <c r="N118" s="4" t="s">
        <v>3</v>
      </c>
      <c r="O118" s="4">
        <v>2</v>
      </c>
      <c r="P118" s="4"/>
      <c r="Q118" s="4"/>
      <c r="R118" s="4"/>
      <c r="S118" s="4"/>
      <c r="T118" s="4"/>
      <c r="U118" s="4"/>
      <c r="V118" s="4"/>
      <c r="W118" s="4">
        <v>0</v>
      </c>
      <c r="X118" s="4">
        <v>1</v>
      </c>
      <c r="Y118" s="4">
        <v>0</v>
      </c>
      <c r="Z118" s="4"/>
      <c r="AA118" s="4"/>
      <c r="AB118" s="4"/>
    </row>
    <row r="119" spans="1:28" x14ac:dyDescent="0.2">
      <c r="A119" s="4">
        <v>50</v>
      </c>
      <c r="B119" s="4">
        <v>0</v>
      </c>
      <c r="C119" s="4">
        <v>0</v>
      </c>
      <c r="D119" s="4">
        <v>1</v>
      </c>
      <c r="E119" s="4">
        <v>203</v>
      </c>
      <c r="F119" s="4">
        <f>ROUND(Source!Q107,O119)</f>
        <v>13561.93</v>
      </c>
      <c r="G119" s="4" t="s">
        <v>339</v>
      </c>
      <c r="H119" s="4" t="s">
        <v>340</v>
      </c>
      <c r="I119" s="4"/>
      <c r="J119" s="4"/>
      <c r="K119" s="4">
        <v>203</v>
      </c>
      <c r="L119" s="4">
        <v>11</v>
      </c>
      <c r="M119" s="4">
        <v>3</v>
      </c>
      <c r="N119" s="4" t="s">
        <v>3</v>
      </c>
      <c r="O119" s="4">
        <v>2</v>
      </c>
      <c r="P119" s="4"/>
      <c r="Q119" s="4"/>
      <c r="R119" s="4"/>
      <c r="S119" s="4"/>
      <c r="T119" s="4"/>
      <c r="U119" s="4"/>
      <c r="V119" s="4"/>
      <c r="W119" s="4">
        <v>13561.93</v>
      </c>
      <c r="X119" s="4">
        <v>1</v>
      </c>
      <c r="Y119" s="4">
        <v>13561.93</v>
      </c>
      <c r="Z119" s="4"/>
      <c r="AA119" s="4"/>
      <c r="AB119" s="4"/>
    </row>
    <row r="120" spans="1:28" x14ac:dyDescent="0.2">
      <c r="A120" s="4">
        <v>50</v>
      </c>
      <c r="B120" s="4">
        <v>0</v>
      </c>
      <c r="C120" s="4">
        <v>0</v>
      </c>
      <c r="D120" s="4">
        <v>1</v>
      </c>
      <c r="E120" s="4">
        <v>231</v>
      </c>
      <c r="F120" s="4">
        <f>ROUND(Source!BB107,O120)</f>
        <v>0</v>
      </c>
      <c r="G120" s="4" t="s">
        <v>341</v>
      </c>
      <c r="H120" s="4" t="s">
        <v>342</v>
      </c>
      <c r="I120" s="4"/>
      <c r="J120" s="4"/>
      <c r="K120" s="4">
        <v>231</v>
      </c>
      <c r="L120" s="4">
        <v>12</v>
      </c>
      <c r="M120" s="4">
        <v>3</v>
      </c>
      <c r="N120" s="4" t="s">
        <v>3</v>
      </c>
      <c r="O120" s="4">
        <v>2</v>
      </c>
      <c r="P120" s="4"/>
      <c r="Q120" s="4"/>
      <c r="R120" s="4"/>
      <c r="S120" s="4"/>
      <c r="T120" s="4"/>
      <c r="U120" s="4"/>
      <c r="V120" s="4"/>
      <c r="W120" s="4">
        <v>0</v>
      </c>
      <c r="X120" s="4">
        <v>1</v>
      </c>
      <c r="Y120" s="4">
        <v>0</v>
      </c>
      <c r="Z120" s="4"/>
      <c r="AA120" s="4"/>
      <c r="AB120" s="4"/>
    </row>
    <row r="121" spans="1:28" x14ac:dyDescent="0.2">
      <c r="A121" s="4">
        <v>50</v>
      </c>
      <c r="B121" s="4">
        <v>0</v>
      </c>
      <c r="C121" s="4">
        <v>0</v>
      </c>
      <c r="D121" s="4">
        <v>1</v>
      </c>
      <c r="E121" s="4">
        <v>204</v>
      </c>
      <c r="F121" s="4">
        <f>ROUND(Source!R107,O121)</f>
        <v>9815.1</v>
      </c>
      <c r="G121" s="4" t="s">
        <v>343</v>
      </c>
      <c r="H121" s="4" t="s">
        <v>344</v>
      </c>
      <c r="I121" s="4"/>
      <c r="J121" s="4"/>
      <c r="K121" s="4">
        <v>204</v>
      </c>
      <c r="L121" s="4">
        <v>13</v>
      </c>
      <c r="M121" s="4">
        <v>3</v>
      </c>
      <c r="N121" s="4" t="s">
        <v>3</v>
      </c>
      <c r="O121" s="4">
        <v>2</v>
      </c>
      <c r="P121" s="4"/>
      <c r="Q121" s="4"/>
      <c r="R121" s="4"/>
      <c r="S121" s="4"/>
      <c r="T121" s="4"/>
      <c r="U121" s="4"/>
      <c r="V121" s="4"/>
      <c r="W121" s="4">
        <v>9815.1</v>
      </c>
      <c r="X121" s="4">
        <v>1</v>
      </c>
      <c r="Y121" s="4">
        <v>9815.1</v>
      </c>
      <c r="Z121" s="4"/>
      <c r="AA121" s="4"/>
      <c r="AB121" s="4"/>
    </row>
    <row r="122" spans="1:28" x14ac:dyDescent="0.2">
      <c r="A122" s="4">
        <v>50</v>
      </c>
      <c r="B122" s="4">
        <v>0</v>
      </c>
      <c r="C122" s="4">
        <v>0</v>
      </c>
      <c r="D122" s="4">
        <v>1</v>
      </c>
      <c r="E122" s="4">
        <v>205</v>
      </c>
      <c r="F122" s="4">
        <f>ROUND(Source!S107,O122)</f>
        <v>741426.54</v>
      </c>
      <c r="G122" s="4" t="s">
        <v>345</v>
      </c>
      <c r="H122" s="4" t="s">
        <v>346</v>
      </c>
      <c r="I122" s="4"/>
      <c r="J122" s="4"/>
      <c r="K122" s="4">
        <v>205</v>
      </c>
      <c r="L122" s="4">
        <v>14</v>
      </c>
      <c r="M122" s="4">
        <v>3</v>
      </c>
      <c r="N122" s="4" t="s">
        <v>3</v>
      </c>
      <c r="O122" s="4">
        <v>2</v>
      </c>
      <c r="P122" s="4"/>
      <c r="Q122" s="4"/>
      <c r="R122" s="4"/>
      <c r="S122" s="4"/>
      <c r="T122" s="4"/>
      <c r="U122" s="4"/>
      <c r="V122" s="4"/>
      <c r="W122" s="4">
        <v>741426.54</v>
      </c>
      <c r="X122" s="4">
        <v>1</v>
      </c>
      <c r="Y122" s="4">
        <v>741426.54</v>
      </c>
      <c r="Z122" s="4"/>
      <c r="AA122" s="4"/>
      <c r="AB122" s="4"/>
    </row>
    <row r="123" spans="1:28" x14ac:dyDescent="0.2">
      <c r="A123" s="4">
        <v>50</v>
      </c>
      <c r="B123" s="4">
        <v>0</v>
      </c>
      <c r="C123" s="4">
        <v>0</v>
      </c>
      <c r="D123" s="4">
        <v>1</v>
      </c>
      <c r="E123" s="4">
        <v>232</v>
      </c>
      <c r="F123" s="4">
        <f>ROUND(Source!BC107,O123)</f>
        <v>0</v>
      </c>
      <c r="G123" s="4" t="s">
        <v>347</v>
      </c>
      <c r="H123" s="4" t="s">
        <v>348</v>
      </c>
      <c r="I123" s="4"/>
      <c r="J123" s="4"/>
      <c r="K123" s="4">
        <v>232</v>
      </c>
      <c r="L123" s="4">
        <v>15</v>
      </c>
      <c r="M123" s="4">
        <v>3</v>
      </c>
      <c r="N123" s="4" t="s">
        <v>3</v>
      </c>
      <c r="O123" s="4">
        <v>2</v>
      </c>
      <c r="P123" s="4"/>
      <c r="Q123" s="4"/>
      <c r="R123" s="4"/>
      <c r="S123" s="4"/>
      <c r="T123" s="4"/>
      <c r="U123" s="4"/>
      <c r="V123" s="4"/>
      <c r="W123" s="4">
        <v>0</v>
      </c>
      <c r="X123" s="4">
        <v>1</v>
      </c>
      <c r="Y123" s="4">
        <v>0</v>
      </c>
      <c r="Z123" s="4"/>
      <c r="AA123" s="4"/>
      <c r="AB123" s="4"/>
    </row>
    <row r="124" spans="1:28" x14ac:dyDescent="0.2">
      <c r="A124" s="4">
        <v>50</v>
      </c>
      <c r="B124" s="4">
        <v>0</v>
      </c>
      <c r="C124" s="4">
        <v>0</v>
      </c>
      <c r="D124" s="4">
        <v>1</v>
      </c>
      <c r="E124" s="4">
        <v>214</v>
      </c>
      <c r="F124" s="4">
        <f>ROUND(Source!AS107,O124)</f>
        <v>2752592.62</v>
      </c>
      <c r="G124" s="4" t="s">
        <v>349</v>
      </c>
      <c r="H124" s="4" t="s">
        <v>350</v>
      </c>
      <c r="I124" s="4"/>
      <c r="J124" s="4"/>
      <c r="K124" s="4">
        <v>214</v>
      </c>
      <c r="L124" s="4">
        <v>16</v>
      </c>
      <c r="M124" s="4">
        <v>3</v>
      </c>
      <c r="N124" s="4" t="s">
        <v>3</v>
      </c>
      <c r="O124" s="4">
        <v>2</v>
      </c>
      <c r="P124" s="4"/>
      <c r="Q124" s="4"/>
      <c r="R124" s="4"/>
      <c r="S124" s="4"/>
      <c r="T124" s="4"/>
      <c r="U124" s="4"/>
      <c r="V124" s="4"/>
      <c r="W124" s="4">
        <v>2752592.62</v>
      </c>
      <c r="X124" s="4">
        <v>1</v>
      </c>
      <c r="Y124" s="4">
        <v>2752592.62</v>
      </c>
      <c r="Z124" s="4"/>
      <c r="AA124" s="4"/>
      <c r="AB124" s="4"/>
    </row>
    <row r="125" spans="1:28" x14ac:dyDescent="0.2">
      <c r="A125" s="4">
        <v>50</v>
      </c>
      <c r="B125" s="4">
        <v>0</v>
      </c>
      <c r="C125" s="4">
        <v>0</v>
      </c>
      <c r="D125" s="4">
        <v>1</v>
      </c>
      <c r="E125" s="4">
        <v>215</v>
      </c>
      <c r="F125" s="4">
        <f>ROUND(Source!AT107,O125)</f>
        <v>0</v>
      </c>
      <c r="G125" s="4" t="s">
        <v>351</v>
      </c>
      <c r="H125" s="4" t="s">
        <v>352</v>
      </c>
      <c r="I125" s="4"/>
      <c r="J125" s="4"/>
      <c r="K125" s="4">
        <v>215</v>
      </c>
      <c r="L125" s="4">
        <v>17</v>
      </c>
      <c r="M125" s="4">
        <v>3</v>
      </c>
      <c r="N125" s="4" t="s">
        <v>3</v>
      </c>
      <c r="O125" s="4">
        <v>2</v>
      </c>
      <c r="P125" s="4"/>
      <c r="Q125" s="4"/>
      <c r="R125" s="4"/>
      <c r="S125" s="4"/>
      <c r="T125" s="4"/>
      <c r="U125" s="4"/>
      <c r="V125" s="4"/>
      <c r="W125" s="4">
        <v>0</v>
      </c>
      <c r="X125" s="4">
        <v>1</v>
      </c>
      <c r="Y125" s="4">
        <v>0</v>
      </c>
      <c r="Z125" s="4"/>
      <c r="AA125" s="4"/>
      <c r="AB125" s="4"/>
    </row>
    <row r="126" spans="1:28" x14ac:dyDescent="0.2">
      <c r="A126" s="4">
        <v>50</v>
      </c>
      <c r="B126" s="4">
        <v>0</v>
      </c>
      <c r="C126" s="4">
        <v>0</v>
      </c>
      <c r="D126" s="4">
        <v>1</v>
      </c>
      <c r="E126" s="4">
        <v>217</v>
      </c>
      <c r="F126" s="4">
        <f>ROUND(Source!AU107,O126)</f>
        <v>0</v>
      </c>
      <c r="G126" s="4" t="s">
        <v>353</v>
      </c>
      <c r="H126" s="4" t="s">
        <v>354</v>
      </c>
      <c r="I126" s="4"/>
      <c r="J126" s="4"/>
      <c r="K126" s="4">
        <v>217</v>
      </c>
      <c r="L126" s="4">
        <v>18</v>
      </c>
      <c r="M126" s="4">
        <v>3</v>
      </c>
      <c r="N126" s="4" t="s">
        <v>3</v>
      </c>
      <c r="O126" s="4">
        <v>2</v>
      </c>
      <c r="P126" s="4"/>
      <c r="Q126" s="4"/>
      <c r="R126" s="4"/>
      <c r="S126" s="4"/>
      <c r="T126" s="4"/>
      <c r="U126" s="4"/>
      <c r="V126" s="4"/>
      <c r="W126" s="4">
        <v>0</v>
      </c>
      <c r="X126" s="4">
        <v>1</v>
      </c>
      <c r="Y126" s="4">
        <v>0</v>
      </c>
      <c r="Z126" s="4"/>
      <c r="AA126" s="4"/>
      <c r="AB126" s="4"/>
    </row>
    <row r="127" spans="1:28" x14ac:dyDescent="0.2">
      <c r="A127" s="4">
        <v>50</v>
      </c>
      <c r="B127" s="4">
        <v>0</v>
      </c>
      <c r="C127" s="4">
        <v>0</v>
      </c>
      <c r="D127" s="4">
        <v>1</v>
      </c>
      <c r="E127" s="4">
        <v>230</v>
      </c>
      <c r="F127" s="4">
        <f>ROUND(Source!BA107,O127)</f>
        <v>0</v>
      </c>
      <c r="G127" s="4" t="s">
        <v>355</v>
      </c>
      <c r="H127" s="4" t="s">
        <v>356</v>
      </c>
      <c r="I127" s="4"/>
      <c r="J127" s="4"/>
      <c r="K127" s="4">
        <v>230</v>
      </c>
      <c r="L127" s="4">
        <v>19</v>
      </c>
      <c r="M127" s="4">
        <v>3</v>
      </c>
      <c r="N127" s="4" t="s">
        <v>3</v>
      </c>
      <c r="O127" s="4">
        <v>2</v>
      </c>
      <c r="P127" s="4"/>
      <c r="Q127" s="4"/>
      <c r="R127" s="4"/>
      <c r="S127" s="4"/>
      <c r="T127" s="4"/>
      <c r="U127" s="4"/>
      <c r="V127" s="4"/>
      <c r="W127" s="4">
        <v>0</v>
      </c>
      <c r="X127" s="4">
        <v>1</v>
      </c>
      <c r="Y127" s="4">
        <v>0</v>
      </c>
      <c r="Z127" s="4"/>
      <c r="AA127" s="4"/>
      <c r="AB127" s="4"/>
    </row>
    <row r="128" spans="1:28" x14ac:dyDescent="0.2">
      <c r="A128" s="4">
        <v>50</v>
      </c>
      <c r="B128" s="4">
        <v>0</v>
      </c>
      <c r="C128" s="4">
        <v>0</v>
      </c>
      <c r="D128" s="4">
        <v>1</v>
      </c>
      <c r="E128" s="4">
        <v>206</v>
      </c>
      <c r="F128" s="4">
        <f>ROUND(Source!T107,O128)</f>
        <v>0</v>
      </c>
      <c r="G128" s="4" t="s">
        <v>357</v>
      </c>
      <c r="H128" s="4" t="s">
        <v>358</v>
      </c>
      <c r="I128" s="4"/>
      <c r="J128" s="4"/>
      <c r="K128" s="4">
        <v>206</v>
      </c>
      <c r="L128" s="4">
        <v>20</v>
      </c>
      <c r="M128" s="4">
        <v>3</v>
      </c>
      <c r="N128" s="4" t="s">
        <v>3</v>
      </c>
      <c r="O128" s="4">
        <v>2</v>
      </c>
      <c r="P128" s="4"/>
      <c r="Q128" s="4"/>
      <c r="R128" s="4"/>
      <c r="S128" s="4"/>
      <c r="T128" s="4"/>
      <c r="U128" s="4"/>
      <c r="V128" s="4"/>
      <c r="W128" s="4">
        <v>0</v>
      </c>
      <c r="X128" s="4">
        <v>1</v>
      </c>
      <c r="Y128" s="4">
        <v>0</v>
      </c>
      <c r="Z128" s="4"/>
      <c r="AA128" s="4"/>
      <c r="AB128" s="4"/>
    </row>
    <row r="129" spans="1:245" x14ac:dyDescent="0.2">
      <c r="A129" s="4">
        <v>50</v>
      </c>
      <c r="B129" s="4">
        <v>0</v>
      </c>
      <c r="C129" s="4">
        <v>0</v>
      </c>
      <c r="D129" s="4">
        <v>1</v>
      </c>
      <c r="E129" s="4">
        <v>207</v>
      </c>
      <c r="F129" s="4">
        <f>Source!U107</f>
        <v>2630.6589516999998</v>
      </c>
      <c r="G129" s="4" t="s">
        <v>359</v>
      </c>
      <c r="H129" s="4" t="s">
        <v>360</v>
      </c>
      <c r="I129" s="4"/>
      <c r="J129" s="4"/>
      <c r="K129" s="4">
        <v>207</v>
      </c>
      <c r="L129" s="4">
        <v>21</v>
      </c>
      <c r="M129" s="4">
        <v>3</v>
      </c>
      <c r="N129" s="4" t="s">
        <v>3</v>
      </c>
      <c r="O129" s="4">
        <v>-1</v>
      </c>
      <c r="P129" s="4"/>
      <c r="Q129" s="4"/>
      <c r="R129" s="4"/>
      <c r="S129" s="4"/>
      <c r="T129" s="4"/>
      <c r="U129" s="4"/>
      <c r="V129" s="4"/>
      <c r="W129" s="4">
        <v>2630.6589516999998</v>
      </c>
      <c r="X129" s="4">
        <v>1</v>
      </c>
      <c r="Y129" s="4">
        <v>2630.6589516999998</v>
      </c>
      <c r="Z129" s="4"/>
      <c r="AA129" s="4"/>
      <c r="AB129" s="4"/>
    </row>
    <row r="130" spans="1:245" x14ac:dyDescent="0.2">
      <c r="A130" s="4">
        <v>50</v>
      </c>
      <c r="B130" s="4">
        <v>0</v>
      </c>
      <c r="C130" s="4">
        <v>0</v>
      </c>
      <c r="D130" s="4">
        <v>1</v>
      </c>
      <c r="E130" s="4">
        <v>208</v>
      </c>
      <c r="F130" s="4">
        <f>Source!V107</f>
        <v>25.643911000000003</v>
      </c>
      <c r="G130" s="4" t="s">
        <v>361</v>
      </c>
      <c r="H130" s="4" t="s">
        <v>362</v>
      </c>
      <c r="I130" s="4"/>
      <c r="J130" s="4"/>
      <c r="K130" s="4">
        <v>208</v>
      </c>
      <c r="L130" s="4">
        <v>22</v>
      </c>
      <c r="M130" s="4">
        <v>3</v>
      </c>
      <c r="N130" s="4" t="s">
        <v>3</v>
      </c>
      <c r="O130" s="4">
        <v>-1</v>
      </c>
      <c r="P130" s="4"/>
      <c r="Q130" s="4"/>
      <c r="R130" s="4"/>
      <c r="S130" s="4"/>
      <c r="T130" s="4"/>
      <c r="U130" s="4"/>
      <c r="V130" s="4"/>
      <c r="W130" s="4">
        <v>25.643910999999999</v>
      </c>
      <c r="X130" s="4">
        <v>1</v>
      </c>
      <c r="Y130" s="4">
        <v>25.643910999999999</v>
      </c>
      <c r="Z130" s="4"/>
      <c r="AA130" s="4"/>
      <c r="AB130" s="4"/>
    </row>
    <row r="131" spans="1:245" x14ac:dyDescent="0.2">
      <c r="A131" s="4">
        <v>50</v>
      </c>
      <c r="B131" s="4">
        <v>0</v>
      </c>
      <c r="C131" s="4">
        <v>0</v>
      </c>
      <c r="D131" s="4">
        <v>1</v>
      </c>
      <c r="E131" s="4">
        <v>209</v>
      </c>
      <c r="F131" s="4">
        <f>ROUND(Source!W107,O131)</f>
        <v>0</v>
      </c>
      <c r="G131" s="4" t="s">
        <v>363</v>
      </c>
      <c r="H131" s="4" t="s">
        <v>364</v>
      </c>
      <c r="I131" s="4"/>
      <c r="J131" s="4"/>
      <c r="K131" s="4">
        <v>209</v>
      </c>
      <c r="L131" s="4">
        <v>23</v>
      </c>
      <c r="M131" s="4">
        <v>3</v>
      </c>
      <c r="N131" s="4" t="s">
        <v>3</v>
      </c>
      <c r="O131" s="4">
        <v>2</v>
      </c>
      <c r="P131" s="4"/>
      <c r="Q131" s="4"/>
      <c r="R131" s="4"/>
      <c r="S131" s="4"/>
      <c r="T131" s="4"/>
      <c r="U131" s="4"/>
      <c r="V131" s="4"/>
      <c r="W131" s="4">
        <v>0</v>
      </c>
      <c r="X131" s="4">
        <v>1</v>
      </c>
      <c r="Y131" s="4">
        <v>0</v>
      </c>
      <c r="Z131" s="4"/>
      <c r="AA131" s="4"/>
      <c r="AB131" s="4"/>
    </row>
    <row r="132" spans="1:245" x14ac:dyDescent="0.2">
      <c r="A132" s="4">
        <v>50</v>
      </c>
      <c r="B132" s="4">
        <v>0</v>
      </c>
      <c r="C132" s="4">
        <v>0</v>
      </c>
      <c r="D132" s="4">
        <v>1</v>
      </c>
      <c r="E132" s="4">
        <v>233</v>
      </c>
      <c r="F132" s="4">
        <f>ROUND(Source!BD107,O132)</f>
        <v>0</v>
      </c>
      <c r="G132" s="4" t="s">
        <v>365</v>
      </c>
      <c r="H132" s="4" t="s">
        <v>366</v>
      </c>
      <c r="I132" s="4"/>
      <c r="J132" s="4"/>
      <c r="K132" s="4">
        <v>233</v>
      </c>
      <c r="L132" s="4">
        <v>24</v>
      </c>
      <c r="M132" s="4">
        <v>3</v>
      </c>
      <c r="N132" s="4" t="s">
        <v>3</v>
      </c>
      <c r="O132" s="4">
        <v>2</v>
      </c>
      <c r="P132" s="4"/>
      <c r="Q132" s="4"/>
      <c r="R132" s="4"/>
      <c r="S132" s="4"/>
      <c r="T132" s="4"/>
      <c r="U132" s="4"/>
      <c r="V132" s="4"/>
      <c r="W132" s="4">
        <v>0</v>
      </c>
      <c r="X132" s="4">
        <v>1</v>
      </c>
      <c r="Y132" s="4">
        <v>0</v>
      </c>
      <c r="Z132" s="4"/>
      <c r="AA132" s="4"/>
      <c r="AB132" s="4"/>
    </row>
    <row r="133" spans="1:245" x14ac:dyDescent="0.2">
      <c r="A133" s="4">
        <v>50</v>
      </c>
      <c r="B133" s="4">
        <v>0</v>
      </c>
      <c r="C133" s="4">
        <v>0</v>
      </c>
      <c r="D133" s="4">
        <v>1</v>
      </c>
      <c r="E133" s="4">
        <v>210</v>
      </c>
      <c r="F133" s="4">
        <f>ROUND(Source!X107,O133)</f>
        <v>735026.01</v>
      </c>
      <c r="G133" s="4" t="s">
        <v>367</v>
      </c>
      <c r="H133" s="4" t="s">
        <v>368</v>
      </c>
      <c r="I133" s="4"/>
      <c r="J133" s="4"/>
      <c r="K133" s="4">
        <v>210</v>
      </c>
      <c r="L133" s="4">
        <v>25</v>
      </c>
      <c r="M133" s="4">
        <v>3</v>
      </c>
      <c r="N133" s="4" t="s">
        <v>3</v>
      </c>
      <c r="O133" s="4">
        <v>2</v>
      </c>
      <c r="P133" s="4"/>
      <c r="Q133" s="4"/>
      <c r="R133" s="4"/>
      <c r="S133" s="4"/>
      <c r="T133" s="4"/>
      <c r="U133" s="4"/>
      <c r="V133" s="4"/>
      <c r="W133" s="4">
        <v>735026.01</v>
      </c>
      <c r="X133" s="4">
        <v>1</v>
      </c>
      <c r="Y133" s="4">
        <v>735026.01</v>
      </c>
      <c r="Z133" s="4"/>
      <c r="AA133" s="4"/>
      <c r="AB133" s="4"/>
    </row>
    <row r="134" spans="1:245" x14ac:dyDescent="0.2">
      <c r="A134" s="4">
        <v>50</v>
      </c>
      <c r="B134" s="4">
        <v>0</v>
      </c>
      <c r="C134" s="4">
        <v>0</v>
      </c>
      <c r="D134" s="4">
        <v>1</v>
      </c>
      <c r="E134" s="4">
        <v>211</v>
      </c>
      <c r="F134" s="4">
        <f>ROUND(Source!Y107,O134)</f>
        <v>351845.8</v>
      </c>
      <c r="G134" s="4" t="s">
        <v>369</v>
      </c>
      <c r="H134" s="4" t="s">
        <v>370</v>
      </c>
      <c r="I134" s="4"/>
      <c r="J134" s="4"/>
      <c r="K134" s="4">
        <v>211</v>
      </c>
      <c r="L134" s="4">
        <v>26</v>
      </c>
      <c r="M134" s="4">
        <v>3</v>
      </c>
      <c r="N134" s="4" t="s">
        <v>3</v>
      </c>
      <c r="O134" s="4">
        <v>2</v>
      </c>
      <c r="P134" s="4"/>
      <c r="Q134" s="4"/>
      <c r="R134" s="4"/>
      <c r="S134" s="4"/>
      <c r="T134" s="4"/>
      <c r="U134" s="4"/>
      <c r="V134" s="4"/>
      <c r="W134" s="4">
        <v>351845.8</v>
      </c>
      <c r="X134" s="4">
        <v>1</v>
      </c>
      <c r="Y134" s="4">
        <v>351845.8</v>
      </c>
      <c r="Z134" s="4"/>
      <c r="AA134" s="4"/>
      <c r="AB134" s="4"/>
    </row>
    <row r="135" spans="1:245" x14ac:dyDescent="0.2">
      <c r="A135" s="4">
        <v>50</v>
      </c>
      <c r="B135" s="4">
        <v>0</v>
      </c>
      <c r="C135" s="4">
        <v>0</v>
      </c>
      <c r="D135" s="4">
        <v>1</v>
      </c>
      <c r="E135" s="4">
        <v>224</v>
      </c>
      <c r="F135" s="4">
        <f>ROUND(Source!AR107,O135)</f>
        <v>2752592.62</v>
      </c>
      <c r="G135" s="4" t="s">
        <v>371</v>
      </c>
      <c r="H135" s="4" t="s">
        <v>372</v>
      </c>
      <c r="I135" s="4"/>
      <c r="J135" s="4"/>
      <c r="K135" s="4">
        <v>224</v>
      </c>
      <c r="L135" s="4">
        <v>27</v>
      </c>
      <c r="M135" s="4">
        <v>3</v>
      </c>
      <c r="N135" s="4" t="s">
        <v>3</v>
      </c>
      <c r="O135" s="4">
        <v>2</v>
      </c>
      <c r="P135" s="4"/>
      <c r="Q135" s="4"/>
      <c r="R135" s="4"/>
      <c r="S135" s="4"/>
      <c r="T135" s="4"/>
      <c r="U135" s="4"/>
      <c r="V135" s="4"/>
      <c r="W135" s="4">
        <v>2752592.62</v>
      </c>
      <c r="X135" s="4">
        <v>1</v>
      </c>
      <c r="Y135" s="4">
        <v>2752592.62</v>
      </c>
      <c r="Z135" s="4"/>
      <c r="AA135" s="4"/>
      <c r="AB135" s="4"/>
    </row>
    <row r="137" spans="1:245" x14ac:dyDescent="0.2">
      <c r="A137" s="1">
        <v>4</v>
      </c>
      <c r="B137" s="1">
        <v>1</v>
      </c>
      <c r="C137" s="1"/>
      <c r="D137" s="1">
        <f>ROW(A167)</f>
        <v>167</v>
      </c>
      <c r="E137" s="1"/>
      <c r="F137" s="1" t="s">
        <v>17</v>
      </c>
      <c r="G137" s="1" t="s">
        <v>373</v>
      </c>
      <c r="H137" s="1" t="s">
        <v>3</v>
      </c>
      <c r="I137" s="1">
        <v>0</v>
      </c>
      <c r="J137" s="1"/>
      <c r="K137" s="1">
        <v>0</v>
      </c>
      <c r="L137" s="1"/>
      <c r="M137" s="1" t="s">
        <v>3</v>
      </c>
      <c r="N137" s="1"/>
      <c r="O137" s="1"/>
      <c r="P137" s="1"/>
      <c r="Q137" s="1"/>
      <c r="R137" s="1"/>
      <c r="S137" s="1">
        <v>0</v>
      </c>
      <c r="T137" s="1"/>
      <c r="U137" s="1" t="s">
        <v>3</v>
      </c>
      <c r="V137" s="1">
        <v>0</v>
      </c>
      <c r="W137" s="1"/>
      <c r="X137" s="1"/>
      <c r="Y137" s="1"/>
      <c r="Z137" s="1"/>
      <c r="AA137" s="1"/>
      <c r="AB137" s="1" t="s">
        <v>3</v>
      </c>
      <c r="AC137" s="1" t="s">
        <v>3</v>
      </c>
      <c r="AD137" s="1" t="s">
        <v>3</v>
      </c>
      <c r="AE137" s="1" t="s">
        <v>3</v>
      </c>
      <c r="AF137" s="1" t="s">
        <v>3</v>
      </c>
      <c r="AG137" s="1" t="s">
        <v>3</v>
      </c>
      <c r="AH137" s="1"/>
      <c r="AI137" s="1"/>
      <c r="AJ137" s="1"/>
      <c r="AK137" s="1"/>
      <c r="AL137" s="1"/>
      <c r="AM137" s="1"/>
      <c r="AN137" s="1"/>
      <c r="AO137" s="1"/>
      <c r="AP137" s="1" t="s">
        <v>3</v>
      </c>
      <c r="AQ137" s="1" t="s">
        <v>3</v>
      </c>
      <c r="AR137" s="1" t="s">
        <v>3</v>
      </c>
      <c r="AS137" s="1"/>
      <c r="AT137" s="1"/>
      <c r="AU137" s="1"/>
      <c r="AV137" s="1"/>
      <c r="AW137" s="1"/>
      <c r="AX137" s="1"/>
      <c r="AY137" s="1"/>
      <c r="AZ137" s="1" t="s">
        <v>3</v>
      </c>
      <c r="BA137" s="1"/>
      <c r="BB137" s="1" t="s">
        <v>3</v>
      </c>
      <c r="BC137" s="1" t="s">
        <v>3</v>
      </c>
      <c r="BD137" s="1" t="s">
        <v>3</v>
      </c>
      <c r="BE137" s="1" t="s">
        <v>3</v>
      </c>
      <c r="BF137" s="1" t="s">
        <v>3</v>
      </c>
      <c r="BG137" s="1" t="s">
        <v>3</v>
      </c>
      <c r="BH137" s="1" t="s">
        <v>3</v>
      </c>
      <c r="BI137" s="1" t="s">
        <v>3</v>
      </c>
      <c r="BJ137" s="1" t="s">
        <v>3</v>
      </c>
      <c r="BK137" s="1" t="s">
        <v>3</v>
      </c>
      <c r="BL137" s="1" t="s">
        <v>3</v>
      </c>
      <c r="BM137" s="1" t="s">
        <v>3</v>
      </c>
      <c r="BN137" s="1" t="s">
        <v>3</v>
      </c>
      <c r="BO137" s="1" t="s">
        <v>3</v>
      </c>
      <c r="BP137" s="1" t="s">
        <v>3</v>
      </c>
      <c r="BQ137" s="1"/>
      <c r="BR137" s="1"/>
      <c r="BS137" s="1"/>
      <c r="BT137" s="1"/>
      <c r="BU137" s="1"/>
      <c r="BV137" s="1"/>
      <c r="BW137" s="1"/>
      <c r="BX137" s="1">
        <v>0</v>
      </c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>
        <v>0</v>
      </c>
    </row>
    <row r="139" spans="1:245" x14ac:dyDescent="0.2">
      <c r="A139" s="2">
        <v>52</v>
      </c>
      <c r="B139" s="2">
        <f t="shared" ref="B139:G139" si="159">B167</f>
        <v>1</v>
      </c>
      <c r="C139" s="2">
        <f t="shared" si="159"/>
        <v>4</v>
      </c>
      <c r="D139" s="2">
        <f t="shared" si="159"/>
        <v>137</v>
      </c>
      <c r="E139" s="2">
        <f t="shared" si="159"/>
        <v>0</v>
      </c>
      <c r="F139" s="2" t="str">
        <f t="shared" si="159"/>
        <v>Новый раздел</v>
      </c>
      <c r="G139" s="2" t="str">
        <f t="shared" si="159"/>
        <v>Ремонт системы отопления</v>
      </c>
      <c r="H139" s="2"/>
      <c r="I139" s="2"/>
      <c r="J139" s="2"/>
      <c r="K139" s="2"/>
      <c r="L139" s="2"/>
      <c r="M139" s="2"/>
      <c r="N139" s="2"/>
      <c r="O139" s="2">
        <f t="shared" ref="O139:AT139" si="160">O167</f>
        <v>1010121.85</v>
      </c>
      <c r="P139" s="2">
        <f t="shared" si="160"/>
        <v>709051.45</v>
      </c>
      <c r="Q139" s="2">
        <f t="shared" si="160"/>
        <v>12869.72</v>
      </c>
      <c r="R139" s="2">
        <f t="shared" si="160"/>
        <v>4124.4399999999996</v>
      </c>
      <c r="S139" s="2">
        <f t="shared" si="160"/>
        <v>288200.68</v>
      </c>
      <c r="T139" s="2">
        <f t="shared" si="160"/>
        <v>0</v>
      </c>
      <c r="U139" s="2">
        <f t="shared" si="160"/>
        <v>983.86985002000006</v>
      </c>
      <c r="V139" s="2">
        <f t="shared" si="160"/>
        <v>10.45000205</v>
      </c>
      <c r="W139" s="2">
        <f t="shared" si="160"/>
        <v>0</v>
      </c>
      <c r="X139" s="2">
        <f t="shared" si="160"/>
        <v>320957.93</v>
      </c>
      <c r="Y139" s="2">
        <f t="shared" si="160"/>
        <v>161585.43</v>
      </c>
      <c r="Z139" s="2">
        <f t="shared" si="160"/>
        <v>0</v>
      </c>
      <c r="AA139" s="2">
        <f t="shared" si="160"/>
        <v>0</v>
      </c>
      <c r="AB139" s="2">
        <f t="shared" si="160"/>
        <v>1010121.85</v>
      </c>
      <c r="AC139" s="2">
        <f t="shared" si="160"/>
        <v>709051.45</v>
      </c>
      <c r="AD139" s="2">
        <f t="shared" si="160"/>
        <v>12869.72</v>
      </c>
      <c r="AE139" s="2">
        <f t="shared" si="160"/>
        <v>4124.4399999999996</v>
      </c>
      <c r="AF139" s="2">
        <f t="shared" si="160"/>
        <v>288200.68</v>
      </c>
      <c r="AG139" s="2">
        <f t="shared" si="160"/>
        <v>0</v>
      </c>
      <c r="AH139" s="2">
        <f t="shared" si="160"/>
        <v>983.86985002000006</v>
      </c>
      <c r="AI139" s="2">
        <f t="shared" si="160"/>
        <v>10.45000205</v>
      </c>
      <c r="AJ139" s="2">
        <f t="shared" si="160"/>
        <v>0</v>
      </c>
      <c r="AK139" s="2">
        <f t="shared" si="160"/>
        <v>320957.93</v>
      </c>
      <c r="AL139" s="2">
        <f t="shared" si="160"/>
        <v>161585.43</v>
      </c>
      <c r="AM139" s="2">
        <f t="shared" si="160"/>
        <v>0</v>
      </c>
      <c r="AN139" s="2">
        <f t="shared" si="160"/>
        <v>0</v>
      </c>
      <c r="AO139" s="2">
        <f t="shared" si="160"/>
        <v>0</v>
      </c>
      <c r="AP139" s="2">
        <f t="shared" si="160"/>
        <v>0</v>
      </c>
      <c r="AQ139" s="2">
        <f t="shared" si="160"/>
        <v>0</v>
      </c>
      <c r="AR139" s="2">
        <f t="shared" si="160"/>
        <v>1492665.21</v>
      </c>
      <c r="AS139" s="2">
        <f t="shared" si="160"/>
        <v>1492665.21</v>
      </c>
      <c r="AT139" s="2">
        <f t="shared" si="160"/>
        <v>0</v>
      </c>
      <c r="AU139" s="2">
        <f t="shared" ref="AU139:BZ139" si="161">AU167</f>
        <v>0</v>
      </c>
      <c r="AV139" s="2">
        <f t="shared" si="161"/>
        <v>709051.45</v>
      </c>
      <c r="AW139" s="2">
        <f t="shared" si="161"/>
        <v>709051.45</v>
      </c>
      <c r="AX139" s="2">
        <f t="shared" si="161"/>
        <v>0</v>
      </c>
      <c r="AY139" s="2">
        <f t="shared" si="161"/>
        <v>709051.45</v>
      </c>
      <c r="AZ139" s="2">
        <f t="shared" si="161"/>
        <v>0</v>
      </c>
      <c r="BA139" s="2">
        <f t="shared" si="161"/>
        <v>0</v>
      </c>
      <c r="BB139" s="2">
        <f t="shared" si="161"/>
        <v>0</v>
      </c>
      <c r="BC139" s="2">
        <f t="shared" si="161"/>
        <v>0</v>
      </c>
      <c r="BD139" s="2">
        <f t="shared" si="161"/>
        <v>0</v>
      </c>
      <c r="BE139" s="2">
        <f t="shared" si="161"/>
        <v>0</v>
      </c>
      <c r="BF139" s="2">
        <f t="shared" si="161"/>
        <v>0</v>
      </c>
      <c r="BG139" s="2">
        <f t="shared" si="161"/>
        <v>0</v>
      </c>
      <c r="BH139" s="2">
        <f t="shared" si="161"/>
        <v>0</v>
      </c>
      <c r="BI139" s="2">
        <f t="shared" si="161"/>
        <v>0</v>
      </c>
      <c r="BJ139" s="2">
        <f t="shared" si="161"/>
        <v>0</v>
      </c>
      <c r="BK139" s="2">
        <f t="shared" si="161"/>
        <v>0</v>
      </c>
      <c r="BL139" s="2">
        <f t="shared" si="161"/>
        <v>0</v>
      </c>
      <c r="BM139" s="2">
        <f t="shared" si="161"/>
        <v>0</v>
      </c>
      <c r="BN139" s="2">
        <f t="shared" si="161"/>
        <v>0</v>
      </c>
      <c r="BO139" s="2">
        <f t="shared" si="161"/>
        <v>0</v>
      </c>
      <c r="BP139" s="2">
        <f t="shared" si="161"/>
        <v>0</v>
      </c>
      <c r="BQ139" s="2">
        <f t="shared" si="161"/>
        <v>0</v>
      </c>
      <c r="BR139" s="2">
        <f t="shared" si="161"/>
        <v>0</v>
      </c>
      <c r="BS139" s="2">
        <f t="shared" si="161"/>
        <v>0</v>
      </c>
      <c r="BT139" s="2">
        <f t="shared" si="161"/>
        <v>0</v>
      </c>
      <c r="BU139" s="2">
        <f t="shared" si="161"/>
        <v>0</v>
      </c>
      <c r="BV139" s="2">
        <f t="shared" si="161"/>
        <v>0</v>
      </c>
      <c r="BW139" s="2">
        <f t="shared" si="161"/>
        <v>0</v>
      </c>
      <c r="BX139" s="2">
        <f t="shared" si="161"/>
        <v>0</v>
      </c>
      <c r="BY139" s="2">
        <f t="shared" si="161"/>
        <v>0</v>
      </c>
      <c r="BZ139" s="2">
        <f t="shared" si="161"/>
        <v>0</v>
      </c>
      <c r="CA139" s="2">
        <f t="shared" ref="CA139:DF139" si="162">CA167</f>
        <v>1492665.21</v>
      </c>
      <c r="CB139" s="2">
        <f t="shared" si="162"/>
        <v>1492665.21</v>
      </c>
      <c r="CC139" s="2">
        <f t="shared" si="162"/>
        <v>0</v>
      </c>
      <c r="CD139" s="2">
        <f t="shared" si="162"/>
        <v>0</v>
      </c>
      <c r="CE139" s="2">
        <f t="shared" si="162"/>
        <v>709051.45</v>
      </c>
      <c r="CF139" s="2">
        <f t="shared" si="162"/>
        <v>709051.45</v>
      </c>
      <c r="CG139" s="2">
        <f t="shared" si="162"/>
        <v>0</v>
      </c>
      <c r="CH139" s="2">
        <f t="shared" si="162"/>
        <v>709051.45</v>
      </c>
      <c r="CI139" s="2">
        <f t="shared" si="162"/>
        <v>0</v>
      </c>
      <c r="CJ139" s="2">
        <f t="shared" si="162"/>
        <v>0</v>
      </c>
      <c r="CK139" s="2">
        <f t="shared" si="162"/>
        <v>0</v>
      </c>
      <c r="CL139" s="2">
        <f t="shared" si="162"/>
        <v>0</v>
      </c>
      <c r="CM139" s="2">
        <f t="shared" si="162"/>
        <v>0</v>
      </c>
      <c r="CN139" s="2">
        <f t="shared" si="162"/>
        <v>0</v>
      </c>
      <c r="CO139" s="2">
        <f t="shared" si="162"/>
        <v>0</v>
      </c>
      <c r="CP139" s="2">
        <f t="shared" si="162"/>
        <v>0</v>
      </c>
      <c r="CQ139" s="2">
        <f t="shared" si="162"/>
        <v>0</v>
      </c>
      <c r="CR139" s="2">
        <f t="shared" si="162"/>
        <v>0</v>
      </c>
      <c r="CS139" s="2">
        <f t="shared" si="162"/>
        <v>0</v>
      </c>
      <c r="CT139" s="2">
        <f t="shared" si="162"/>
        <v>0</v>
      </c>
      <c r="CU139" s="2">
        <f t="shared" si="162"/>
        <v>0</v>
      </c>
      <c r="CV139" s="2">
        <f t="shared" si="162"/>
        <v>0</v>
      </c>
      <c r="CW139" s="2">
        <f t="shared" si="162"/>
        <v>0</v>
      </c>
      <c r="CX139" s="2">
        <f t="shared" si="162"/>
        <v>0</v>
      </c>
      <c r="CY139" s="2">
        <f t="shared" si="162"/>
        <v>0</v>
      </c>
      <c r="CZ139" s="2">
        <f t="shared" si="162"/>
        <v>0</v>
      </c>
      <c r="DA139" s="2">
        <f t="shared" si="162"/>
        <v>0</v>
      </c>
      <c r="DB139" s="2">
        <f t="shared" si="162"/>
        <v>0</v>
      </c>
      <c r="DC139" s="2">
        <f t="shared" si="162"/>
        <v>0</v>
      </c>
      <c r="DD139" s="2">
        <f t="shared" si="162"/>
        <v>0</v>
      </c>
      <c r="DE139" s="2">
        <f t="shared" si="162"/>
        <v>0</v>
      </c>
      <c r="DF139" s="2">
        <f t="shared" si="162"/>
        <v>0</v>
      </c>
      <c r="DG139" s="3">
        <f t="shared" ref="DG139:EL139" si="163">DG167</f>
        <v>0</v>
      </c>
      <c r="DH139" s="3">
        <f t="shared" si="163"/>
        <v>0</v>
      </c>
      <c r="DI139" s="3">
        <f t="shared" si="163"/>
        <v>0</v>
      </c>
      <c r="DJ139" s="3">
        <f t="shared" si="163"/>
        <v>0</v>
      </c>
      <c r="DK139" s="3">
        <f t="shared" si="163"/>
        <v>0</v>
      </c>
      <c r="DL139" s="3">
        <f t="shared" si="163"/>
        <v>0</v>
      </c>
      <c r="DM139" s="3">
        <f t="shared" si="163"/>
        <v>0</v>
      </c>
      <c r="DN139" s="3">
        <f t="shared" si="163"/>
        <v>0</v>
      </c>
      <c r="DO139" s="3">
        <f t="shared" si="163"/>
        <v>0</v>
      </c>
      <c r="DP139" s="3">
        <f t="shared" si="163"/>
        <v>0</v>
      </c>
      <c r="DQ139" s="3">
        <f t="shared" si="163"/>
        <v>0</v>
      </c>
      <c r="DR139" s="3">
        <f t="shared" si="163"/>
        <v>0</v>
      </c>
      <c r="DS139" s="3">
        <f t="shared" si="163"/>
        <v>0</v>
      </c>
      <c r="DT139" s="3">
        <f t="shared" si="163"/>
        <v>0</v>
      </c>
      <c r="DU139" s="3">
        <f t="shared" si="163"/>
        <v>0</v>
      </c>
      <c r="DV139" s="3">
        <f t="shared" si="163"/>
        <v>0</v>
      </c>
      <c r="DW139" s="3">
        <f t="shared" si="163"/>
        <v>0</v>
      </c>
      <c r="DX139" s="3">
        <f t="shared" si="163"/>
        <v>0</v>
      </c>
      <c r="DY139" s="3">
        <f t="shared" si="163"/>
        <v>0</v>
      </c>
      <c r="DZ139" s="3">
        <f t="shared" si="163"/>
        <v>0</v>
      </c>
      <c r="EA139" s="3">
        <f t="shared" si="163"/>
        <v>0</v>
      </c>
      <c r="EB139" s="3">
        <f t="shared" si="163"/>
        <v>0</v>
      </c>
      <c r="EC139" s="3">
        <f t="shared" si="163"/>
        <v>0</v>
      </c>
      <c r="ED139" s="3">
        <f t="shared" si="163"/>
        <v>0</v>
      </c>
      <c r="EE139" s="3">
        <f t="shared" si="163"/>
        <v>0</v>
      </c>
      <c r="EF139" s="3">
        <f t="shared" si="163"/>
        <v>0</v>
      </c>
      <c r="EG139" s="3">
        <f t="shared" si="163"/>
        <v>0</v>
      </c>
      <c r="EH139" s="3">
        <f t="shared" si="163"/>
        <v>0</v>
      </c>
      <c r="EI139" s="3">
        <f t="shared" si="163"/>
        <v>0</v>
      </c>
      <c r="EJ139" s="3">
        <f t="shared" si="163"/>
        <v>0</v>
      </c>
      <c r="EK139" s="3">
        <f t="shared" si="163"/>
        <v>0</v>
      </c>
      <c r="EL139" s="3">
        <f t="shared" si="163"/>
        <v>0</v>
      </c>
      <c r="EM139" s="3">
        <f t="shared" ref="EM139:FR139" si="164">EM167</f>
        <v>0</v>
      </c>
      <c r="EN139" s="3">
        <f t="shared" si="164"/>
        <v>0</v>
      </c>
      <c r="EO139" s="3">
        <f t="shared" si="164"/>
        <v>0</v>
      </c>
      <c r="EP139" s="3">
        <f t="shared" si="164"/>
        <v>0</v>
      </c>
      <c r="EQ139" s="3">
        <f t="shared" si="164"/>
        <v>0</v>
      </c>
      <c r="ER139" s="3">
        <f t="shared" si="164"/>
        <v>0</v>
      </c>
      <c r="ES139" s="3">
        <f t="shared" si="164"/>
        <v>0</v>
      </c>
      <c r="ET139" s="3">
        <f t="shared" si="164"/>
        <v>0</v>
      </c>
      <c r="EU139" s="3">
        <f t="shared" si="164"/>
        <v>0</v>
      </c>
      <c r="EV139" s="3">
        <f t="shared" si="164"/>
        <v>0</v>
      </c>
      <c r="EW139" s="3">
        <f t="shared" si="164"/>
        <v>0</v>
      </c>
      <c r="EX139" s="3">
        <f t="shared" si="164"/>
        <v>0</v>
      </c>
      <c r="EY139" s="3">
        <f t="shared" si="164"/>
        <v>0</v>
      </c>
      <c r="EZ139" s="3">
        <f t="shared" si="164"/>
        <v>0</v>
      </c>
      <c r="FA139" s="3">
        <f t="shared" si="164"/>
        <v>0</v>
      </c>
      <c r="FB139" s="3">
        <f t="shared" si="164"/>
        <v>0</v>
      </c>
      <c r="FC139" s="3">
        <f t="shared" si="164"/>
        <v>0</v>
      </c>
      <c r="FD139" s="3">
        <f t="shared" si="164"/>
        <v>0</v>
      </c>
      <c r="FE139" s="3">
        <f t="shared" si="164"/>
        <v>0</v>
      </c>
      <c r="FF139" s="3">
        <f t="shared" si="164"/>
        <v>0</v>
      </c>
      <c r="FG139" s="3">
        <f t="shared" si="164"/>
        <v>0</v>
      </c>
      <c r="FH139" s="3">
        <f t="shared" si="164"/>
        <v>0</v>
      </c>
      <c r="FI139" s="3">
        <f t="shared" si="164"/>
        <v>0</v>
      </c>
      <c r="FJ139" s="3">
        <f t="shared" si="164"/>
        <v>0</v>
      </c>
      <c r="FK139" s="3">
        <f t="shared" si="164"/>
        <v>0</v>
      </c>
      <c r="FL139" s="3">
        <f t="shared" si="164"/>
        <v>0</v>
      </c>
      <c r="FM139" s="3">
        <f t="shared" si="164"/>
        <v>0</v>
      </c>
      <c r="FN139" s="3">
        <f t="shared" si="164"/>
        <v>0</v>
      </c>
      <c r="FO139" s="3">
        <f t="shared" si="164"/>
        <v>0</v>
      </c>
      <c r="FP139" s="3">
        <f t="shared" si="164"/>
        <v>0</v>
      </c>
      <c r="FQ139" s="3">
        <f t="shared" si="164"/>
        <v>0</v>
      </c>
      <c r="FR139" s="3">
        <f t="shared" si="164"/>
        <v>0</v>
      </c>
      <c r="FS139" s="3">
        <f t="shared" ref="FS139:GX139" si="165">FS167</f>
        <v>0</v>
      </c>
      <c r="FT139" s="3">
        <f t="shared" si="165"/>
        <v>0</v>
      </c>
      <c r="FU139" s="3">
        <f t="shared" si="165"/>
        <v>0</v>
      </c>
      <c r="FV139" s="3">
        <f t="shared" si="165"/>
        <v>0</v>
      </c>
      <c r="FW139" s="3">
        <f t="shared" si="165"/>
        <v>0</v>
      </c>
      <c r="FX139" s="3">
        <f t="shared" si="165"/>
        <v>0</v>
      </c>
      <c r="FY139" s="3">
        <f t="shared" si="165"/>
        <v>0</v>
      </c>
      <c r="FZ139" s="3">
        <f t="shared" si="165"/>
        <v>0</v>
      </c>
      <c r="GA139" s="3">
        <f t="shared" si="165"/>
        <v>0</v>
      </c>
      <c r="GB139" s="3">
        <f t="shared" si="165"/>
        <v>0</v>
      </c>
      <c r="GC139" s="3">
        <f t="shared" si="165"/>
        <v>0</v>
      </c>
      <c r="GD139" s="3">
        <f t="shared" si="165"/>
        <v>0</v>
      </c>
      <c r="GE139" s="3">
        <f t="shared" si="165"/>
        <v>0</v>
      </c>
      <c r="GF139" s="3">
        <f t="shared" si="165"/>
        <v>0</v>
      </c>
      <c r="GG139" s="3">
        <f t="shared" si="165"/>
        <v>0</v>
      </c>
      <c r="GH139" s="3">
        <f t="shared" si="165"/>
        <v>0</v>
      </c>
      <c r="GI139" s="3">
        <f t="shared" si="165"/>
        <v>0</v>
      </c>
      <c r="GJ139" s="3">
        <f t="shared" si="165"/>
        <v>0</v>
      </c>
      <c r="GK139" s="3">
        <f t="shared" si="165"/>
        <v>0</v>
      </c>
      <c r="GL139" s="3">
        <f t="shared" si="165"/>
        <v>0</v>
      </c>
      <c r="GM139" s="3">
        <f t="shared" si="165"/>
        <v>0</v>
      </c>
      <c r="GN139" s="3">
        <f t="shared" si="165"/>
        <v>0</v>
      </c>
      <c r="GO139" s="3">
        <f t="shared" si="165"/>
        <v>0</v>
      </c>
      <c r="GP139" s="3">
        <f t="shared" si="165"/>
        <v>0</v>
      </c>
      <c r="GQ139" s="3">
        <f t="shared" si="165"/>
        <v>0</v>
      </c>
      <c r="GR139" s="3">
        <f t="shared" si="165"/>
        <v>0</v>
      </c>
      <c r="GS139" s="3">
        <f t="shared" si="165"/>
        <v>0</v>
      </c>
      <c r="GT139" s="3">
        <f t="shared" si="165"/>
        <v>0</v>
      </c>
      <c r="GU139" s="3">
        <f t="shared" si="165"/>
        <v>0</v>
      </c>
      <c r="GV139" s="3">
        <f t="shared" si="165"/>
        <v>0</v>
      </c>
      <c r="GW139" s="3">
        <f t="shared" si="165"/>
        <v>0</v>
      </c>
      <c r="GX139" s="3">
        <f t="shared" si="165"/>
        <v>0</v>
      </c>
    </row>
    <row r="141" spans="1:245" x14ac:dyDescent="0.2">
      <c r="A141">
        <v>17</v>
      </c>
      <c r="B141">
        <v>1</v>
      </c>
      <c r="C141">
        <f>ROW(SmtRes!A161)</f>
        <v>161</v>
      </c>
      <c r="D141">
        <f>ROW(EtalonRes!A180)</f>
        <v>180</v>
      </c>
      <c r="E141" t="s">
        <v>374</v>
      </c>
      <c r="F141" t="s">
        <v>375</v>
      </c>
      <c r="G141" t="s">
        <v>376</v>
      </c>
      <c r="H141" t="s">
        <v>21</v>
      </c>
      <c r="I141">
        <f>ROUND(48/100,9)</f>
        <v>0.48</v>
      </c>
      <c r="J141">
        <v>0</v>
      </c>
      <c r="K141">
        <f>ROUND(48/100,9)</f>
        <v>0.48</v>
      </c>
      <c r="O141">
        <f t="shared" ref="O141:O165" si="166">ROUND(CP141,2)</f>
        <v>13719.41</v>
      </c>
      <c r="P141">
        <f t="shared" ref="P141:P165" si="167">ROUND(CQ141*I141,2)</f>
        <v>0</v>
      </c>
      <c r="Q141">
        <f t="shared" ref="Q141:Q165" si="168">ROUND(CR141*I141,2)</f>
        <v>418.1</v>
      </c>
      <c r="R141">
        <f t="shared" ref="R141:R165" si="169">ROUND(CS141*I141,2)</f>
        <v>464.63</v>
      </c>
      <c r="S141">
        <f t="shared" ref="S141:S165" si="170">ROUND(CT141*I141,2)</f>
        <v>13301.31</v>
      </c>
      <c r="T141">
        <f t="shared" ref="T141:T165" si="171">ROUND(CU141*I141,2)</f>
        <v>0</v>
      </c>
      <c r="U141">
        <f t="shared" ref="U141:U165" si="172">CV141*I141</f>
        <v>52.8</v>
      </c>
      <c r="V141">
        <f t="shared" ref="V141:V165" si="173">CW141*I141</f>
        <v>1.0752000000000002</v>
      </c>
      <c r="W141">
        <f t="shared" ref="W141:W165" si="174">ROUND(CX141*I141,2)</f>
        <v>0</v>
      </c>
      <c r="X141">
        <f t="shared" ref="X141:X165" si="175">ROUND(CY141,2)</f>
        <v>11976.37</v>
      </c>
      <c r="Y141">
        <f t="shared" ref="Y141:Y165" si="176">ROUND(CZ141,2)</f>
        <v>6057.01</v>
      </c>
      <c r="AA141">
        <v>145026783</v>
      </c>
      <c r="AB141">
        <f t="shared" ref="AB141:AB165" si="177">ROUND((AC141+AD141+AF141),2)</f>
        <v>935.72</v>
      </c>
      <c r="AC141">
        <f t="shared" ref="AC141:AC165" si="178">ROUND((ES141),2)</f>
        <v>0</v>
      </c>
      <c r="AD141">
        <f>ROUND((((ET141)-(EU141))+AE141),2)</f>
        <v>70.02</v>
      </c>
      <c r="AE141">
        <f t="shared" ref="AE141:AF143" si="179">ROUND((EU141),2)</f>
        <v>30.24</v>
      </c>
      <c r="AF141">
        <f t="shared" si="179"/>
        <v>865.7</v>
      </c>
      <c r="AG141">
        <f t="shared" ref="AG141:AG165" si="180">ROUND((AP141),2)</f>
        <v>0</v>
      </c>
      <c r="AH141">
        <f t="shared" ref="AH141:AI143" si="181">(EW141)</f>
        <v>110</v>
      </c>
      <c r="AI141">
        <f t="shared" si="181"/>
        <v>2.2400000000000002</v>
      </c>
      <c r="AJ141">
        <f t="shared" ref="AJ141:AJ165" si="182">(AS141)</f>
        <v>0</v>
      </c>
      <c r="AK141">
        <v>935.72</v>
      </c>
      <c r="AL141">
        <v>0</v>
      </c>
      <c r="AM141">
        <v>70.02</v>
      </c>
      <c r="AN141">
        <v>30.24</v>
      </c>
      <c r="AO141">
        <v>865.7</v>
      </c>
      <c r="AP141">
        <v>0</v>
      </c>
      <c r="AQ141">
        <v>110</v>
      </c>
      <c r="AR141">
        <v>2.2400000000000002</v>
      </c>
      <c r="AS141">
        <v>0</v>
      </c>
      <c r="AT141">
        <v>87</v>
      </c>
      <c r="AU141">
        <v>44</v>
      </c>
      <c r="AV141">
        <v>1</v>
      </c>
      <c r="AW141">
        <v>1</v>
      </c>
      <c r="AZ141">
        <v>1</v>
      </c>
      <c r="BA141">
        <v>32.01</v>
      </c>
      <c r="BB141">
        <v>12.44</v>
      </c>
      <c r="BC141">
        <v>8.9</v>
      </c>
      <c r="BD141" t="s">
        <v>3</v>
      </c>
      <c r="BE141" t="s">
        <v>3</v>
      </c>
      <c r="BF141" t="s">
        <v>3</v>
      </c>
      <c r="BG141" t="s">
        <v>3</v>
      </c>
      <c r="BH141">
        <v>0</v>
      </c>
      <c r="BI141">
        <v>1</v>
      </c>
      <c r="BJ141" t="s">
        <v>377</v>
      </c>
      <c r="BM141">
        <v>65003</v>
      </c>
      <c r="BN141">
        <v>0</v>
      </c>
      <c r="BO141" t="s">
        <v>3</v>
      </c>
      <c r="BP141">
        <v>0</v>
      </c>
      <c r="BQ141">
        <v>6</v>
      </c>
      <c r="BR141">
        <v>0</v>
      </c>
      <c r="BS141">
        <v>32.01</v>
      </c>
      <c r="BT141">
        <v>1</v>
      </c>
      <c r="BU141">
        <v>1</v>
      </c>
      <c r="BV141">
        <v>1</v>
      </c>
      <c r="BW141">
        <v>1</v>
      </c>
      <c r="BX141">
        <v>1</v>
      </c>
      <c r="BY141" t="s">
        <v>3</v>
      </c>
      <c r="BZ141">
        <v>87</v>
      </c>
      <c r="CA141">
        <v>44</v>
      </c>
      <c r="CB141" t="s">
        <v>3</v>
      </c>
      <c r="CE141">
        <v>0</v>
      </c>
      <c r="CF141">
        <v>0</v>
      </c>
      <c r="CG141">
        <v>0</v>
      </c>
      <c r="CM141">
        <v>0</v>
      </c>
      <c r="CN141" t="s">
        <v>3</v>
      </c>
      <c r="CO141">
        <v>0</v>
      </c>
      <c r="CP141">
        <f t="shared" ref="CP141:CP165" si="183">(P141+Q141+S141)</f>
        <v>13719.41</v>
      </c>
      <c r="CQ141">
        <f t="shared" ref="CQ141:CQ165" si="184">AC141*BC141</f>
        <v>0</v>
      </c>
      <c r="CR141">
        <f>(((ET141)*BB141-(EU141)*BS141)+AE141*BS141)</f>
        <v>871.04879999999991</v>
      </c>
      <c r="CS141">
        <f t="shared" ref="CS141:CS165" si="185">AE141*BS141</f>
        <v>967.98239999999987</v>
      </c>
      <c r="CT141">
        <f t="shared" ref="CT141:CT165" si="186">AF141*BA141</f>
        <v>27711.057000000001</v>
      </c>
      <c r="CU141">
        <f t="shared" ref="CU141:CU165" si="187">AG141</f>
        <v>0</v>
      </c>
      <c r="CV141">
        <f t="shared" ref="CV141:CV165" si="188">AH141</f>
        <v>110</v>
      </c>
      <c r="CW141">
        <f t="shared" ref="CW141:CW165" si="189">AI141</f>
        <v>2.2400000000000002</v>
      </c>
      <c r="CX141">
        <f t="shared" ref="CX141:CX165" si="190">AJ141</f>
        <v>0</v>
      </c>
      <c r="CY141">
        <f t="shared" ref="CY141:CY165" si="191">(((S141+R141)*AT141)/100)</f>
        <v>11976.367799999998</v>
      </c>
      <c r="CZ141">
        <f t="shared" ref="CZ141:CZ165" si="192">(((S141+R141)*AU141)/100)</f>
        <v>6057.0136000000002</v>
      </c>
      <c r="DC141" t="s">
        <v>3</v>
      </c>
      <c r="DD141" t="s">
        <v>3</v>
      </c>
      <c r="DE141" t="s">
        <v>3</v>
      </c>
      <c r="DF141" t="s">
        <v>3</v>
      </c>
      <c r="DG141" t="s">
        <v>3</v>
      </c>
      <c r="DH141" t="s">
        <v>3</v>
      </c>
      <c r="DI141" t="s">
        <v>3</v>
      </c>
      <c r="DJ141" t="s">
        <v>3</v>
      </c>
      <c r="DK141" t="s">
        <v>3</v>
      </c>
      <c r="DL141" t="s">
        <v>3</v>
      </c>
      <c r="DM141" t="s">
        <v>3</v>
      </c>
      <c r="DN141">
        <v>0</v>
      </c>
      <c r="DO141">
        <v>0</v>
      </c>
      <c r="DP141">
        <v>1</v>
      </c>
      <c r="DQ141">
        <v>1</v>
      </c>
      <c r="DU141">
        <v>1013</v>
      </c>
      <c r="DV141" t="s">
        <v>21</v>
      </c>
      <c r="DW141" t="s">
        <v>21</v>
      </c>
      <c r="DX141">
        <v>1</v>
      </c>
      <c r="DZ141" t="s">
        <v>3</v>
      </c>
      <c r="EA141" t="s">
        <v>3</v>
      </c>
      <c r="EB141" t="s">
        <v>3</v>
      </c>
      <c r="EC141" t="s">
        <v>3</v>
      </c>
      <c r="EE141">
        <v>140625173</v>
      </c>
      <c r="EF141">
        <v>6</v>
      </c>
      <c r="EG141" t="s">
        <v>23</v>
      </c>
      <c r="EH141">
        <v>99</v>
      </c>
      <c r="EI141" t="s">
        <v>378</v>
      </c>
      <c r="EJ141">
        <v>1</v>
      </c>
      <c r="EK141">
        <v>65003</v>
      </c>
      <c r="EL141" t="s">
        <v>379</v>
      </c>
      <c r="EM141" t="s">
        <v>380</v>
      </c>
      <c r="EO141" t="s">
        <v>3</v>
      </c>
      <c r="EQ141">
        <v>0</v>
      </c>
      <c r="ER141">
        <v>935.72</v>
      </c>
      <c r="ES141">
        <v>0</v>
      </c>
      <c r="ET141">
        <v>70.02</v>
      </c>
      <c r="EU141">
        <v>30.24</v>
      </c>
      <c r="EV141">
        <v>865.7</v>
      </c>
      <c r="EW141">
        <v>110</v>
      </c>
      <c r="EX141">
        <v>2.2400000000000002</v>
      </c>
      <c r="EY141">
        <v>0</v>
      </c>
      <c r="FQ141">
        <v>0</v>
      </c>
      <c r="FR141">
        <f t="shared" ref="FR141:FR165" si="193">ROUND(IF(BI141=3,GM141,0),2)</f>
        <v>0</v>
      </c>
      <c r="FS141">
        <v>0</v>
      </c>
      <c r="FX141">
        <v>87</v>
      </c>
      <c r="FY141">
        <v>44</v>
      </c>
      <c r="GA141" t="s">
        <v>3</v>
      </c>
      <c r="GD141">
        <v>1</v>
      </c>
      <c r="GF141">
        <v>-1645809625</v>
      </c>
      <c r="GG141">
        <v>2</v>
      </c>
      <c r="GH141">
        <v>1</v>
      </c>
      <c r="GI141">
        <v>4</v>
      </c>
      <c r="GJ141">
        <v>0</v>
      </c>
      <c r="GK141">
        <v>0</v>
      </c>
      <c r="GL141">
        <f t="shared" ref="GL141:GL165" si="194">ROUND(IF(AND(BH141=3,BI141=3,FS141&lt;&gt;0),P141,0),2)</f>
        <v>0</v>
      </c>
      <c r="GM141">
        <f t="shared" ref="GM141:GM165" si="195">ROUND(O141+X141+Y141,2)+GX141</f>
        <v>31752.79</v>
      </c>
      <c r="GN141">
        <f t="shared" ref="GN141:GN165" si="196">IF(OR(BI141=0,BI141=1),ROUND(O141+X141+Y141,2),0)</f>
        <v>31752.79</v>
      </c>
      <c r="GO141">
        <f t="shared" ref="GO141:GO165" si="197">IF(BI141=2,ROUND(O141+X141+Y141,2),0)</f>
        <v>0</v>
      </c>
      <c r="GP141">
        <f t="shared" ref="GP141:GP165" si="198">IF(BI141=4,ROUND(O141+X141+Y141,2)+GX141,0)</f>
        <v>0</v>
      </c>
      <c r="GR141">
        <v>0</v>
      </c>
      <c r="GS141">
        <v>3</v>
      </c>
      <c r="GT141">
        <v>0</v>
      </c>
      <c r="GU141" t="s">
        <v>3</v>
      </c>
      <c r="GV141">
        <f t="shared" ref="GV141:GV165" si="199">ROUND((GT141),2)</f>
        <v>0</v>
      </c>
      <c r="GW141">
        <v>1</v>
      </c>
      <c r="GX141">
        <f t="shared" ref="GX141:GX165" si="200">ROUND(HC141*I141,2)</f>
        <v>0</v>
      </c>
      <c r="HA141">
        <v>0</v>
      </c>
      <c r="HB141">
        <v>0</v>
      </c>
      <c r="HC141">
        <f t="shared" ref="HC141:HC165" si="201">GV141*GW141</f>
        <v>0</v>
      </c>
      <c r="HE141" t="s">
        <v>3</v>
      </c>
      <c r="HF141" t="s">
        <v>3</v>
      </c>
      <c r="HM141" t="s">
        <v>3</v>
      </c>
      <c r="HN141" t="s">
        <v>381</v>
      </c>
      <c r="HO141" t="s">
        <v>382</v>
      </c>
      <c r="HP141" t="s">
        <v>379</v>
      </c>
      <c r="HQ141" t="s">
        <v>379</v>
      </c>
      <c r="IK141">
        <v>0</v>
      </c>
    </row>
    <row r="142" spans="1:245" x14ac:dyDescent="0.2">
      <c r="A142">
        <v>17</v>
      </c>
      <c r="B142">
        <v>1</v>
      </c>
      <c r="C142">
        <f>ROW(SmtRes!A168)</f>
        <v>168</v>
      </c>
      <c r="D142">
        <f>ROW(EtalonRes!A187)</f>
        <v>187</v>
      </c>
      <c r="E142" t="s">
        <v>383</v>
      </c>
      <c r="F142" t="s">
        <v>384</v>
      </c>
      <c r="G142" t="s">
        <v>385</v>
      </c>
      <c r="H142" t="s">
        <v>53</v>
      </c>
      <c r="I142">
        <f>ROUND(580/100,9)</f>
        <v>5.8</v>
      </c>
      <c r="J142">
        <v>0</v>
      </c>
      <c r="K142">
        <f>ROUND(580/100,9)</f>
        <v>5.8</v>
      </c>
      <c r="O142">
        <f t="shared" si="166"/>
        <v>81809.81</v>
      </c>
      <c r="P142">
        <f t="shared" si="167"/>
        <v>2464.86</v>
      </c>
      <c r="Q142">
        <f t="shared" si="168"/>
        <v>650.09</v>
      </c>
      <c r="R142">
        <f t="shared" si="169"/>
        <v>250.64</v>
      </c>
      <c r="S142">
        <f t="shared" si="170"/>
        <v>78694.86</v>
      </c>
      <c r="T142">
        <f t="shared" si="171"/>
        <v>0</v>
      </c>
      <c r="U142">
        <f t="shared" si="172"/>
        <v>298.35199999999998</v>
      </c>
      <c r="V142">
        <f t="shared" si="173"/>
        <v>0.57999999999999996</v>
      </c>
      <c r="W142">
        <f t="shared" si="174"/>
        <v>0</v>
      </c>
      <c r="X142">
        <f t="shared" si="175"/>
        <v>68682.59</v>
      </c>
      <c r="Y142">
        <f t="shared" si="176"/>
        <v>34736.019999999997</v>
      </c>
      <c r="AA142">
        <v>145026783</v>
      </c>
      <c r="AB142">
        <f t="shared" si="177"/>
        <v>480.63</v>
      </c>
      <c r="AC142">
        <f t="shared" si="178"/>
        <v>47.75</v>
      </c>
      <c r="AD142">
        <f>ROUND((((ET142)-(EU142))+AE142),2)</f>
        <v>9.01</v>
      </c>
      <c r="AE142">
        <f t="shared" si="179"/>
        <v>1.35</v>
      </c>
      <c r="AF142">
        <f t="shared" si="179"/>
        <v>423.87</v>
      </c>
      <c r="AG142">
        <f t="shared" si="180"/>
        <v>0</v>
      </c>
      <c r="AH142">
        <f t="shared" si="181"/>
        <v>51.44</v>
      </c>
      <c r="AI142">
        <f t="shared" si="181"/>
        <v>0.1</v>
      </c>
      <c r="AJ142">
        <f t="shared" si="182"/>
        <v>0</v>
      </c>
      <c r="AK142">
        <v>480.63</v>
      </c>
      <c r="AL142">
        <v>47.75</v>
      </c>
      <c r="AM142">
        <v>9.01</v>
      </c>
      <c r="AN142">
        <v>1.35</v>
      </c>
      <c r="AO142">
        <v>423.87</v>
      </c>
      <c r="AP142">
        <v>0</v>
      </c>
      <c r="AQ142">
        <v>51.44</v>
      </c>
      <c r="AR142">
        <v>0.1</v>
      </c>
      <c r="AS142">
        <v>0</v>
      </c>
      <c r="AT142">
        <v>87</v>
      </c>
      <c r="AU142">
        <v>44</v>
      </c>
      <c r="AV142">
        <v>1</v>
      </c>
      <c r="AW142">
        <v>1</v>
      </c>
      <c r="AZ142">
        <v>1</v>
      </c>
      <c r="BA142">
        <v>32.01</v>
      </c>
      <c r="BB142">
        <v>12.44</v>
      </c>
      <c r="BC142">
        <v>8.9</v>
      </c>
      <c r="BD142" t="s">
        <v>3</v>
      </c>
      <c r="BE142" t="s">
        <v>3</v>
      </c>
      <c r="BF142" t="s">
        <v>3</v>
      </c>
      <c r="BG142" t="s">
        <v>3</v>
      </c>
      <c r="BH142">
        <v>0</v>
      </c>
      <c r="BI142">
        <v>1</v>
      </c>
      <c r="BJ142" t="s">
        <v>386</v>
      </c>
      <c r="BM142">
        <v>65001</v>
      </c>
      <c r="BN142">
        <v>0</v>
      </c>
      <c r="BO142" t="s">
        <v>3</v>
      </c>
      <c r="BP142">
        <v>0</v>
      </c>
      <c r="BQ142">
        <v>6</v>
      </c>
      <c r="BR142">
        <v>0</v>
      </c>
      <c r="BS142">
        <v>32.01</v>
      </c>
      <c r="BT142">
        <v>1</v>
      </c>
      <c r="BU142">
        <v>1</v>
      </c>
      <c r="BV142">
        <v>1</v>
      </c>
      <c r="BW142">
        <v>1</v>
      </c>
      <c r="BX142">
        <v>1</v>
      </c>
      <c r="BY142" t="s">
        <v>3</v>
      </c>
      <c r="BZ142">
        <v>87</v>
      </c>
      <c r="CA142">
        <v>44</v>
      </c>
      <c r="CB142" t="s">
        <v>3</v>
      </c>
      <c r="CE142">
        <v>0</v>
      </c>
      <c r="CF142">
        <v>0</v>
      </c>
      <c r="CG142">
        <v>0</v>
      </c>
      <c r="CM142">
        <v>0</v>
      </c>
      <c r="CN142" t="s">
        <v>3</v>
      </c>
      <c r="CO142">
        <v>0</v>
      </c>
      <c r="CP142">
        <f t="shared" si="183"/>
        <v>81809.81</v>
      </c>
      <c r="CQ142">
        <f t="shared" si="184"/>
        <v>424.97500000000002</v>
      </c>
      <c r="CR142">
        <f>(((ET142)*BB142-(EU142)*BS142)+AE142*BS142)</f>
        <v>112.08439999999999</v>
      </c>
      <c r="CS142">
        <f t="shared" si="185"/>
        <v>43.213500000000003</v>
      </c>
      <c r="CT142">
        <f t="shared" si="186"/>
        <v>13568.0787</v>
      </c>
      <c r="CU142">
        <f t="shared" si="187"/>
        <v>0</v>
      </c>
      <c r="CV142">
        <f t="shared" si="188"/>
        <v>51.44</v>
      </c>
      <c r="CW142">
        <f t="shared" si="189"/>
        <v>0.1</v>
      </c>
      <c r="CX142">
        <f t="shared" si="190"/>
        <v>0</v>
      </c>
      <c r="CY142">
        <f t="shared" si="191"/>
        <v>68682.585000000006</v>
      </c>
      <c r="CZ142">
        <f t="shared" si="192"/>
        <v>34736.019999999997</v>
      </c>
      <c r="DC142" t="s">
        <v>3</v>
      </c>
      <c r="DD142" t="s">
        <v>3</v>
      </c>
      <c r="DE142" t="s">
        <v>3</v>
      </c>
      <c r="DF142" t="s">
        <v>3</v>
      </c>
      <c r="DG142" t="s">
        <v>3</v>
      </c>
      <c r="DH142" t="s">
        <v>3</v>
      </c>
      <c r="DI142" t="s">
        <v>3</v>
      </c>
      <c r="DJ142" t="s">
        <v>3</v>
      </c>
      <c r="DK142" t="s">
        <v>3</v>
      </c>
      <c r="DL142" t="s">
        <v>3</v>
      </c>
      <c r="DM142" t="s">
        <v>3</v>
      </c>
      <c r="DN142">
        <v>0</v>
      </c>
      <c r="DO142">
        <v>0</v>
      </c>
      <c r="DP142">
        <v>1</v>
      </c>
      <c r="DQ142">
        <v>1</v>
      </c>
      <c r="DU142">
        <v>1003</v>
      </c>
      <c r="DV142" t="s">
        <v>53</v>
      </c>
      <c r="DW142" t="s">
        <v>53</v>
      </c>
      <c r="DX142">
        <v>100</v>
      </c>
      <c r="DZ142" t="s">
        <v>3</v>
      </c>
      <c r="EA142" t="s">
        <v>3</v>
      </c>
      <c r="EB142" t="s">
        <v>3</v>
      </c>
      <c r="EC142" t="s">
        <v>3</v>
      </c>
      <c r="EE142">
        <v>140625168</v>
      </c>
      <c r="EF142">
        <v>6</v>
      </c>
      <c r="EG142" t="s">
        <v>23</v>
      </c>
      <c r="EH142">
        <v>99</v>
      </c>
      <c r="EI142" t="s">
        <v>378</v>
      </c>
      <c r="EJ142">
        <v>1</v>
      </c>
      <c r="EK142">
        <v>65001</v>
      </c>
      <c r="EL142" t="s">
        <v>379</v>
      </c>
      <c r="EM142" t="s">
        <v>380</v>
      </c>
      <c r="EO142" t="s">
        <v>3</v>
      </c>
      <c r="EQ142">
        <v>2097152</v>
      </c>
      <c r="ER142">
        <v>480.63</v>
      </c>
      <c r="ES142">
        <v>47.75</v>
      </c>
      <c r="ET142">
        <v>9.01</v>
      </c>
      <c r="EU142">
        <v>1.35</v>
      </c>
      <c r="EV142">
        <v>423.87</v>
      </c>
      <c r="EW142">
        <v>51.44</v>
      </c>
      <c r="EX142">
        <v>0.1</v>
      </c>
      <c r="EY142">
        <v>0</v>
      </c>
      <c r="FQ142">
        <v>0</v>
      </c>
      <c r="FR142">
        <f t="shared" si="193"/>
        <v>0</v>
      </c>
      <c r="FS142">
        <v>0</v>
      </c>
      <c r="FX142">
        <v>87</v>
      </c>
      <c r="FY142">
        <v>44</v>
      </c>
      <c r="GA142" t="s">
        <v>3</v>
      </c>
      <c r="GD142">
        <v>1</v>
      </c>
      <c r="GF142">
        <v>1941409767</v>
      </c>
      <c r="GG142">
        <v>2</v>
      </c>
      <c r="GH142">
        <v>1</v>
      </c>
      <c r="GI142">
        <v>4</v>
      </c>
      <c r="GJ142">
        <v>0</v>
      </c>
      <c r="GK142">
        <v>0</v>
      </c>
      <c r="GL142">
        <f t="shared" si="194"/>
        <v>0</v>
      </c>
      <c r="GM142">
        <f t="shared" si="195"/>
        <v>185228.42</v>
      </c>
      <c r="GN142">
        <f t="shared" si="196"/>
        <v>185228.42</v>
      </c>
      <c r="GO142">
        <f t="shared" si="197"/>
        <v>0</v>
      </c>
      <c r="GP142">
        <f t="shared" si="198"/>
        <v>0</v>
      </c>
      <c r="GR142">
        <v>0</v>
      </c>
      <c r="GS142">
        <v>3</v>
      </c>
      <c r="GT142">
        <v>0</v>
      </c>
      <c r="GU142" t="s">
        <v>3</v>
      </c>
      <c r="GV142">
        <f t="shared" si="199"/>
        <v>0</v>
      </c>
      <c r="GW142">
        <v>1</v>
      </c>
      <c r="GX142">
        <f t="shared" si="200"/>
        <v>0</v>
      </c>
      <c r="HA142">
        <v>0</v>
      </c>
      <c r="HB142">
        <v>0</v>
      </c>
      <c r="HC142">
        <f t="shared" si="201"/>
        <v>0</v>
      </c>
      <c r="HE142" t="s">
        <v>3</v>
      </c>
      <c r="HF142" t="s">
        <v>3</v>
      </c>
      <c r="HM142" t="s">
        <v>3</v>
      </c>
      <c r="HN142" t="s">
        <v>381</v>
      </c>
      <c r="HO142" t="s">
        <v>382</v>
      </c>
      <c r="HP142" t="s">
        <v>379</v>
      </c>
      <c r="HQ142" t="s">
        <v>379</v>
      </c>
      <c r="IK142">
        <v>0</v>
      </c>
    </row>
    <row r="143" spans="1:245" x14ac:dyDescent="0.2">
      <c r="A143">
        <v>18</v>
      </c>
      <c r="B143">
        <v>1</v>
      </c>
      <c r="C143">
        <v>168</v>
      </c>
      <c r="E143" t="s">
        <v>387</v>
      </c>
      <c r="F143" t="s">
        <v>114</v>
      </c>
      <c r="G143" t="s">
        <v>115</v>
      </c>
      <c r="H143" t="s">
        <v>49</v>
      </c>
      <c r="I143">
        <f>I142*J143</f>
        <v>1.6819999999999999</v>
      </c>
      <c r="J143">
        <v>0.28999999999999998</v>
      </c>
      <c r="K143">
        <v>0.28999999999999998</v>
      </c>
      <c r="O143">
        <f t="shared" si="166"/>
        <v>0</v>
      </c>
      <c r="P143">
        <f t="shared" si="167"/>
        <v>0</v>
      </c>
      <c r="Q143">
        <f t="shared" si="168"/>
        <v>0</v>
      </c>
      <c r="R143">
        <f t="shared" si="169"/>
        <v>0</v>
      </c>
      <c r="S143">
        <f t="shared" si="170"/>
        <v>0</v>
      </c>
      <c r="T143">
        <f t="shared" si="171"/>
        <v>0</v>
      </c>
      <c r="U143">
        <f t="shared" si="172"/>
        <v>0</v>
      </c>
      <c r="V143">
        <f t="shared" si="173"/>
        <v>0</v>
      </c>
      <c r="W143">
        <f t="shared" si="174"/>
        <v>0</v>
      </c>
      <c r="X143">
        <f t="shared" si="175"/>
        <v>0</v>
      </c>
      <c r="Y143">
        <f t="shared" si="176"/>
        <v>0</v>
      </c>
      <c r="AA143">
        <v>145026783</v>
      </c>
      <c r="AB143">
        <f t="shared" si="177"/>
        <v>0</v>
      </c>
      <c r="AC143">
        <f t="shared" si="178"/>
        <v>0</v>
      </c>
      <c r="AD143">
        <f>ROUND((((ET143)-(EU143))+AE143),2)</f>
        <v>0</v>
      </c>
      <c r="AE143">
        <f t="shared" si="179"/>
        <v>0</v>
      </c>
      <c r="AF143">
        <f t="shared" si="179"/>
        <v>0</v>
      </c>
      <c r="AG143">
        <f t="shared" si="180"/>
        <v>0</v>
      </c>
      <c r="AH143">
        <f t="shared" si="181"/>
        <v>0</v>
      </c>
      <c r="AI143">
        <f t="shared" si="181"/>
        <v>0</v>
      </c>
      <c r="AJ143">
        <f t="shared" si="182"/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87</v>
      </c>
      <c r="AU143">
        <v>44</v>
      </c>
      <c r="AV143">
        <v>1</v>
      </c>
      <c r="AW143">
        <v>1</v>
      </c>
      <c r="AZ143">
        <v>1</v>
      </c>
      <c r="BA143">
        <v>1</v>
      </c>
      <c r="BB143">
        <v>1</v>
      </c>
      <c r="BC143">
        <v>8.9</v>
      </c>
      <c r="BD143" t="s">
        <v>3</v>
      </c>
      <c r="BE143" t="s">
        <v>3</v>
      </c>
      <c r="BF143" t="s">
        <v>3</v>
      </c>
      <c r="BG143" t="s">
        <v>3</v>
      </c>
      <c r="BH143">
        <v>3</v>
      </c>
      <c r="BI143">
        <v>1</v>
      </c>
      <c r="BJ143" t="s">
        <v>3</v>
      </c>
      <c r="BM143">
        <v>65001</v>
      </c>
      <c r="BN143">
        <v>0</v>
      </c>
      <c r="BO143" t="s">
        <v>3</v>
      </c>
      <c r="BP143">
        <v>0</v>
      </c>
      <c r="BQ143">
        <v>6</v>
      </c>
      <c r="BR143">
        <v>0</v>
      </c>
      <c r="BS143">
        <v>1</v>
      </c>
      <c r="BT143">
        <v>1</v>
      </c>
      <c r="BU143">
        <v>1</v>
      </c>
      <c r="BV143">
        <v>1</v>
      </c>
      <c r="BW143">
        <v>1</v>
      </c>
      <c r="BX143">
        <v>1</v>
      </c>
      <c r="BY143" t="s">
        <v>3</v>
      </c>
      <c r="BZ143">
        <v>87</v>
      </c>
      <c r="CA143">
        <v>44</v>
      </c>
      <c r="CB143" t="s">
        <v>3</v>
      </c>
      <c r="CE143">
        <v>0</v>
      </c>
      <c r="CF143">
        <v>0</v>
      </c>
      <c r="CG143">
        <v>0</v>
      </c>
      <c r="CM143">
        <v>0</v>
      </c>
      <c r="CN143" t="s">
        <v>3</v>
      </c>
      <c r="CO143">
        <v>0</v>
      </c>
      <c r="CP143">
        <f t="shared" si="183"/>
        <v>0</v>
      </c>
      <c r="CQ143">
        <f t="shared" si="184"/>
        <v>0</v>
      </c>
      <c r="CR143">
        <f>(((ET143)*BB143-(EU143)*BS143)+AE143*BS143)</f>
        <v>0</v>
      </c>
      <c r="CS143">
        <f t="shared" si="185"/>
        <v>0</v>
      </c>
      <c r="CT143">
        <f t="shared" si="186"/>
        <v>0</v>
      </c>
      <c r="CU143">
        <f t="shared" si="187"/>
        <v>0</v>
      </c>
      <c r="CV143">
        <f t="shared" si="188"/>
        <v>0</v>
      </c>
      <c r="CW143">
        <f t="shared" si="189"/>
        <v>0</v>
      </c>
      <c r="CX143">
        <f t="shared" si="190"/>
        <v>0</v>
      </c>
      <c r="CY143">
        <f t="shared" si="191"/>
        <v>0</v>
      </c>
      <c r="CZ143">
        <f t="shared" si="192"/>
        <v>0</v>
      </c>
      <c r="DC143" t="s">
        <v>3</v>
      </c>
      <c r="DD143" t="s">
        <v>3</v>
      </c>
      <c r="DE143" t="s">
        <v>3</v>
      </c>
      <c r="DF143" t="s">
        <v>3</v>
      </c>
      <c r="DG143" t="s">
        <v>3</v>
      </c>
      <c r="DH143" t="s">
        <v>3</v>
      </c>
      <c r="DI143" t="s">
        <v>3</v>
      </c>
      <c r="DJ143" t="s">
        <v>3</v>
      </c>
      <c r="DK143" t="s">
        <v>3</v>
      </c>
      <c r="DL143" t="s">
        <v>3</v>
      </c>
      <c r="DM143" t="s">
        <v>3</v>
      </c>
      <c r="DN143">
        <v>0</v>
      </c>
      <c r="DO143">
        <v>0</v>
      </c>
      <c r="DP143">
        <v>1</v>
      </c>
      <c r="DQ143">
        <v>1</v>
      </c>
      <c r="DU143">
        <v>1009</v>
      </c>
      <c r="DV143" t="s">
        <v>49</v>
      </c>
      <c r="DW143" t="s">
        <v>49</v>
      </c>
      <c r="DX143">
        <v>1000</v>
      </c>
      <c r="DZ143" t="s">
        <v>3</v>
      </c>
      <c r="EA143" t="s">
        <v>3</v>
      </c>
      <c r="EB143" t="s">
        <v>3</v>
      </c>
      <c r="EC143" t="s">
        <v>3</v>
      </c>
      <c r="EE143">
        <v>140625168</v>
      </c>
      <c r="EF143">
        <v>6</v>
      </c>
      <c r="EG143" t="s">
        <v>23</v>
      </c>
      <c r="EH143">
        <v>99</v>
      </c>
      <c r="EI143" t="s">
        <v>378</v>
      </c>
      <c r="EJ143">
        <v>1</v>
      </c>
      <c r="EK143">
        <v>65001</v>
      </c>
      <c r="EL143" t="s">
        <v>379</v>
      </c>
      <c r="EM143" t="s">
        <v>380</v>
      </c>
      <c r="EO143" t="s">
        <v>3</v>
      </c>
      <c r="EQ143">
        <v>0</v>
      </c>
      <c r="ER143">
        <v>0</v>
      </c>
      <c r="ES143">
        <v>0</v>
      </c>
      <c r="ET143">
        <v>0</v>
      </c>
      <c r="EU143">
        <v>0</v>
      </c>
      <c r="EV143">
        <v>0</v>
      </c>
      <c r="EW143">
        <v>0</v>
      </c>
      <c r="EX143">
        <v>0</v>
      </c>
      <c r="FQ143">
        <v>0</v>
      </c>
      <c r="FR143">
        <f t="shared" si="193"/>
        <v>0</v>
      </c>
      <c r="FS143">
        <v>0</v>
      </c>
      <c r="FX143">
        <v>87</v>
      </c>
      <c r="FY143">
        <v>44</v>
      </c>
      <c r="GA143" t="s">
        <v>3</v>
      </c>
      <c r="GD143">
        <v>1</v>
      </c>
      <c r="GF143">
        <v>-1296435862</v>
      </c>
      <c r="GG143">
        <v>2</v>
      </c>
      <c r="GH143">
        <v>1</v>
      </c>
      <c r="GI143">
        <v>4</v>
      </c>
      <c r="GJ143">
        <v>0</v>
      </c>
      <c r="GK143">
        <v>0</v>
      </c>
      <c r="GL143">
        <f t="shared" si="194"/>
        <v>0</v>
      </c>
      <c r="GM143">
        <f t="shared" si="195"/>
        <v>0</v>
      </c>
      <c r="GN143">
        <f t="shared" si="196"/>
        <v>0</v>
      </c>
      <c r="GO143">
        <f t="shared" si="197"/>
        <v>0</v>
      </c>
      <c r="GP143">
        <f t="shared" si="198"/>
        <v>0</v>
      </c>
      <c r="GR143">
        <v>0</v>
      </c>
      <c r="GS143">
        <v>3</v>
      </c>
      <c r="GT143">
        <v>0</v>
      </c>
      <c r="GU143" t="s">
        <v>3</v>
      </c>
      <c r="GV143">
        <f t="shared" si="199"/>
        <v>0</v>
      </c>
      <c r="GW143">
        <v>1</v>
      </c>
      <c r="GX143">
        <f t="shared" si="200"/>
        <v>0</v>
      </c>
      <c r="HA143">
        <v>0</v>
      </c>
      <c r="HB143">
        <v>0</v>
      </c>
      <c r="HC143">
        <f t="shared" si="201"/>
        <v>0</v>
      </c>
      <c r="HE143" t="s">
        <v>3</v>
      </c>
      <c r="HF143" t="s">
        <v>3</v>
      </c>
      <c r="HM143" t="s">
        <v>3</v>
      </c>
      <c r="HN143" t="s">
        <v>381</v>
      </c>
      <c r="HO143" t="s">
        <v>382</v>
      </c>
      <c r="HP143" t="s">
        <v>379</v>
      </c>
      <c r="HQ143" t="s">
        <v>379</v>
      </c>
      <c r="IK143">
        <v>0</v>
      </c>
    </row>
    <row r="144" spans="1:245" x14ac:dyDescent="0.2">
      <c r="A144">
        <v>17</v>
      </c>
      <c r="B144">
        <v>1</v>
      </c>
      <c r="C144">
        <f>ROW(SmtRes!A175)</f>
        <v>175</v>
      </c>
      <c r="D144">
        <f>ROW(EtalonRes!A198)</f>
        <v>198</v>
      </c>
      <c r="E144" t="s">
        <v>388</v>
      </c>
      <c r="F144" t="s">
        <v>389</v>
      </c>
      <c r="G144" t="s">
        <v>390</v>
      </c>
      <c r="H144" t="s">
        <v>53</v>
      </c>
      <c r="I144">
        <f>ROUND(580/100,9)</f>
        <v>5.8</v>
      </c>
      <c r="J144">
        <v>0</v>
      </c>
      <c r="K144">
        <f>ROUND(580/100,9)</f>
        <v>5.8</v>
      </c>
      <c r="O144">
        <f t="shared" si="166"/>
        <v>120152.93</v>
      </c>
      <c r="P144">
        <f t="shared" si="167"/>
        <v>5510.44</v>
      </c>
      <c r="Q144">
        <f t="shared" si="168"/>
        <v>2742.7</v>
      </c>
      <c r="R144">
        <f t="shared" si="169"/>
        <v>1230.9100000000001</v>
      </c>
      <c r="S144">
        <f t="shared" si="170"/>
        <v>111899.79</v>
      </c>
      <c r="T144">
        <f t="shared" si="171"/>
        <v>0</v>
      </c>
      <c r="U144">
        <f t="shared" si="172"/>
        <v>363.38159999999993</v>
      </c>
      <c r="V144">
        <f t="shared" si="173"/>
        <v>3.2624999999999997</v>
      </c>
      <c r="W144">
        <f t="shared" si="174"/>
        <v>0</v>
      </c>
      <c r="X144">
        <f t="shared" si="175"/>
        <v>136888.15</v>
      </c>
      <c r="Y144">
        <f t="shared" si="176"/>
        <v>69235.990000000005</v>
      </c>
      <c r="AA144">
        <v>145026783</v>
      </c>
      <c r="AB144">
        <f t="shared" si="177"/>
        <v>747.48</v>
      </c>
      <c r="AC144">
        <f t="shared" si="178"/>
        <v>106.75</v>
      </c>
      <c r="AD144">
        <f>ROUND(((((ET144*1.25))-((EU144*1.25)))+AE144),2)</f>
        <v>38.01</v>
      </c>
      <c r="AE144">
        <f>ROUND(((EU144*1.25)),2)</f>
        <v>6.63</v>
      </c>
      <c r="AF144">
        <f>ROUND(((EV144*1.15)),2)</f>
        <v>602.72</v>
      </c>
      <c r="AG144">
        <f t="shared" si="180"/>
        <v>0</v>
      </c>
      <c r="AH144">
        <f>((EW144*1.15))</f>
        <v>62.651999999999994</v>
      </c>
      <c r="AI144">
        <f>((EX144*1.25))</f>
        <v>0.5625</v>
      </c>
      <c r="AJ144">
        <f t="shared" si="182"/>
        <v>0</v>
      </c>
      <c r="AK144">
        <v>661.25</v>
      </c>
      <c r="AL144">
        <v>106.75</v>
      </c>
      <c r="AM144">
        <v>30.4</v>
      </c>
      <c r="AN144">
        <v>5.3</v>
      </c>
      <c r="AO144">
        <v>524.1</v>
      </c>
      <c r="AP144">
        <v>0</v>
      </c>
      <c r="AQ144">
        <v>54.48</v>
      </c>
      <c r="AR144">
        <v>0.45</v>
      </c>
      <c r="AS144">
        <v>0</v>
      </c>
      <c r="AT144">
        <v>121</v>
      </c>
      <c r="AU144">
        <v>61.2</v>
      </c>
      <c r="AV144">
        <v>1</v>
      </c>
      <c r="AW144">
        <v>1</v>
      </c>
      <c r="AZ144">
        <v>1</v>
      </c>
      <c r="BA144">
        <v>32.01</v>
      </c>
      <c r="BB144">
        <v>12.44</v>
      </c>
      <c r="BC144">
        <v>8.9</v>
      </c>
      <c r="BD144" t="s">
        <v>3</v>
      </c>
      <c r="BE144" t="s">
        <v>3</v>
      </c>
      <c r="BF144" t="s">
        <v>3</v>
      </c>
      <c r="BG144" t="s">
        <v>3</v>
      </c>
      <c r="BH144">
        <v>0</v>
      </c>
      <c r="BI144">
        <v>1</v>
      </c>
      <c r="BJ144" t="s">
        <v>391</v>
      </c>
      <c r="BM144">
        <v>16001</v>
      </c>
      <c r="BN144">
        <v>0</v>
      </c>
      <c r="BO144" t="s">
        <v>3</v>
      </c>
      <c r="BP144">
        <v>0</v>
      </c>
      <c r="BQ144">
        <v>2</v>
      </c>
      <c r="BR144">
        <v>0</v>
      </c>
      <c r="BS144">
        <v>32.01</v>
      </c>
      <c r="BT144">
        <v>1</v>
      </c>
      <c r="BU144">
        <v>1</v>
      </c>
      <c r="BV144">
        <v>1</v>
      </c>
      <c r="BW144">
        <v>1</v>
      </c>
      <c r="BX144">
        <v>1</v>
      </c>
      <c r="BY144" t="s">
        <v>3</v>
      </c>
      <c r="BZ144">
        <v>121</v>
      </c>
      <c r="CA144">
        <v>72</v>
      </c>
      <c r="CB144" t="s">
        <v>3</v>
      </c>
      <c r="CE144">
        <v>0</v>
      </c>
      <c r="CF144">
        <v>0</v>
      </c>
      <c r="CG144">
        <v>0</v>
      </c>
      <c r="CM144">
        <v>0</v>
      </c>
      <c r="CN144" t="s">
        <v>863</v>
      </c>
      <c r="CO144">
        <v>0</v>
      </c>
      <c r="CP144">
        <f t="shared" si="183"/>
        <v>120152.93</v>
      </c>
      <c r="CQ144">
        <f t="shared" si="184"/>
        <v>950.07500000000005</v>
      </c>
      <c r="CR144">
        <f>((((ET144*1.25))*BB144-((EU144*1.25))*BS144)+AE144*BS144)</f>
        <v>472.88004999999993</v>
      </c>
      <c r="CS144">
        <f t="shared" si="185"/>
        <v>212.22629999999998</v>
      </c>
      <c r="CT144">
        <f t="shared" si="186"/>
        <v>19293.067200000001</v>
      </c>
      <c r="CU144">
        <f t="shared" si="187"/>
        <v>0</v>
      </c>
      <c r="CV144">
        <f t="shared" si="188"/>
        <v>62.651999999999994</v>
      </c>
      <c r="CW144">
        <f t="shared" si="189"/>
        <v>0.5625</v>
      </c>
      <c r="CX144">
        <f t="shared" si="190"/>
        <v>0</v>
      </c>
      <c r="CY144">
        <f t="shared" si="191"/>
        <v>136888.147</v>
      </c>
      <c r="CZ144">
        <f t="shared" si="192"/>
        <v>69235.988400000002</v>
      </c>
      <c r="DC144" t="s">
        <v>3</v>
      </c>
      <c r="DD144" t="s">
        <v>3</v>
      </c>
      <c r="DE144" t="s">
        <v>148</v>
      </c>
      <c r="DF144" t="s">
        <v>148</v>
      </c>
      <c r="DG144" t="s">
        <v>149</v>
      </c>
      <c r="DH144" t="s">
        <v>3</v>
      </c>
      <c r="DI144" t="s">
        <v>149</v>
      </c>
      <c r="DJ144" t="s">
        <v>148</v>
      </c>
      <c r="DK144" t="s">
        <v>3</v>
      </c>
      <c r="DL144" t="s">
        <v>3</v>
      </c>
      <c r="DM144" t="s">
        <v>150</v>
      </c>
      <c r="DN144">
        <v>0</v>
      </c>
      <c r="DO144">
        <v>0</v>
      </c>
      <c r="DP144">
        <v>1</v>
      </c>
      <c r="DQ144">
        <v>1</v>
      </c>
      <c r="DU144">
        <v>1003</v>
      </c>
      <c r="DV144" t="s">
        <v>53</v>
      </c>
      <c r="DW144" t="s">
        <v>53</v>
      </c>
      <c r="DX144">
        <v>100</v>
      </c>
      <c r="DZ144" t="s">
        <v>3</v>
      </c>
      <c r="EA144" t="s">
        <v>3</v>
      </c>
      <c r="EB144" t="s">
        <v>3</v>
      </c>
      <c r="EC144" t="s">
        <v>3</v>
      </c>
      <c r="EE144">
        <v>140625063</v>
      </c>
      <c r="EF144">
        <v>2</v>
      </c>
      <c r="EG144" t="s">
        <v>95</v>
      </c>
      <c r="EH144">
        <v>16</v>
      </c>
      <c r="EI144" t="s">
        <v>392</v>
      </c>
      <c r="EJ144">
        <v>1</v>
      </c>
      <c r="EK144">
        <v>16001</v>
      </c>
      <c r="EL144" t="s">
        <v>393</v>
      </c>
      <c r="EM144" t="s">
        <v>394</v>
      </c>
      <c r="EO144" t="s">
        <v>151</v>
      </c>
      <c r="EQ144">
        <v>0</v>
      </c>
      <c r="ER144">
        <v>661.25</v>
      </c>
      <c r="ES144">
        <v>106.75</v>
      </c>
      <c r="ET144">
        <v>30.4</v>
      </c>
      <c r="EU144">
        <v>5.3</v>
      </c>
      <c r="EV144">
        <v>524.1</v>
      </c>
      <c r="EW144">
        <v>54.48</v>
      </c>
      <c r="EX144">
        <v>0.45</v>
      </c>
      <c r="EY144">
        <v>0</v>
      </c>
      <c r="FQ144">
        <v>0</v>
      </c>
      <c r="FR144">
        <f t="shared" si="193"/>
        <v>0</v>
      </c>
      <c r="FS144">
        <v>0</v>
      </c>
      <c r="FX144">
        <v>121</v>
      </c>
      <c r="FY144">
        <v>61.2</v>
      </c>
      <c r="GA144" t="s">
        <v>3</v>
      </c>
      <c r="GD144">
        <v>1</v>
      </c>
      <c r="GF144">
        <v>-513397229</v>
      </c>
      <c r="GG144">
        <v>2</v>
      </c>
      <c r="GH144">
        <v>1</v>
      </c>
      <c r="GI144">
        <v>4</v>
      </c>
      <c r="GJ144">
        <v>0</v>
      </c>
      <c r="GK144">
        <v>0</v>
      </c>
      <c r="GL144">
        <f t="shared" si="194"/>
        <v>0</v>
      </c>
      <c r="GM144">
        <f t="shared" si="195"/>
        <v>326277.07</v>
      </c>
      <c r="GN144">
        <f t="shared" si="196"/>
        <v>326277.07</v>
      </c>
      <c r="GO144">
        <f t="shared" si="197"/>
        <v>0</v>
      </c>
      <c r="GP144">
        <f t="shared" si="198"/>
        <v>0</v>
      </c>
      <c r="GR144">
        <v>0</v>
      </c>
      <c r="GS144">
        <v>3</v>
      </c>
      <c r="GT144">
        <v>0</v>
      </c>
      <c r="GU144" t="s">
        <v>3</v>
      </c>
      <c r="GV144">
        <f t="shared" si="199"/>
        <v>0</v>
      </c>
      <c r="GW144">
        <v>1</v>
      </c>
      <c r="GX144">
        <f t="shared" si="200"/>
        <v>0</v>
      </c>
      <c r="HA144">
        <v>0</v>
      </c>
      <c r="HB144">
        <v>0</v>
      </c>
      <c r="HC144">
        <f t="shared" si="201"/>
        <v>0</v>
      </c>
      <c r="HE144" t="s">
        <v>3</v>
      </c>
      <c r="HF144" t="s">
        <v>3</v>
      </c>
      <c r="HM144" t="s">
        <v>3</v>
      </c>
      <c r="HN144" t="s">
        <v>395</v>
      </c>
      <c r="HO144" t="s">
        <v>396</v>
      </c>
      <c r="HP144" t="s">
        <v>392</v>
      </c>
      <c r="HQ144" t="s">
        <v>392</v>
      </c>
      <c r="IK144">
        <v>0</v>
      </c>
    </row>
    <row r="145" spans="1:245" x14ac:dyDescent="0.2">
      <c r="A145">
        <v>17</v>
      </c>
      <c r="B145">
        <v>1</v>
      </c>
      <c r="E145" t="s">
        <v>397</v>
      </c>
      <c r="F145" t="s">
        <v>29</v>
      </c>
      <c r="G145" t="s">
        <v>398</v>
      </c>
      <c r="H145" t="s">
        <v>191</v>
      </c>
      <c r="I145">
        <f>ROUND(I144*98.5,9)</f>
        <v>571.29999999999995</v>
      </c>
      <c r="J145">
        <v>0</v>
      </c>
      <c r="K145">
        <f>ROUND(I144*98.5,9)</f>
        <v>571.29999999999995</v>
      </c>
      <c r="O145">
        <f t="shared" si="166"/>
        <v>219958.5</v>
      </c>
      <c r="P145">
        <f t="shared" si="167"/>
        <v>219958.5</v>
      </c>
      <c r="Q145">
        <f t="shared" si="168"/>
        <v>0</v>
      </c>
      <c r="R145">
        <f t="shared" si="169"/>
        <v>0</v>
      </c>
      <c r="S145">
        <f t="shared" si="170"/>
        <v>0</v>
      </c>
      <c r="T145">
        <f t="shared" si="171"/>
        <v>0</v>
      </c>
      <c r="U145">
        <f t="shared" si="172"/>
        <v>0</v>
      </c>
      <c r="V145">
        <f t="shared" si="173"/>
        <v>0</v>
      </c>
      <c r="W145">
        <f t="shared" si="174"/>
        <v>0</v>
      </c>
      <c r="X145">
        <f t="shared" si="175"/>
        <v>0</v>
      </c>
      <c r="Y145">
        <f t="shared" si="176"/>
        <v>0</v>
      </c>
      <c r="AA145">
        <v>145026783</v>
      </c>
      <c r="AB145">
        <f t="shared" si="177"/>
        <v>43.26</v>
      </c>
      <c r="AC145">
        <f t="shared" si="178"/>
        <v>43.26</v>
      </c>
      <c r="AD145">
        <f t="shared" ref="AD145:AD151" si="202">ROUND((((ET145)-(EU145))+AE145),2)</f>
        <v>0</v>
      </c>
      <c r="AE145">
        <f t="shared" ref="AE145:AF151" si="203">ROUND((EU145),2)</f>
        <v>0</v>
      </c>
      <c r="AF145">
        <f t="shared" si="203"/>
        <v>0</v>
      </c>
      <c r="AG145">
        <f t="shared" si="180"/>
        <v>0</v>
      </c>
      <c r="AH145">
        <f t="shared" ref="AH145:AI151" si="204">(EW145)</f>
        <v>0</v>
      </c>
      <c r="AI145">
        <f t="shared" si="204"/>
        <v>0</v>
      </c>
      <c r="AJ145">
        <f t="shared" si="182"/>
        <v>0</v>
      </c>
      <c r="AK145">
        <v>43.260000000000005</v>
      </c>
      <c r="AL145">
        <v>43.260000000000005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1</v>
      </c>
      <c r="AW145">
        <v>1</v>
      </c>
      <c r="AZ145">
        <v>1</v>
      </c>
      <c r="BA145">
        <v>1</v>
      </c>
      <c r="BB145">
        <v>1</v>
      </c>
      <c r="BC145">
        <v>8.9</v>
      </c>
      <c r="BD145" t="s">
        <v>3</v>
      </c>
      <c r="BE145" t="s">
        <v>3</v>
      </c>
      <c r="BF145" t="s">
        <v>3</v>
      </c>
      <c r="BG145" t="s">
        <v>3</v>
      </c>
      <c r="BH145">
        <v>3</v>
      </c>
      <c r="BI145">
        <v>1</v>
      </c>
      <c r="BJ145" t="s">
        <v>3</v>
      </c>
      <c r="BM145">
        <v>1100</v>
      </c>
      <c r="BN145">
        <v>0</v>
      </c>
      <c r="BO145" t="s">
        <v>3</v>
      </c>
      <c r="BP145">
        <v>0</v>
      </c>
      <c r="BQ145">
        <v>8</v>
      </c>
      <c r="BR145">
        <v>0</v>
      </c>
      <c r="BS145">
        <v>1</v>
      </c>
      <c r="BT145">
        <v>1</v>
      </c>
      <c r="BU145">
        <v>1</v>
      </c>
      <c r="BV145">
        <v>1</v>
      </c>
      <c r="BW145">
        <v>1</v>
      </c>
      <c r="BX145">
        <v>1</v>
      </c>
      <c r="BY145" t="s">
        <v>3</v>
      </c>
      <c r="BZ145">
        <v>0</v>
      </c>
      <c r="CA145">
        <v>0</v>
      </c>
      <c r="CB145" t="s">
        <v>3</v>
      </c>
      <c r="CE145">
        <v>0</v>
      </c>
      <c r="CF145">
        <v>0</v>
      </c>
      <c r="CG145">
        <v>0</v>
      </c>
      <c r="CM145">
        <v>0</v>
      </c>
      <c r="CN145" t="s">
        <v>3</v>
      </c>
      <c r="CO145">
        <v>0</v>
      </c>
      <c r="CP145">
        <f t="shared" si="183"/>
        <v>219958.5</v>
      </c>
      <c r="CQ145">
        <f t="shared" si="184"/>
        <v>385.01400000000001</v>
      </c>
      <c r="CR145">
        <f t="shared" ref="CR145:CR151" si="205">(((ET145)*BB145-(EU145)*BS145)+AE145*BS145)</f>
        <v>0</v>
      </c>
      <c r="CS145">
        <f t="shared" si="185"/>
        <v>0</v>
      </c>
      <c r="CT145">
        <f t="shared" si="186"/>
        <v>0</v>
      </c>
      <c r="CU145">
        <f t="shared" si="187"/>
        <v>0</v>
      </c>
      <c r="CV145">
        <f t="shared" si="188"/>
        <v>0</v>
      </c>
      <c r="CW145">
        <f t="shared" si="189"/>
        <v>0</v>
      </c>
      <c r="CX145">
        <f t="shared" si="190"/>
        <v>0</v>
      </c>
      <c r="CY145">
        <f t="shared" si="191"/>
        <v>0</v>
      </c>
      <c r="CZ145">
        <f t="shared" si="192"/>
        <v>0</v>
      </c>
      <c r="DC145" t="s">
        <v>3</v>
      </c>
      <c r="DD145" t="s">
        <v>3</v>
      </c>
      <c r="DE145" t="s">
        <v>3</v>
      </c>
      <c r="DF145" t="s">
        <v>3</v>
      </c>
      <c r="DG145" t="s">
        <v>3</v>
      </c>
      <c r="DH145" t="s">
        <v>3</v>
      </c>
      <c r="DI145" t="s">
        <v>3</v>
      </c>
      <c r="DJ145" t="s">
        <v>3</v>
      </c>
      <c r="DK145" t="s">
        <v>3</v>
      </c>
      <c r="DL145" t="s">
        <v>3</v>
      </c>
      <c r="DM145" t="s">
        <v>3</v>
      </c>
      <c r="DN145">
        <v>0</v>
      </c>
      <c r="DO145">
        <v>0</v>
      </c>
      <c r="DP145">
        <v>1</v>
      </c>
      <c r="DQ145">
        <v>1</v>
      </c>
      <c r="DU145">
        <v>1003</v>
      </c>
      <c r="DV145" t="s">
        <v>191</v>
      </c>
      <c r="DW145" t="s">
        <v>191</v>
      </c>
      <c r="DX145">
        <v>1</v>
      </c>
      <c r="DZ145" t="s">
        <v>3</v>
      </c>
      <c r="EA145" t="s">
        <v>3</v>
      </c>
      <c r="EB145" t="s">
        <v>3</v>
      </c>
      <c r="EC145" t="s">
        <v>3</v>
      </c>
      <c r="EE145">
        <v>140625274</v>
      </c>
      <c r="EF145">
        <v>8</v>
      </c>
      <c r="EG145" t="s">
        <v>32</v>
      </c>
      <c r="EH145">
        <v>0</v>
      </c>
      <c r="EI145" t="s">
        <v>3</v>
      </c>
      <c r="EJ145">
        <v>1</v>
      </c>
      <c r="EK145">
        <v>1100</v>
      </c>
      <c r="EL145" t="s">
        <v>33</v>
      </c>
      <c r="EM145" t="s">
        <v>34</v>
      </c>
      <c r="EO145" t="s">
        <v>3</v>
      </c>
      <c r="EQ145">
        <v>0</v>
      </c>
      <c r="ER145">
        <v>43.260000000000005</v>
      </c>
      <c r="ES145">
        <v>43.260000000000005</v>
      </c>
      <c r="ET145">
        <v>0</v>
      </c>
      <c r="EU145">
        <v>0</v>
      </c>
      <c r="EV145">
        <v>0</v>
      </c>
      <c r="EW145">
        <v>0</v>
      </c>
      <c r="EX145">
        <v>0</v>
      </c>
      <c r="EY145">
        <v>0</v>
      </c>
      <c r="EZ145">
        <v>5</v>
      </c>
      <c r="FC145">
        <v>1</v>
      </c>
      <c r="FD145">
        <v>18</v>
      </c>
      <c r="FF145">
        <v>431.4</v>
      </c>
      <c r="FQ145">
        <v>0</v>
      </c>
      <c r="FR145">
        <f t="shared" si="193"/>
        <v>0</v>
      </c>
      <c r="FS145">
        <v>0</v>
      </c>
      <c r="FX145">
        <v>0</v>
      </c>
      <c r="FY145">
        <v>0</v>
      </c>
      <c r="GA145" t="s">
        <v>399</v>
      </c>
      <c r="GD145">
        <v>1</v>
      </c>
      <c r="GF145">
        <v>-338493828</v>
      </c>
      <c r="GG145">
        <v>2</v>
      </c>
      <c r="GH145">
        <v>3</v>
      </c>
      <c r="GI145">
        <v>4</v>
      </c>
      <c r="GJ145">
        <v>0</v>
      </c>
      <c r="GK145">
        <v>0</v>
      </c>
      <c r="GL145">
        <f t="shared" si="194"/>
        <v>0</v>
      </c>
      <c r="GM145">
        <f t="shared" si="195"/>
        <v>219958.5</v>
      </c>
      <c r="GN145">
        <f t="shared" si="196"/>
        <v>219958.5</v>
      </c>
      <c r="GO145">
        <f t="shared" si="197"/>
        <v>0</v>
      </c>
      <c r="GP145">
        <f t="shared" si="198"/>
        <v>0</v>
      </c>
      <c r="GR145">
        <v>1</v>
      </c>
      <c r="GS145">
        <v>1</v>
      </c>
      <c r="GT145">
        <v>0</v>
      </c>
      <c r="GU145" t="s">
        <v>3</v>
      </c>
      <c r="GV145">
        <f t="shared" si="199"/>
        <v>0</v>
      </c>
      <c r="GW145">
        <v>1</v>
      </c>
      <c r="GX145">
        <f t="shared" si="200"/>
        <v>0</v>
      </c>
      <c r="HA145">
        <v>0</v>
      </c>
      <c r="HB145">
        <v>0</v>
      </c>
      <c r="HC145">
        <f t="shared" si="201"/>
        <v>0</v>
      </c>
      <c r="HE145" t="s">
        <v>36</v>
      </c>
      <c r="HF145" t="s">
        <v>28</v>
      </c>
      <c r="HM145" t="s">
        <v>3</v>
      </c>
      <c r="HN145" t="s">
        <v>3</v>
      </c>
      <c r="HO145" t="s">
        <v>3</v>
      </c>
      <c r="HP145" t="s">
        <v>3</v>
      </c>
      <c r="HQ145" t="s">
        <v>3</v>
      </c>
      <c r="IK145">
        <v>0</v>
      </c>
    </row>
    <row r="146" spans="1:245" x14ac:dyDescent="0.2">
      <c r="A146">
        <v>17</v>
      </c>
      <c r="B146">
        <v>1</v>
      </c>
      <c r="E146" t="s">
        <v>400</v>
      </c>
      <c r="F146" t="s">
        <v>29</v>
      </c>
      <c r="G146" t="s">
        <v>401</v>
      </c>
      <c r="H146" t="s">
        <v>31</v>
      </c>
      <c r="I146">
        <v>98</v>
      </c>
      <c r="J146">
        <v>0</v>
      </c>
      <c r="K146">
        <v>98</v>
      </c>
      <c r="O146">
        <f t="shared" si="166"/>
        <v>7875.97</v>
      </c>
      <c r="P146">
        <f t="shared" si="167"/>
        <v>7875.97</v>
      </c>
      <c r="Q146">
        <f t="shared" si="168"/>
        <v>0</v>
      </c>
      <c r="R146">
        <f t="shared" si="169"/>
        <v>0</v>
      </c>
      <c r="S146">
        <f t="shared" si="170"/>
        <v>0</v>
      </c>
      <c r="T146">
        <f t="shared" si="171"/>
        <v>0</v>
      </c>
      <c r="U146">
        <f t="shared" si="172"/>
        <v>0</v>
      </c>
      <c r="V146">
        <f t="shared" si="173"/>
        <v>0</v>
      </c>
      <c r="W146">
        <f t="shared" si="174"/>
        <v>0</v>
      </c>
      <c r="X146">
        <f t="shared" si="175"/>
        <v>0</v>
      </c>
      <c r="Y146">
        <f t="shared" si="176"/>
        <v>0</v>
      </c>
      <c r="AA146">
        <v>145026783</v>
      </c>
      <c r="AB146">
        <f t="shared" si="177"/>
        <v>9.0299999999999994</v>
      </c>
      <c r="AC146">
        <f t="shared" si="178"/>
        <v>9.0299999999999994</v>
      </c>
      <c r="AD146">
        <f t="shared" si="202"/>
        <v>0</v>
      </c>
      <c r="AE146">
        <f t="shared" si="203"/>
        <v>0</v>
      </c>
      <c r="AF146">
        <f t="shared" si="203"/>
        <v>0</v>
      </c>
      <c r="AG146">
        <f t="shared" si="180"/>
        <v>0</v>
      </c>
      <c r="AH146">
        <f t="shared" si="204"/>
        <v>0</v>
      </c>
      <c r="AI146">
        <f t="shared" si="204"/>
        <v>0</v>
      </c>
      <c r="AJ146">
        <f t="shared" si="182"/>
        <v>0</v>
      </c>
      <c r="AK146">
        <v>9.0299999999999994</v>
      </c>
      <c r="AL146">
        <v>9.0299999999999994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1</v>
      </c>
      <c r="AW146">
        <v>1</v>
      </c>
      <c r="AZ146">
        <v>1</v>
      </c>
      <c r="BA146">
        <v>1</v>
      </c>
      <c r="BB146">
        <v>1</v>
      </c>
      <c r="BC146">
        <v>8.9</v>
      </c>
      <c r="BD146" t="s">
        <v>3</v>
      </c>
      <c r="BE146" t="s">
        <v>3</v>
      </c>
      <c r="BF146" t="s">
        <v>3</v>
      </c>
      <c r="BG146" t="s">
        <v>3</v>
      </c>
      <c r="BH146">
        <v>3</v>
      </c>
      <c r="BI146">
        <v>1</v>
      </c>
      <c r="BJ146" t="s">
        <v>3</v>
      </c>
      <c r="BM146">
        <v>1100</v>
      </c>
      <c r="BN146">
        <v>0</v>
      </c>
      <c r="BO146" t="s">
        <v>3</v>
      </c>
      <c r="BP146">
        <v>0</v>
      </c>
      <c r="BQ146">
        <v>8</v>
      </c>
      <c r="BR146">
        <v>0</v>
      </c>
      <c r="BS146">
        <v>1</v>
      </c>
      <c r="BT146">
        <v>1</v>
      </c>
      <c r="BU146">
        <v>1</v>
      </c>
      <c r="BV146">
        <v>1</v>
      </c>
      <c r="BW146">
        <v>1</v>
      </c>
      <c r="BX146">
        <v>1</v>
      </c>
      <c r="BY146" t="s">
        <v>3</v>
      </c>
      <c r="BZ146">
        <v>0</v>
      </c>
      <c r="CA146">
        <v>0</v>
      </c>
      <c r="CB146" t="s">
        <v>3</v>
      </c>
      <c r="CE146">
        <v>0</v>
      </c>
      <c r="CF146">
        <v>0</v>
      </c>
      <c r="CG146">
        <v>0</v>
      </c>
      <c r="CM146">
        <v>0</v>
      </c>
      <c r="CN146" t="s">
        <v>3</v>
      </c>
      <c r="CO146">
        <v>0</v>
      </c>
      <c r="CP146">
        <f t="shared" si="183"/>
        <v>7875.97</v>
      </c>
      <c r="CQ146">
        <f t="shared" si="184"/>
        <v>80.367000000000004</v>
      </c>
      <c r="CR146">
        <f t="shared" si="205"/>
        <v>0</v>
      </c>
      <c r="CS146">
        <f t="shared" si="185"/>
        <v>0</v>
      </c>
      <c r="CT146">
        <f t="shared" si="186"/>
        <v>0</v>
      </c>
      <c r="CU146">
        <f t="shared" si="187"/>
        <v>0</v>
      </c>
      <c r="CV146">
        <f t="shared" si="188"/>
        <v>0</v>
      </c>
      <c r="CW146">
        <f t="shared" si="189"/>
        <v>0</v>
      </c>
      <c r="CX146">
        <f t="shared" si="190"/>
        <v>0</v>
      </c>
      <c r="CY146">
        <f t="shared" si="191"/>
        <v>0</v>
      </c>
      <c r="CZ146">
        <f t="shared" si="192"/>
        <v>0</v>
      </c>
      <c r="DC146" t="s">
        <v>3</v>
      </c>
      <c r="DD146" t="s">
        <v>3</v>
      </c>
      <c r="DE146" t="s">
        <v>3</v>
      </c>
      <c r="DF146" t="s">
        <v>3</v>
      </c>
      <c r="DG146" t="s">
        <v>3</v>
      </c>
      <c r="DH146" t="s">
        <v>3</v>
      </c>
      <c r="DI146" t="s">
        <v>3</v>
      </c>
      <c r="DJ146" t="s">
        <v>3</v>
      </c>
      <c r="DK146" t="s">
        <v>3</v>
      </c>
      <c r="DL146" t="s">
        <v>3</v>
      </c>
      <c r="DM146" t="s">
        <v>3</v>
      </c>
      <c r="DN146">
        <v>0</v>
      </c>
      <c r="DO146">
        <v>0</v>
      </c>
      <c r="DP146">
        <v>1</v>
      </c>
      <c r="DQ146">
        <v>1</v>
      </c>
      <c r="DU146">
        <v>1010</v>
      </c>
      <c r="DV146" t="s">
        <v>31</v>
      </c>
      <c r="DW146" t="s">
        <v>31</v>
      </c>
      <c r="DX146">
        <v>1</v>
      </c>
      <c r="DZ146" t="s">
        <v>3</v>
      </c>
      <c r="EA146" t="s">
        <v>3</v>
      </c>
      <c r="EB146" t="s">
        <v>3</v>
      </c>
      <c r="EC146" t="s">
        <v>3</v>
      </c>
      <c r="EE146">
        <v>140625274</v>
      </c>
      <c r="EF146">
        <v>8</v>
      </c>
      <c r="EG146" t="s">
        <v>32</v>
      </c>
      <c r="EH146">
        <v>0</v>
      </c>
      <c r="EI146" t="s">
        <v>3</v>
      </c>
      <c r="EJ146">
        <v>1</v>
      </c>
      <c r="EK146">
        <v>1100</v>
      </c>
      <c r="EL146" t="s">
        <v>33</v>
      </c>
      <c r="EM146" t="s">
        <v>34</v>
      </c>
      <c r="EO146" t="s">
        <v>3</v>
      </c>
      <c r="EQ146">
        <v>0</v>
      </c>
      <c r="ER146">
        <v>9.0299999999999994</v>
      </c>
      <c r="ES146">
        <v>9.0299999999999994</v>
      </c>
      <c r="ET146">
        <v>0</v>
      </c>
      <c r="EU146">
        <v>0</v>
      </c>
      <c r="EV146">
        <v>0</v>
      </c>
      <c r="EW146">
        <v>0</v>
      </c>
      <c r="EX146">
        <v>0</v>
      </c>
      <c r="EY146">
        <v>0</v>
      </c>
      <c r="EZ146">
        <v>5</v>
      </c>
      <c r="FC146">
        <v>1</v>
      </c>
      <c r="FD146">
        <v>18</v>
      </c>
      <c r="FF146">
        <v>90</v>
      </c>
      <c r="FQ146">
        <v>0</v>
      </c>
      <c r="FR146">
        <f t="shared" si="193"/>
        <v>0</v>
      </c>
      <c r="FS146">
        <v>0</v>
      </c>
      <c r="FX146">
        <v>0</v>
      </c>
      <c r="FY146">
        <v>0</v>
      </c>
      <c r="GA146" t="s">
        <v>402</v>
      </c>
      <c r="GD146">
        <v>1</v>
      </c>
      <c r="GF146">
        <v>-1376738039</v>
      </c>
      <c r="GG146">
        <v>2</v>
      </c>
      <c r="GH146">
        <v>3</v>
      </c>
      <c r="GI146">
        <v>4</v>
      </c>
      <c r="GJ146">
        <v>0</v>
      </c>
      <c r="GK146">
        <v>0</v>
      </c>
      <c r="GL146">
        <f t="shared" si="194"/>
        <v>0</v>
      </c>
      <c r="GM146">
        <f t="shared" si="195"/>
        <v>7875.97</v>
      </c>
      <c r="GN146">
        <f t="shared" si="196"/>
        <v>7875.97</v>
      </c>
      <c r="GO146">
        <f t="shared" si="197"/>
        <v>0</v>
      </c>
      <c r="GP146">
        <f t="shared" si="198"/>
        <v>0</v>
      </c>
      <c r="GR146">
        <v>1</v>
      </c>
      <c r="GS146">
        <v>1</v>
      </c>
      <c r="GT146">
        <v>0</v>
      </c>
      <c r="GU146" t="s">
        <v>3</v>
      </c>
      <c r="GV146">
        <f t="shared" si="199"/>
        <v>0</v>
      </c>
      <c r="GW146">
        <v>1</v>
      </c>
      <c r="GX146">
        <f t="shared" si="200"/>
        <v>0</v>
      </c>
      <c r="HA146">
        <v>0</v>
      </c>
      <c r="HB146">
        <v>0</v>
      </c>
      <c r="HC146">
        <f t="shared" si="201"/>
        <v>0</v>
      </c>
      <c r="HE146" t="s">
        <v>36</v>
      </c>
      <c r="HF146" t="s">
        <v>28</v>
      </c>
      <c r="HM146" t="s">
        <v>3</v>
      </c>
      <c r="HN146" t="s">
        <v>3</v>
      </c>
      <c r="HO146" t="s">
        <v>3</v>
      </c>
      <c r="HP146" t="s">
        <v>3</v>
      </c>
      <c r="HQ146" t="s">
        <v>3</v>
      </c>
      <c r="IK146">
        <v>0</v>
      </c>
    </row>
    <row r="147" spans="1:245" x14ac:dyDescent="0.2">
      <c r="A147">
        <v>17</v>
      </c>
      <c r="B147">
        <v>1</v>
      </c>
      <c r="E147" t="s">
        <v>403</v>
      </c>
      <c r="F147" t="s">
        <v>29</v>
      </c>
      <c r="G147" t="s">
        <v>404</v>
      </c>
      <c r="H147" t="s">
        <v>31</v>
      </c>
      <c r="I147">
        <v>50</v>
      </c>
      <c r="J147">
        <v>0</v>
      </c>
      <c r="K147">
        <v>50</v>
      </c>
      <c r="O147">
        <f t="shared" si="166"/>
        <v>3034.9</v>
      </c>
      <c r="P147">
        <f t="shared" si="167"/>
        <v>3034.9</v>
      </c>
      <c r="Q147">
        <f t="shared" si="168"/>
        <v>0</v>
      </c>
      <c r="R147">
        <f t="shared" si="169"/>
        <v>0</v>
      </c>
      <c r="S147">
        <f t="shared" si="170"/>
        <v>0</v>
      </c>
      <c r="T147">
        <f t="shared" si="171"/>
        <v>0</v>
      </c>
      <c r="U147">
        <f t="shared" si="172"/>
        <v>0</v>
      </c>
      <c r="V147">
        <f t="shared" si="173"/>
        <v>0</v>
      </c>
      <c r="W147">
        <f t="shared" si="174"/>
        <v>0</v>
      </c>
      <c r="X147">
        <f t="shared" si="175"/>
        <v>0</v>
      </c>
      <c r="Y147">
        <f t="shared" si="176"/>
        <v>0</v>
      </c>
      <c r="AA147">
        <v>145026783</v>
      </c>
      <c r="AB147">
        <f t="shared" si="177"/>
        <v>6.82</v>
      </c>
      <c r="AC147">
        <f t="shared" si="178"/>
        <v>6.82</v>
      </c>
      <c r="AD147">
        <f t="shared" si="202"/>
        <v>0</v>
      </c>
      <c r="AE147">
        <f t="shared" si="203"/>
        <v>0</v>
      </c>
      <c r="AF147">
        <f t="shared" si="203"/>
        <v>0</v>
      </c>
      <c r="AG147">
        <f t="shared" si="180"/>
        <v>0</v>
      </c>
      <c r="AH147">
        <f t="shared" si="204"/>
        <v>0</v>
      </c>
      <c r="AI147">
        <f t="shared" si="204"/>
        <v>0</v>
      </c>
      <c r="AJ147">
        <f t="shared" si="182"/>
        <v>0</v>
      </c>
      <c r="AK147">
        <v>6.82</v>
      </c>
      <c r="AL147">
        <v>6.82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1</v>
      </c>
      <c r="AW147">
        <v>1</v>
      </c>
      <c r="AZ147">
        <v>1</v>
      </c>
      <c r="BA147">
        <v>1</v>
      </c>
      <c r="BB147">
        <v>1</v>
      </c>
      <c r="BC147">
        <v>8.9</v>
      </c>
      <c r="BD147" t="s">
        <v>3</v>
      </c>
      <c r="BE147" t="s">
        <v>3</v>
      </c>
      <c r="BF147" t="s">
        <v>3</v>
      </c>
      <c r="BG147" t="s">
        <v>3</v>
      </c>
      <c r="BH147">
        <v>3</v>
      </c>
      <c r="BI147">
        <v>1</v>
      </c>
      <c r="BJ147" t="s">
        <v>3</v>
      </c>
      <c r="BM147">
        <v>1100</v>
      </c>
      <c r="BN147">
        <v>0</v>
      </c>
      <c r="BO147" t="s">
        <v>3</v>
      </c>
      <c r="BP147">
        <v>0</v>
      </c>
      <c r="BQ147">
        <v>8</v>
      </c>
      <c r="BR147">
        <v>0</v>
      </c>
      <c r="BS147">
        <v>1</v>
      </c>
      <c r="BT147">
        <v>1</v>
      </c>
      <c r="BU147">
        <v>1</v>
      </c>
      <c r="BV147">
        <v>1</v>
      </c>
      <c r="BW147">
        <v>1</v>
      </c>
      <c r="BX147">
        <v>1</v>
      </c>
      <c r="BY147" t="s">
        <v>3</v>
      </c>
      <c r="BZ147">
        <v>0</v>
      </c>
      <c r="CA147">
        <v>0</v>
      </c>
      <c r="CB147" t="s">
        <v>3</v>
      </c>
      <c r="CE147">
        <v>0</v>
      </c>
      <c r="CF147">
        <v>0</v>
      </c>
      <c r="CG147">
        <v>0</v>
      </c>
      <c r="CM147">
        <v>0</v>
      </c>
      <c r="CN147" t="s">
        <v>3</v>
      </c>
      <c r="CO147">
        <v>0</v>
      </c>
      <c r="CP147">
        <f t="shared" si="183"/>
        <v>3034.9</v>
      </c>
      <c r="CQ147">
        <f t="shared" si="184"/>
        <v>60.698000000000008</v>
      </c>
      <c r="CR147">
        <f t="shared" si="205"/>
        <v>0</v>
      </c>
      <c r="CS147">
        <f t="shared" si="185"/>
        <v>0</v>
      </c>
      <c r="CT147">
        <f t="shared" si="186"/>
        <v>0</v>
      </c>
      <c r="CU147">
        <f t="shared" si="187"/>
        <v>0</v>
      </c>
      <c r="CV147">
        <f t="shared" si="188"/>
        <v>0</v>
      </c>
      <c r="CW147">
        <f t="shared" si="189"/>
        <v>0</v>
      </c>
      <c r="CX147">
        <f t="shared" si="190"/>
        <v>0</v>
      </c>
      <c r="CY147">
        <f t="shared" si="191"/>
        <v>0</v>
      </c>
      <c r="CZ147">
        <f t="shared" si="192"/>
        <v>0</v>
      </c>
      <c r="DC147" t="s">
        <v>3</v>
      </c>
      <c r="DD147" t="s">
        <v>3</v>
      </c>
      <c r="DE147" t="s">
        <v>3</v>
      </c>
      <c r="DF147" t="s">
        <v>3</v>
      </c>
      <c r="DG147" t="s">
        <v>3</v>
      </c>
      <c r="DH147" t="s">
        <v>3</v>
      </c>
      <c r="DI147" t="s">
        <v>3</v>
      </c>
      <c r="DJ147" t="s">
        <v>3</v>
      </c>
      <c r="DK147" t="s">
        <v>3</v>
      </c>
      <c r="DL147" t="s">
        <v>3</v>
      </c>
      <c r="DM147" t="s">
        <v>3</v>
      </c>
      <c r="DN147">
        <v>0</v>
      </c>
      <c r="DO147">
        <v>0</v>
      </c>
      <c r="DP147">
        <v>1</v>
      </c>
      <c r="DQ147">
        <v>1</v>
      </c>
      <c r="DU147">
        <v>1010</v>
      </c>
      <c r="DV147" t="s">
        <v>31</v>
      </c>
      <c r="DW147" t="s">
        <v>31</v>
      </c>
      <c r="DX147">
        <v>1</v>
      </c>
      <c r="DZ147" t="s">
        <v>3</v>
      </c>
      <c r="EA147" t="s">
        <v>3</v>
      </c>
      <c r="EB147" t="s">
        <v>3</v>
      </c>
      <c r="EC147" t="s">
        <v>3</v>
      </c>
      <c r="EE147">
        <v>140625274</v>
      </c>
      <c r="EF147">
        <v>8</v>
      </c>
      <c r="EG147" t="s">
        <v>32</v>
      </c>
      <c r="EH147">
        <v>0</v>
      </c>
      <c r="EI147" t="s">
        <v>3</v>
      </c>
      <c r="EJ147">
        <v>1</v>
      </c>
      <c r="EK147">
        <v>1100</v>
      </c>
      <c r="EL147" t="s">
        <v>33</v>
      </c>
      <c r="EM147" t="s">
        <v>34</v>
      </c>
      <c r="EO147" t="s">
        <v>3</v>
      </c>
      <c r="EQ147">
        <v>0</v>
      </c>
      <c r="ER147">
        <v>6.82</v>
      </c>
      <c r="ES147">
        <v>6.82</v>
      </c>
      <c r="ET147">
        <v>0</v>
      </c>
      <c r="EU147">
        <v>0</v>
      </c>
      <c r="EV147">
        <v>0</v>
      </c>
      <c r="EW147">
        <v>0</v>
      </c>
      <c r="EX147">
        <v>0</v>
      </c>
      <c r="EY147">
        <v>0</v>
      </c>
      <c r="EZ147">
        <v>5</v>
      </c>
      <c r="FC147">
        <v>1</v>
      </c>
      <c r="FD147">
        <v>18</v>
      </c>
      <c r="FF147">
        <v>68</v>
      </c>
      <c r="FQ147">
        <v>0</v>
      </c>
      <c r="FR147">
        <f t="shared" si="193"/>
        <v>0</v>
      </c>
      <c r="FS147">
        <v>0</v>
      </c>
      <c r="FX147">
        <v>0</v>
      </c>
      <c r="FY147">
        <v>0</v>
      </c>
      <c r="GA147" t="s">
        <v>405</v>
      </c>
      <c r="GD147">
        <v>1</v>
      </c>
      <c r="GF147">
        <v>-1092613572</v>
      </c>
      <c r="GG147">
        <v>2</v>
      </c>
      <c r="GH147">
        <v>3</v>
      </c>
      <c r="GI147">
        <v>4</v>
      </c>
      <c r="GJ147">
        <v>0</v>
      </c>
      <c r="GK147">
        <v>0</v>
      </c>
      <c r="GL147">
        <f t="shared" si="194"/>
        <v>0</v>
      </c>
      <c r="GM147">
        <f t="shared" si="195"/>
        <v>3034.9</v>
      </c>
      <c r="GN147">
        <f t="shared" si="196"/>
        <v>3034.9</v>
      </c>
      <c r="GO147">
        <f t="shared" si="197"/>
        <v>0</v>
      </c>
      <c r="GP147">
        <f t="shared" si="198"/>
        <v>0</v>
      </c>
      <c r="GR147">
        <v>1</v>
      </c>
      <c r="GS147">
        <v>1</v>
      </c>
      <c r="GT147">
        <v>0</v>
      </c>
      <c r="GU147" t="s">
        <v>3</v>
      </c>
      <c r="GV147">
        <f t="shared" si="199"/>
        <v>0</v>
      </c>
      <c r="GW147">
        <v>1</v>
      </c>
      <c r="GX147">
        <f t="shared" si="200"/>
        <v>0</v>
      </c>
      <c r="HA147">
        <v>0</v>
      </c>
      <c r="HB147">
        <v>0</v>
      </c>
      <c r="HC147">
        <f t="shared" si="201"/>
        <v>0</v>
      </c>
      <c r="HE147" t="s">
        <v>36</v>
      </c>
      <c r="HF147" t="s">
        <v>28</v>
      </c>
      <c r="HM147" t="s">
        <v>3</v>
      </c>
      <c r="HN147" t="s">
        <v>3</v>
      </c>
      <c r="HO147" t="s">
        <v>3</v>
      </c>
      <c r="HP147" t="s">
        <v>3</v>
      </c>
      <c r="HQ147" t="s">
        <v>3</v>
      </c>
      <c r="IK147">
        <v>0</v>
      </c>
    </row>
    <row r="148" spans="1:245" x14ac:dyDescent="0.2">
      <c r="A148">
        <v>17</v>
      </c>
      <c r="B148">
        <v>1</v>
      </c>
      <c r="E148" t="s">
        <v>406</v>
      </c>
      <c r="F148" t="s">
        <v>29</v>
      </c>
      <c r="G148" t="s">
        <v>407</v>
      </c>
      <c r="H148" t="s">
        <v>31</v>
      </c>
      <c r="I148">
        <v>56</v>
      </c>
      <c r="J148">
        <v>0</v>
      </c>
      <c r="K148">
        <v>56</v>
      </c>
      <c r="O148">
        <f t="shared" si="166"/>
        <v>18405.91</v>
      </c>
      <c r="P148">
        <f t="shared" si="167"/>
        <v>18405.91</v>
      </c>
      <c r="Q148">
        <f t="shared" si="168"/>
        <v>0</v>
      </c>
      <c r="R148">
        <f t="shared" si="169"/>
        <v>0</v>
      </c>
      <c r="S148">
        <f t="shared" si="170"/>
        <v>0</v>
      </c>
      <c r="T148">
        <f t="shared" si="171"/>
        <v>0</v>
      </c>
      <c r="U148">
        <f t="shared" si="172"/>
        <v>0</v>
      </c>
      <c r="V148">
        <f t="shared" si="173"/>
        <v>0</v>
      </c>
      <c r="W148">
        <f t="shared" si="174"/>
        <v>0</v>
      </c>
      <c r="X148">
        <f t="shared" si="175"/>
        <v>0</v>
      </c>
      <c r="Y148">
        <f t="shared" si="176"/>
        <v>0</v>
      </c>
      <c r="AA148">
        <v>145026783</v>
      </c>
      <c r="AB148">
        <f t="shared" si="177"/>
        <v>36.93</v>
      </c>
      <c r="AC148">
        <f t="shared" si="178"/>
        <v>36.93</v>
      </c>
      <c r="AD148">
        <f t="shared" si="202"/>
        <v>0</v>
      </c>
      <c r="AE148">
        <f t="shared" si="203"/>
        <v>0</v>
      </c>
      <c r="AF148">
        <f t="shared" si="203"/>
        <v>0</v>
      </c>
      <c r="AG148">
        <f t="shared" si="180"/>
        <v>0</v>
      </c>
      <c r="AH148">
        <f t="shared" si="204"/>
        <v>0</v>
      </c>
      <c r="AI148">
        <f t="shared" si="204"/>
        <v>0</v>
      </c>
      <c r="AJ148">
        <f t="shared" si="182"/>
        <v>0</v>
      </c>
      <c r="AK148">
        <v>36.93</v>
      </c>
      <c r="AL148">
        <v>36.93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1</v>
      </c>
      <c r="AW148">
        <v>1</v>
      </c>
      <c r="AZ148">
        <v>1</v>
      </c>
      <c r="BA148">
        <v>1</v>
      </c>
      <c r="BB148">
        <v>1</v>
      </c>
      <c r="BC148">
        <v>8.9</v>
      </c>
      <c r="BD148" t="s">
        <v>3</v>
      </c>
      <c r="BE148" t="s">
        <v>3</v>
      </c>
      <c r="BF148" t="s">
        <v>3</v>
      </c>
      <c r="BG148" t="s">
        <v>3</v>
      </c>
      <c r="BH148">
        <v>3</v>
      </c>
      <c r="BI148">
        <v>1</v>
      </c>
      <c r="BJ148" t="s">
        <v>3</v>
      </c>
      <c r="BM148">
        <v>1100</v>
      </c>
      <c r="BN148">
        <v>0</v>
      </c>
      <c r="BO148" t="s">
        <v>3</v>
      </c>
      <c r="BP148">
        <v>0</v>
      </c>
      <c r="BQ148">
        <v>8</v>
      </c>
      <c r="BR148">
        <v>0</v>
      </c>
      <c r="BS148">
        <v>1</v>
      </c>
      <c r="BT148">
        <v>1</v>
      </c>
      <c r="BU148">
        <v>1</v>
      </c>
      <c r="BV148">
        <v>1</v>
      </c>
      <c r="BW148">
        <v>1</v>
      </c>
      <c r="BX148">
        <v>1</v>
      </c>
      <c r="BY148" t="s">
        <v>3</v>
      </c>
      <c r="BZ148">
        <v>0</v>
      </c>
      <c r="CA148">
        <v>0</v>
      </c>
      <c r="CB148" t="s">
        <v>3</v>
      </c>
      <c r="CE148">
        <v>0</v>
      </c>
      <c r="CF148">
        <v>0</v>
      </c>
      <c r="CG148">
        <v>0</v>
      </c>
      <c r="CM148">
        <v>0</v>
      </c>
      <c r="CN148" t="s">
        <v>3</v>
      </c>
      <c r="CO148">
        <v>0</v>
      </c>
      <c r="CP148">
        <f t="shared" si="183"/>
        <v>18405.91</v>
      </c>
      <c r="CQ148">
        <f t="shared" si="184"/>
        <v>328.67700000000002</v>
      </c>
      <c r="CR148">
        <f t="shared" si="205"/>
        <v>0</v>
      </c>
      <c r="CS148">
        <f t="shared" si="185"/>
        <v>0</v>
      </c>
      <c r="CT148">
        <f t="shared" si="186"/>
        <v>0</v>
      </c>
      <c r="CU148">
        <f t="shared" si="187"/>
        <v>0</v>
      </c>
      <c r="CV148">
        <f t="shared" si="188"/>
        <v>0</v>
      </c>
      <c r="CW148">
        <f t="shared" si="189"/>
        <v>0</v>
      </c>
      <c r="CX148">
        <f t="shared" si="190"/>
        <v>0</v>
      </c>
      <c r="CY148">
        <f t="shared" si="191"/>
        <v>0</v>
      </c>
      <c r="CZ148">
        <f t="shared" si="192"/>
        <v>0</v>
      </c>
      <c r="DC148" t="s">
        <v>3</v>
      </c>
      <c r="DD148" t="s">
        <v>3</v>
      </c>
      <c r="DE148" t="s">
        <v>3</v>
      </c>
      <c r="DF148" t="s">
        <v>3</v>
      </c>
      <c r="DG148" t="s">
        <v>3</v>
      </c>
      <c r="DH148" t="s">
        <v>3</v>
      </c>
      <c r="DI148" t="s">
        <v>3</v>
      </c>
      <c r="DJ148" t="s">
        <v>3</v>
      </c>
      <c r="DK148" t="s">
        <v>3</v>
      </c>
      <c r="DL148" t="s">
        <v>3</v>
      </c>
      <c r="DM148" t="s">
        <v>3</v>
      </c>
      <c r="DN148">
        <v>0</v>
      </c>
      <c r="DO148">
        <v>0</v>
      </c>
      <c r="DP148">
        <v>1</v>
      </c>
      <c r="DQ148">
        <v>1</v>
      </c>
      <c r="DU148">
        <v>1010</v>
      </c>
      <c r="DV148" t="s">
        <v>31</v>
      </c>
      <c r="DW148" t="s">
        <v>31</v>
      </c>
      <c r="DX148">
        <v>1</v>
      </c>
      <c r="DZ148" t="s">
        <v>3</v>
      </c>
      <c r="EA148" t="s">
        <v>3</v>
      </c>
      <c r="EB148" t="s">
        <v>3</v>
      </c>
      <c r="EC148" t="s">
        <v>3</v>
      </c>
      <c r="EE148">
        <v>140625274</v>
      </c>
      <c r="EF148">
        <v>8</v>
      </c>
      <c r="EG148" t="s">
        <v>32</v>
      </c>
      <c r="EH148">
        <v>0</v>
      </c>
      <c r="EI148" t="s">
        <v>3</v>
      </c>
      <c r="EJ148">
        <v>1</v>
      </c>
      <c r="EK148">
        <v>1100</v>
      </c>
      <c r="EL148" t="s">
        <v>33</v>
      </c>
      <c r="EM148" t="s">
        <v>34</v>
      </c>
      <c r="EO148" t="s">
        <v>3</v>
      </c>
      <c r="EQ148">
        <v>0</v>
      </c>
      <c r="ER148">
        <v>36.93</v>
      </c>
      <c r="ES148">
        <v>36.93</v>
      </c>
      <c r="ET148">
        <v>0</v>
      </c>
      <c r="EU148">
        <v>0</v>
      </c>
      <c r="EV148">
        <v>0</v>
      </c>
      <c r="EW148">
        <v>0</v>
      </c>
      <c r="EX148">
        <v>0</v>
      </c>
      <c r="EY148">
        <v>0</v>
      </c>
      <c r="EZ148">
        <v>5</v>
      </c>
      <c r="FC148">
        <v>1</v>
      </c>
      <c r="FD148">
        <v>18</v>
      </c>
      <c r="FF148">
        <v>368.4</v>
      </c>
      <c r="FQ148">
        <v>0</v>
      </c>
      <c r="FR148">
        <f t="shared" si="193"/>
        <v>0</v>
      </c>
      <c r="FS148">
        <v>0</v>
      </c>
      <c r="FX148">
        <v>0</v>
      </c>
      <c r="FY148">
        <v>0</v>
      </c>
      <c r="GA148" t="s">
        <v>408</v>
      </c>
      <c r="GD148">
        <v>1</v>
      </c>
      <c r="GF148">
        <v>-1333623</v>
      </c>
      <c r="GG148">
        <v>2</v>
      </c>
      <c r="GH148">
        <v>3</v>
      </c>
      <c r="GI148">
        <v>4</v>
      </c>
      <c r="GJ148">
        <v>0</v>
      </c>
      <c r="GK148">
        <v>0</v>
      </c>
      <c r="GL148">
        <f t="shared" si="194"/>
        <v>0</v>
      </c>
      <c r="GM148">
        <f t="shared" si="195"/>
        <v>18405.91</v>
      </c>
      <c r="GN148">
        <f t="shared" si="196"/>
        <v>18405.91</v>
      </c>
      <c r="GO148">
        <f t="shared" si="197"/>
        <v>0</v>
      </c>
      <c r="GP148">
        <f t="shared" si="198"/>
        <v>0</v>
      </c>
      <c r="GR148">
        <v>1</v>
      </c>
      <c r="GS148">
        <v>1</v>
      </c>
      <c r="GT148">
        <v>0</v>
      </c>
      <c r="GU148" t="s">
        <v>3</v>
      </c>
      <c r="GV148">
        <f t="shared" si="199"/>
        <v>0</v>
      </c>
      <c r="GW148">
        <v>1</v>
      </c>
      <c r="GX148">
        <f t="shared" si="200"/>
        <v>0</v>
      </c>
      <c r="HA148">
        <v>0</v>
      </c>
      <c r="HB148">
        <v>0</v>
      </c>
      <c r="HC148">
        <f t="shared" si="201"/>
        <v>0</v>
      </c>
      <c r="HE148" t="s">
        <v>36</v>
      </c>
      <c r="HF148" t="s">
        <v>28</v>
      </c>
      <c r="HM148" t="s">
        <v>3</v>
      </c>
      <c r="HN148" t="s">
        <v>3</v>
      </c>
      <c r="HO148" t="s">
        <v>3</v>
      </c>
      <c r="HP148" t="s">
        <v>3</v>
      </c>
      <c r="HQ148" t="s">
        <v>3</v>
      </c>
      <c r="IK148">
        <v>0</v>
      </c>
    </row>
    <row r="149" spans="1:245" x14ac:dyDescent="0.2">
      <c r="A149">
        <v>17</v>
      </c>
      <c r="B149">
        <v>1</v>
      </c>
      <c r="E149" t="s">
        <v>409</v>
      </c>
      <c r="F149" t="s">
        <v>29</v>
      </c>
      <c r="G149" t="s">
        <v>410</v>
      </c>
      <c r="H149" t="s">
        <v>31</v>
      </c>
      <c r="I149">
        <v>65</v>
      </c>
      <c r="J149">
        <v>0</v>
      </c>
      <c r="K149">
        <v>65</v>
      </c>
      <c r="O149">
        <f t="shared" si="166"/>
        <v>31094.38</v>
      </c>
      <c r="P149">
        <f t="shared" si="167"/>
        <v>31094.38</v>
      </c>
      <c r="Q149">
        <f t="shared" si="168"/>
        <v>0</v>
      </c>
      <c r="R149">
        <f t="shared" si="169"/>
        <v>0</v>
      </c>
      <c r="S149">
        <f t="shared" si="170"/>
        <v>0</v>
      </c>
      <c r="T149">
        <f t="shared" si="171"/>
        <v>0</v>
      </c>
      <c r="U149">
        <f t="shared" si="172"/>
        <v>0</v>
      </c>
      <c r="V149">
        <f t="shared" si="173"/>
        <v>0</v>
      </c>
      <c r="W149">
        <f t="shared" si="174"/>
        <v>0</v>
      </c>
      <c r="X149">
        <f t="shared" si="175"/>
        <v>0</v>
      </c>
      <c r="Y149">
        <f t="shared" si="176"/>
        <v>0</v>
      </c>
      <c r="AA149">
        <v>145026783</v>
      </c>
      <c r="AB149">
        <f t="shared" si="177"/>
        <v>53.75</v>
      </c>
      <c r="AC149">
        <f t="shared" si="178"/>
        <v>53.75</v>
      </c>
      <c r="AD149">
        <f t="shared" si="202"/>
        <v>0</v>
      </c>
      <c r="AE149">
        <f t="shared" si="203"/>
        <v>0</v>
      </c>
      <c r="AF149">
        <f t="shared" si="203"/>
        <v>0</v>
      </c>
      <c r="AG149">
        <f t="shared" si="180"/>
        <v>0</v>
      </c>
      <c r="AH149">
        <f t="shared" si="204"/>
        <v>0</v>
      </c>
      <c r="AI149">
        <f t="shared" si="204"/>
        <v>0</v>
      </c>
      <c r="AJ149">
        <f t="shared" si="182"/>
        <v>0</v>
      </c>
      <c r="AK149">
        <v>53.749999999999993</v>
      </c>
      <c r="AL149">
        <v>53.749999999999993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1</v>
      </c>
      <c r="AW149">
        <v>1</v>
      </c>
      <c r="AZ149">
        <v>1</v>
      </c>
      <c r="BA149">
        <v>1</v>
      </c>
      <c r="BB149">
        <v>1</v>
      </c>
      <c r="BC149">
        <v>8.9</v>
      </c>
      <c r="BD149" t="s">
        <v>3</v>
      </c>
      <c r="BE149" t="s">
        <v>3</v>
      </c>
      <c r="BF149" t="s">
        <v>3</v>
      </c>
      <c r="BG149" t="s">
        <v>3</v>
      </c>
      <c r="BH149">
        <v>3</v>
      </c>
      <c r="BI149">
        <v>1</v>
      </c>
      <c r="BJ149" t="s">
        <v>3</v>
      </c>
      <c r="BM149">
        <v>1100</v>
      </c>
      <c r="BN149">
        <v>0</v>
      </c>
      <c r="BO149" t="s">
        <v>3</v>
      </c>
      <c r="BP149">
        <v>0</v>
      </c>
      <c r="BQ149">
        <v>8</v>
      </c>
      <c r="BR149">
        <v>0</v>
      </c>
      <c r="BS149">
        <v>1</v>
      </c>
      <c r="BT149">
        <v>1</v>
      </c>
      <c r="BU149">
        <v>1</v>
      </c>
      <c r="BV149">
        <v>1</v>
      </c>
      <c r="BW149">
        <v>1</v>
      </c>
      <c r="BX149">
        <v>1</v>
      </c>
      <c r="BY149" t="s">
        <v>3</v>
      </c>
      <c r="BZ149">
        <v>0</v>
      </c>
      <c r="CA149">
        <v>0</v>
      </c>
      <c r="CB149" t="s">
        <v>3</v>
      </c>
      <c r="CE149">
        <v>0</v>
      </c>
      <c r="CF149">
        <v>0</v>
      </c>
      <c r="CG149">
        <v>0</v>
      </c>
      <c r="CM149">
        <v>0</v>
      </c>
      <c r="CN149" t="s">
        <v>3</v>
      </c>
      <c r="CO149">
        <v>0</v>
      </c>
      <c r="CP149">
        <f t="shared" si="183"/>
        <v>31094.38</v>
      </c>
      <c r="CQ149">
        <f t="shared" si="184"/>
        <v>478.375</v>
      </c>
      <c r="CR149">
        <f t="shared" si="205"/>
        <v>0</v>
      </c>
      <c r="CS149">
        <f t="shared" si="185"/>
        <v>0</v>
      </c>
      <c r="CT149">
        <f t="shared" si="186"/>
        <v>0</v>
      </c>
      <c r="CU149">
        <f t="shared" si="187"/>
        <v>0</v>
      </c>
      <c r="CV149">
        <f t="shared" si="188"/>
        <v>0</v>
      </c>
      <c r="CW149">
        <f t="shared" si="189"/>
        <v>0</v>
      </c>
      <c r="CX149">
        <f t="shared" si="190"/>
        <v>0</v>
      </c>
      <c r="CY149">
        <f t="shared" si="191"/>
        <v>0</v>
      </c>
      <c r="CZ149">
        <f t="shared" si="192"/>
        <v>0</v>
      </c>
      <c r="DC149" t="s">
        <v>3</v>
      </c>
      <c r="DD149" t="s">
        <v>3</v>
      </c>
      <c r="DE149" t="s">
        <v>3</v>
      </c>
      <c r="DF149" t="s">
        <v>3</v>
      </c>
      <c r="DG149" t="s">
        <v>3</v>
      </c>
      <c r="DH149" t="s">
        <v>3</v>
      </c>
      <c r="DI149" t="s">
        <v>3</v>
      </c>
      <c r="DJ149" t="s">
        <v>3</v>
      </c>
      <c r="DK149" t="s">
        <v>3</v>
      </c>
      <c r="DL149" t="s">
        <v>3</v>
      </c>
      <c r="DM149" t="s">
        <v>3</v>
      </c>
      <c r="DN149">
        <v>0</v>
      </c>
      <c r="DO149">
        <v>0</v>
      </c>
      <c r="DP149">
        <v>1</v>
      </c>
      <c r="DQ149">
        <v>1</v>
      </c>
      <c r="DU149">
        <v>1010</v>
      </c>
      <c r="DV149" t="s">
        <v>31</v>
      </c>
      <c r="DW149" t="s">
        <v>31</v>
      </c>
      <c r="DX149">
        <v>1</v>
      </c>
      <c r="DZ149" t="s">
        <v>3</v>
      </c>
      <c r="EA149" t="s">
        <v>3</v>
      </c>
      <c r="EB149" t="s">
        <v>3</v>
      </c>
      <c r="EC149" t="s">
        <v>3</v>
      </c>
      <c r="EE149">
        <v>140625274</v>
      </c>
      <c r="EF149">
        <v>8</v>
      </c>
      <c r="EG149" t="s">
        <v>32</v>
      </c>
      <c r="EH149">
        <v>0</v>
      </c>
      <c r="EI149" t="s">
        <v>3</v>
      </c>
      <c r="EJ149">
        <v>1</v>
      </c>
      <c r="EK149">
        <v>1100</v>
      </c>
      <c r="EL149" t="s">
        <v>33</v>
      </c>
      <c r="EM149" t="s">
        <v>34</v>
      </c>
      <c r="EO149" t="s">
        <v>3</v>
      </c>
      <c r="EQ149">
        <v>0</v>
      </c>
      <c r="ER149">
        <v>53.749999999999993</v>
      </c>
      <c r="ES149">
        <v>53.749999999999993</v>
      </c>
      <c r="ET149">
        <v>0</v>
      </c>
      <c r="EU149">
        <v>0</v>
      </c>
      <c r="EV149">
        <v>0</v>
      </c>
      <c r="EW149">
        <v>0</v>
      </c>
      <c r="EX149">
        <v>0</v>
      </c>
      <c r="EY149">
        <v>0</v>
      </c>
      <c r="EZ149">
        <v>5</v>
      </c>
      <c r="FC149">
        <v>1</v>
      </c>
      <c r="FD149">
        <v>18</v>
      </c>
      <c r="FF149">
        <v>536</v>
      </c>
      <c r="FQ149">
        <v>0</v>
      </c>
      <c r="FR149">
        <f t="shared" si="193"/>
        <v>0</v>
      </c>
      <c r="FS149">
        <v>0</v>
      </c>
      <c r="FX149">
        <v>0</v>
      </c>
      <c r="FY149">
        <v>0</v>
      </c>
      <c r="GA149" t="s">
        <v>411</v>
      </c>
      <c r="GD149">
        <v>1</v>
      </c>
      <c r="GF149">
        <v>1787728871</v>
      </c>
      <c r="GG149">
        <v>2</v>
      </c>
      <c r="GH149">
        <v>3</v>
      </c>
      <c r="GI149">
        <v>4</v>
      </c>
      <c r="GJ149">
        <v>0</v>
      </c>
      <c r="GK149">
        <v>0</v>
      </c>
      <c r="GL149">
        <f t="shared" si="194"/>
        <v>0</v>
      </c>
      <c r="GM149">
        <f t="shared" si="195"/>
        <v>31094.38</v>
      </c>
      <c r="GN149">
        <f t="shared" si="196"/>
        <v>31094.38</v>
      </c>
      <c r="GO149">
        <f t="shared" si="197"/>
        <v>0</v>
      </c>
      <c r="GP149">
        <f t="shared" si="198"/>
        <v>0</v>
      </c>
      <c r="GR149">
        <v>1</v>
      </c>
      <c r="GS149">
        <v>1</v>
      </c>
      <c r="GT149">
        <v>0</v>
      </c>
      <c r="GU149" t="s">
        <v>3</v>
      </c>
      <c r="GV149">
        <f t="shared" si="199"/>
        <v>0</v>
      </c>
      <c r="GW149">
        <v>1</v>
      </c>
      <c r="GX149">
        <f t="shared" si="200"/>
        <v>0</v>
      </c>
      <c r="HA149">
        <v>0</v>
      </c>
      <c r="HB149">
        <v>0</v>
      </c>
      <c r="HC149">
        <f t="shared" si="201"/>
        <v>0</v>
      </c>
      <c r="HE149" t="s">
        <v>36</v>
      </c>
      <c r="HF149" t="s">
        <v>28</v>
      </c>
      <c r="HM149" t="s">
        <v>3</v>
      </c>
      <c r="HN149" t="s">
        <v>3</v>
      </c>
      <c r="HO149" t="s">
        <v>3</v>
      </c>
      <c r="HP149" t="s">
        <v>3</v>
      </c>
      <c r="HQ149" t="s">
        <v>3</v>
      </c>
      <c r="IK149">
        <v>0</v>
      </c>
    </row>
    <row r="150" spans="1:245" x14ac:dyDescent="0.2">
      <c r="A150">
        <v>17</v>
      </c>
      <c r="B150">
        <v>1</v>
      </c>
      <c r="E150" t="s">
        <v>412</v>
      </c>
      <c r="F150" t="s">
        <v>29</v>
      </c>
      <c r="G150" t="s">
        <v>413</v>
      </c>
      <c r="H150" t="s">
        <v>31</v>
      </c>
      <c r="I150">
        <v>2</v>
      </c>
      <c r="J150">
        <v>0</v>
      </c>
      <c r="K150">
        <v>2</v>
      </c>
      <c r="O150">
        <f t="shared" si="166"/>
        <v>1876.12</v>
      </c>
      <c r="P150">
        <f t="shared" si="167"/>
        <v>1876.12</v>
      </c>
      <c r="Q150">
        <f t="shared" si="168"/>
        <v>0</v>
      </c>
      <c r="R150">
        <f t="shared" si="169"/>
        <v>0</v>
      </c>
      <c r="S150">
        <f t="shared" si="170"/>
        <v>0</v>
      </c>
      <c r="T150">
        <f t="shared" si="171"/>
        <v>0</v>
      </c>
      <c r="U150">
        <f t="shared" si="172"/>
        <v>0</v>
      </c>
      <c r="V150">
        <f t="shared" si="173"/>
        <v>0</v>
      </c>
      <c r="W150">
        <f t="shared" si="174"/>
        <v>0</v>
      </c>
      <c r="X150">
        <f t="shared" si="175"/>
        <v>0</v>
      </c>
      <c r="Y150">
        <f t="shared" si="176"/>
        <v>0</v>
      </c>
      <c r="AA150">
        <v>145026783</v>
      </c>
      <c r="AB150">
        <f t="shared" si="177"/>
        <v>105.4</v>
      </c>
      <c r="AC150">
        <f t="shared" si="178"/>
        <v>105.4</v>
      </c>
      <c r="AD150">
        <f t="shared" si="202"/>
        <v>0</v>
      </c>
      <c r="AE150">
        <f t="shared" si="203"/>
        <v>0</v>
      </c>
      <c r="AF150">
        <f t="shared" si="203"/>
        <v>0</v>
      </c>
      <c r="AG150">
        <f t="shared" si="180"/>
        <v>0</v>
      </c>
      <c r="AH150">
        <f t="shared" si="204"/>
        <v>0</v>
      </c>
      <c r="AI150">
        <f t="shared" si="204"/>
        <v>0</v>
      </c>
      <c r="AJ150">
        <f t="shared" si="182"/>
        <v>0</v>
      </c>
      <c r="AK150">
        <v>105.39999999999999</v>
      </c>
      <c r="AL150">
        <v>105.39999999999999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1</v>
      </c>
      <c r="AW150">
        <v>1</v>
      </c>
      <c r="AZ150">
        <v>1</v>
      </c>
      <c r="BA150">
        <v>1</v>
      </c>
      <c r="BB150">
        <v>1</v>
      </c>
      <c r="BC150">
        <v>8.9</v>
      </c>
      <c r="BD150" t="s">
        <v>3</v>
      </c>
      <c r="BE150" t="s">
        <v>3</v>
      </c>
      <c r="BF150" t="s">
        <v>3</v>
      </c>
      <c r="BG150" t="s">
        <v>3</v>
      </c>
      <c r="BH150">
        <v>3</v>
      </c>
      <c r="BI150">
        <v>1</v>
      </c>
      <c r="BJ150" t="s">
        <v>3</v>
      </c>
      <c r="BM150">
        <v>1100</v>
      </c>
      <c r="BN150">
        <v>0</v>
      </c>
      <c r="BO150" t="s">
        <v>3</v>
      </c>
      <c r="BP150">
        <v>0</v>
      </c>
      <c r="BQ150">
        <v>8</v>
      </c>
      <c r="BR150">
        <v>0</v>
      </c>
      <c r="BS150">
        <v>1</v>
      </c>
      <c r="BT150">
        <v>1</v>
      </c>
      <c r="BU150">
        <v>1</v>
      </c>
      <c r="BV150">
        <v>1</v>
      </c>
      <c r="BW150">
        <v>1</v>
      </c>
      <c r="BX150">
        <v>1</v>
      </c>
      <c r="BY150" t="s">
        <v>3</v>
      </c>
      <c r="BZ150">
        <v>0</v>
      </c>
      <c r="CA150">
        <v>0</v>
      </c>
      <c r="CB150" t="s">
        <v>3</v>
      </c>
      <c r="CE150">
        <v>0</v>
      </c>
      <c r="CF150">
        <v>0</v>
      </c>
      <c r="CG150">
        <v>0</v>
      </c>
      <c r="CM150">
        <v>0</v>
      </c>
      <c r="CN150" t="s">
        <v>3</v>
      </c>
      <c r="CO150">
        <v>0</v>
      </c>
      <c r="CP150">
        <f t="shared" si="183"/>
        <v>1876.12</v>
      </c>
      <c r="CQ150">
        <f t="shared" si="184"/>
        <v>938.06000000000006</v>
      </c>
      <c r="CR150">
        <f t="shared" si="205"/>
        <v>0</v>
      </c>
      <c r="CS150">
        <f t="shared" si="185"/>
        <v>0</v>
      </c>
      <c r="CT150">
        <f t="shared" si="186"/>
        <v>0</v>
      </c>
      <c r="CU150">
        <f t="shared" si="187"/>
        <v>0</v>
      </c>
      <c r="CV150">
        <f t="shared" si="188"/>
        <v>0</v>
      </c>
      <c r="CW150">
        <f t="shared" si="189"/>
        <v>0</v>
      </c>
      <c r="CX150">
        <f t="shared" si="190"/>
        <v>0</v>
      </c>
      <c r="CY150">
        <f t="shared" si="191"/>
        <v>0</v>
      </c>
      <c r="CZ150">
        <f t="shared" si="192"/>
        <v>0</v>
      </c>
      <c r="DC150" t="s">
        <v>3</v>
      </c>
      <c r="DD150" t="s">
        <v>3</v>
      </c>
      <c r="DE150" t="s">
        <v>3</v>
      </c>
      <c r="DF150" t="s">
        <v>3</v>
      </c>
      <c r="DG150" t="s">
        <v>3</v>
      </c>
      <c r="DH150" t="s">
        <v>3</v>
      </c>
      <c r="DI150" t="s">
        <v>3</v>
      </c>
      <c r="DJ150" t="s">
        <v>3</v>
      </c>
      <c r="DK150" t="s">
        <v>3</v>
      </c>
      <c r="DL150" t="s">
        <v>3</v>
      </c>
      <c r="DM150" t="s">
        <v>3</v>
      </c>
      <c r="DN150">
        <v>0</v>
      </c>
      <c r="DO150">
        <v>0</v>
      </c>
      <c r="DP150">
        <v>1</v>
      </c>
      <c r="DQ150">
        <v>1</v>
      </c>
      <c r="DU150">
        <v>1010</v>
      </c>
      <c r="DV150" t="s">
        <v>31</v>
      </c>
      <c r="DW150" t="s">
        <v>31</v>
      </c>
      <c r="DX150">
        <v>1</v>
      </c>
      <c r="DZ150" t="s">
        <v>3</v>
      </c>
      <c r="EA150" t="s">
        <v>3</v>
      </c>
      <c r="EB150" t="s">
        <v>3</v>
      </c>
      <c r="EC150" t="s">
        <v>3</v>
      </c>
      <c r="EE150">
        <v>140625274</v>
      </c>
      <c r="EF150">
        <v>8</v>
      </c>
      <c r="EG150" t="s">
        <v>32</v>
      </c>
      <c r="EH150">
        <v>0</v>
      </c>
      <c r="EI150" t="s">
        <v>3</v>
      </c>
      <c r="EJ150">
        <v>1</v>
      </c>
      <c r="EK150">
        <v>1100</v>
      </c>
      <c r="EL150" t="s">
        <v>33</v>
      </c>
      <c r="EM150" t="s">
        <v>34</v>
      </c>
      <c r="EO150" t="s">
        <v>3</v>
      </c>
      <c r="EQ150">
        <v>0</v>
      </c>
      <c r="ER150">
        <v>105.39999999999999</v>
      </c>
      <c r="ES150">
        <v>105.39999999999999</v>
      </c>
      <c r="ET150">
        <v>0</v>
      </c>
      <c r="EU150">
        <v>0</v>
      </c>
      <c r="EV150">
        <v>0</v>
      </c>
      <c r="EW150">
        <v>0</v>
      </c>
      <c r="EX150">
        <v>0</v>
      </c>
      <c r="EY150">
        <v>0</v>
      </c>
      <c r="EZ150">
        <v>5</v>
      </c>
      <c r="FC150">
        <v>1</v>
      </c>
      <c r="FD150">
        <v>18</v>
      </c>
      <c r="FF150">
        <v>1051</v>
      </c>
      <c r="FQ150">
        <v>0</v>
      </c>
      <c r="FR150">
        <f t="shared" si="193"/>
        <v>0</v>
      </c>
      <c r="FS150">
        <v>0</v>
      </c>
      <c r="FX150">
        <v>0</v>
      </c>
      <c r="FY150">
        <v>0</v>
      </c>
      <c r="GA150" t="s">
        <v>414</v>
      </c>
      <c r="GD150">
        <v>1</v>
      </c>
      <c r="GF150">
        <v>-643002665</v>
      </c>
      <c r="GG150">
        <v>2</v>
      </c>
      <c r="GH150">
        <v>3</v>
      </c>
      <c r="GI150">
        <v>4</v>
      </c>
      <c r="GJ150">
        <v>0</v>
      </c>
      <c r="GK150">
        <v>0</v>
      </c>
      <c r="GL150">
        <f t="shared" si="194"/>
        <v>0</v>
      </c>
      <c r="GM150">
        <f t="shared" si="195"/>
        <v>1876.12</v>
      </c>
      <c r="GN150">
        <f t="shared" si="196"/>
        <v>1876.12</v>
      </c>
      <c r="GO150">
        <f t="shared" si="197"/>
        <v>0</v>
      </c>
      <c r="GP150">
        <f t="shared" si="198"/>
        <v>0</v>
      </c>
      <c r="GR150">
        <v>1</v>
      </c>
      <c r="GS150">
        <v>1</v>
      </c>
      <c r="GT150">
        <v>0</v>
      </c>
      <c r="GU150" t="s">
        <v>3</v>
      </c>
      <c r="GV150">
        <f t="shared" si="199"/>
        <v>0</v>
      </c>
      <c r="GW150">
        <v>1</v>
      </c>
      <c r="GX150">
        <f t="shared" si="200"/>
        <v>0</v>
      </c>
      <c r="HA150">
        <v>0</v>
      </c>
      <c r="HB150">
        <v>0</v>
      </c>
      <c r="HC150">
        <f t="shared" si="201"/>
        <v>0</v>
      </c>
      <c r="HE150" t="s">
        <v>36</v>
      </c>
      <c r="HF150" t="s">
        <v>28</v>
      </c>
      <c r="HM150" t="s">
        <v>3</v>
      </c>
      <c r="HN150" t="s">
        <v>3</v>
      </c>
      <c r="HO150" t="s">
        <v>3</v>
      </c>
      <c r="HP150" t="s">
        <v>3</v>
      </c>
      <c r="HQ150" t="s">
        <v>3</v>
      </c>
      <c r="IK150">
        <v>0</v>
      </c>
    </row>
    <row r="151" spans="1:245" x14ac:dyDescent="0.2">
      <c r="A151">
        <v>17</v>
      </c>
      <c r="B151">
        <v>1</v>
      </c>
      <c r="E151" t="s">
        <v>415</v>
      </c>
      <c r="F151" t="s">
        <v>29</v>
      </c>
      <c r="G151" t="s">
        <v>416</v>
      </c>
      <c r="H151" t="s">
        <v>31</v>
      </c>
      <c r="I151">
        <v>80</v>
      </c>
      <c r="J151">
        <v>0</v>
      </c>
      <c r="K151">
        <v>80</v>
      </c>
      <c r="O151">
        <f t="shared" si="166"/>
        <v>2712.72</v>
      </c>
      <c r="P151">
        <f t="shared" si="167"/>
        <v>2712.72</v>
      </c>
      <c r="Q151">
        <f t="shared" si="168"/>
        <v>0</v>
      </c>
      <c r="R151">
        <f t="shared" si="169"/>
        <v>0</v>
      </c>
      <c r="S151">
        <f t="shared" si="170"/>
        <v>0</v>
      </c>
      <c r="T151">
        <f t="shared" si="171"/>
        <v>0</v>
      </c>
      <c r="U151">
        <f t="shared" si="172"/>
        <v>0</v>
      </c>
      <c r="V151">
        <f t="shared" si="173"/>
        <v>0</v>
      </c>
      <c r="W151">
        <f t="shared" si="174"/>
        <v>0</v>
      </c>
      <c r="X151">
        <f t="shared" si="175"/>
        <v>0</v>
      </c>
      <c r="Y151">
        <f t="shared" si="176"/>
        <v>0</v>
      </c>
      <c r="AA151">
        <v>145026783</v>
      </c>
      <c r="AB151">
        <f t="shared" si="177"/>
        <v>3.81</v>
      </c>
      <c r="AC151">
        <f t="shared" si="178"/>
        <v>3.81</v>
      </c>
      <c r="AD151">
        <f t="shared" si="202"/>
        <v>0</v>
      </c>
      <c r="AE151">
        <f t="shared" si="203"/>
        <v>0</v>
      </c>
      <c r="AF151">
        <f t="shared" si="203"/>
        <v>0</v>
      </c>
      <c r="AG151">
        <f t="shared" si="180"/>
        <v>0</v>
      </c>
      <c r="AH151">
        <f t="shared" si="204"/>
        <v>0</v>
      </c>
      <c r="AI151">
        <f t="shared" si="204"/>
        <v>0</v>
      </c>
      <c r="AJ151">
        <f t="shared" si="182"/>
        <v>0</v>
      </c>
      <c r="AK151">
        <v>3.81</v>
      </c>
      <c r="AL151">
        <v>3.81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1</v>
      </c>
      <c r="AW151">
        <v>1</v>
      </c>
      <c r="AZ151">
        <v>1</v>
      </c>
      <c r="BA151">
        <v>1</v>
      </c>
      <c r="BB151">
        <v>1</v>
      </c>
      <c r="BC151">
        <v>8.9</v>
      </c>
      <c r="BD151" t="s">
        <v>3</v>
      </c>
      <c r="BE151" t="s">
        <v>3</v>
      </c>
      <c r="BF151" t="s">
        <v>3</v>
      </c>
      <c r="BG151" t="s">
        <v>3</v>
      </c>
      <c r="BH151">
        <v>3</v>
      </c>
      <c r="BI151">
        <v>1</v>
      </c>
      <c r="BJ151" t="s">
        <v>3</v>
      </c>
      <c r="BM151">
        <v>1100</v>
      </c>
      <c r="BN151">
        <v>0</v>
      </c>
      <c r="BO151" t="s">
        <v>3</v>
      </c>
      <c r="BP151">
        <v>0</v>
      </c>
      <c r="BQ151">
        <v>8</v>
      </c>
      <c r="BR151">
        <v>0</v>
      </c>
      <c r="BS151">
        <v>1</v>
      </c>
      <c r="BT151">
        <v>1</v>
      </c>
      <c r="BU151">
        <v>1</v>
      </c>
      <c r="BV151">
        <v>1</v>
      </c>
      <c r="BW151">
        <v>1</v>
      </c>
      <c r="BX151">
        <v>1</v>
      </c>
      <c r="BY151" t="s">
        <v>3</v>
      </c>
      <c r="BZ151">
        <v>0</v>
      </c>
      <c r="CA151">
        <v>0</v>
      </c>
      <c r="CB151" t="s">
        <v>3</v>
      </c>
      <c r="CE151">
        <v>0</v>
      </c>
      <c r="CF151">
        <v>0</v>
      </c>
      <c r="CG151">
        <v>0</v>
      </c>
      <c r="CM151">
        <v>0</v>
      </c>
      <c r="CN151" t="s">
        <v>3</v>
      </c>
      <c r="CO151">
        <v>0</v>
      </c>
      <c r="CP151">
        <f t="shared" si="183"/>
        <v>2712.72</v>
      </c>
      <c r="CQ151">
        <f t="shared" si="184"/>
        <v>33.908999999999999</v>
      </c>
      <c r="CR151">
        <f t="shared" si="205"/>
        <v>0</v>
      </c>
      <c r="CS151">
        <f t="shared" si="185"/>
        <v>0</v>
      </c>
      <c r="CT151">
        <f t="shared" si="186"/>
        <v>0</v>
      </c>
      <c r="CU151">
        <f t="shared" si="187"/>
        <v>0</v>
      </c>
      <c r="CV151">
        <f t="shared" si="188"/>
        <v>0</v>
      </c>
      <c r="CW151">
        <f t="shared" si="189"/>
        <v>0</v>
      </c>
      <c r="CX151">
        <f t="shared" si="190"/>
        <v>0</v>
      </c>
      <c r="CY151">
        <f t="shared" si="191"/>
        <v>0</v>
      </c>
      <c r="CZ151">
        <f t="shared" si="192"/>
        <v>0</v>
      </c>
      <c r="DC151" t="s">
        <v>3</v>
      </c>
      <c r="DD151" t="s">
        <v>3</v>
      </c>
      <c r="DE151" t="s">
        <v>3</v>
      </c>
      <c r="DF151" t="s">
        <v>3</v>
      </c>
      <c r="DG151" t="s">
        <v>3</v>
      </c>
      <c r="DH151" t="s">
        <v>3</v>
      </c>
      <c r="DI151" t="s">
        <v>3</v>
      </c>
      <c r="DJ151" t="s">
        <v>3</v>
      </c>
      <c r="DK151" t="s">
        <v>3</v>
      </c>
      <c r="DL151" t="s">
        <v>3</v>
      </c>
      <c r="DM151" t="s">
        <v>3</v>
      </c>
      <c r="DN151">
        <v>0</v>
      </c>
      <c r="DO151">
        <v>0</v>
      </c>
      <c r="DP151">
        <v>1</v>
      </c>
      <c r="DQ151">
        <v>1</v>
      </c>
      <c r="DU151">
        <v>1010</v>
      </c>
      <c r="DV151" t="s">
        <v>31</v>
      </c>
      <c r="DW151" t="s">
        <v>31</v>
      </c>
      <c r="DX151">
        <v>1</v>
      </c>
      <c r="DZ151" t="s">
        <v>3</v>
      </c>
      <c r="EA151" t="s">
        <v>3</v>
      </c>
      <c r="EB151" t="s">
        <v>3</v>
      </c>
      <c r="EC151" t="s">
        <v>3</v>
      </c>
      <c r="EE151">
        <v>140625274</v>
      </c>
      <c r="EF151">
        <v>8</v>
      </c>
      <c r="EG151" t="s">
        <v>32</v>
      </c>
      <c r="EH151">
        <v>0</v>
      </c>
      <c r="EI151" t="s">
        <v>3</v>
      </c>
      <c r="EJ151">
        <v>1</v>
      </c>
      <c r="EK151">
        <v>1100</v>
      </c>
      <c r="EL151" t="s">
        <v>33</v>
      </c>
      <c r="EM151" t="s">
        <v>34</v>
      </c>
      <c r="EO151" t="s">
        <v>3</v>
      </c>
      <c r="EQ151">
        <v>0</v>
      </c>
      <c r="ER151">
        <v>3.9000000000000004</v>
      </c>
      <c r="ES151">
        <v>3.81</v>
      </c>
      <c r="ET151">
        <v>0</v>
      </c>
      <c r="EU151">
        <v>0</v>
      </c>
      <c r="EV151">
        <v>0</v>
      </c>
      <c r="EW151">
        <v>0</v>
      </c>
      <c r="EX151">
        <v>0</v>
      </c>
      <c r="EY151">
        <v>0</v>
      </c>
      <c r="EZ151">
        <v>5</v>
      </c>
      <c r="FC151">
        <v>1</v>
      </c>
      <c r="FD151">
        <v>18</v>
      </c>
      <c r="FF151">
        <v>38</v>
      </c>
      <c r="FQ151">
        <v>0</v>
      </c>
      <c r="FR151">
        <f t="shared" si="193"/>
        <v>0</v>
      </c>
      <c r="FS151">
        <v>0</v>
      </c>
      <c r="FX151">
        <v>0</v>
      </c>
      <c r="FY151">
        <v>0</v>
      </c>
      <c r="GA151" t="s">
        <v>417</v>
      </c>
      <c r="GD151">
        <v>1</v>
      </c>
      <c r="GF151">
        <v>-112258078</v>
      </c>
      <c r="GG151">
        <v>2</v>
      </c>
      <c r="GH151">
        <v>3</v>
      </c>
      <c r="GI151">
        <v>4</v>
      </c>
      <c r="GJ151">
        <v>0</v>
      </c>
      <c r="GK151">
        <v>0</v>
      </c>
      <c r="GL151">
        <f t="shared" si="194"/>
        <v>0</v>
      </c>
      <c r="GM151">
        <f t="shared" si="195"/>
        <v>2712.72</v>
      </c>
      <c r="GN151">
        <f t="shared" si="196"/>
        <v>2712.72</v>
      </c>
      <c r="GO151">
        <f t="shared" si="197"/>
        <v>0</v>
      </c>
      <c r="GP151">
        <f t="shared" si="198"/>
        <v>0</v>
      </c>
      <c r="GR151">
        <v>1</v>
      </c>
      <c r="GS151">
        <v>1</v>
      </c>
      <c r="GT151">
        <v>0</v>
      </c>
      <c r="GU151" t="s">
        <v>3</v>
      </c>
      <c r="GV151">
        <f t="shared" si="199"/>
        <v>0</v>
      </c>
      <c r="GW151">
        <v>1</v>
      </c>
      <c r="GX151">
        <f t="shared" si="200"/>
        <v>0</v>
      </c>
      <c r="HA151">
        <v>0</v>
      </c>
      <c r="HB151">
        <v>0</v>
      </c>
      <c r="HC151">
        <f t="shared" si="201"/>
        <v>0</v>
      </c>
      <c r="HE151" t="s">
        <v>36</v>
      </c>
      <c r="HF151" t="s">
        <v>28</v>
      </c>
      <c r="HM151" t="s">
        <v>3</v>
      </c>
      <c r="HN151" t="s">
        <v>3</v>
      </c>
      <c r="HO151" t="s">
        <v>3</v>
      </c>
      <c r="HP151" t="s">
        <v>3</v>
      </c>
      <c r="HQ151" t="s">
        <v>3</v>
      </c>
      <c r="IK151">
        <v>0</v>
      </c>
    </row>
    <row r="152" spans="1:245" x14ac:dyDescent="0.2">
      <c r="A152">
        <v>17</v>
      </c>
      <c r="B152">
        <v>1</v>
      </c>
      <c r="C152">
        <f>ROW(SmtRes!A178)</f>
        <v>178</v>
      </c>
      <c r="D152">
        <f>ROW(EtalonRes!A201)</f>
        <v>201</v>
      </c>
      <c r="E152" t="s">
        <v>418</v>
      </c>
      <c r="F152" t="s">
        <v>419</v>
      </c>
      <c r="G152" t="s">
        <v>420</v>
      </c>
      <c r="H152" t="s">
        <v>421</v>
      </c>
      <c r="I152">
        <f>ROUND((98*3+50*3+56*2+65*2+2*2)/100,9)</f>
        <v>6.9</v>
      </c>
      <c r="J152">
        <v>0</v>
      </c>
      <c r="K152">
        <f>ROUND((98*3+50*3+56*2+65*2+2*2)/100,9)</f>
        <v>6.9</v>
      </c>
      <c r="O152">
        <f t="shared" si="166"/>
        <v>15423.41</v>
      </c>
      <c r="P152">
        <f t="shared" si="167"/>
        <v>0</v>
      </c>
      <c r="Q152">
        <f t="shared" si="168"/>
        <v>70.81</v>
      </c>
      <c r="R152">
        <f t="shared" si="169"/>
        <v>33.130000000000003</v>
      </c>
      <c r="S152">
        <f t="shared" si="170"/>
        <v>15352.6</v>
      </c>
      <c r="T152">
        <f t="shared" si="171"/>
        <v>0</v>
      </c>
      <c r="U152">
        <f t="shared" si="172"/>
        <v>46.975200000000001</v>
      </c>
      <c r="V152">
        <f t="shared" si="173"/>
        <v>8.6250000000000007E-2</v>
      </c>
      <c r="W152">
        <f t="shared" si="174"/>
        <v>0</v>
      </c>
      <c r="X152">
        <f t="shared" si="175"/>
        <v>18616.73</v>
      </c>
      <c r="Y152">
        <f t="shared" si="176"/>
        <v>9416.07</v>
      </c>
      <c r="AA152">
        <v>145026783</v>
      </c>
      <c r="AB152">
        <f t="shared" si="177"/>
        <v>70.34</v>
      </c>
      <c r="AC152">
        <f t="shared" si="178"/>
        <v>0</v>
      </c>
      <c r="AD152">
        <f>ROUND(((((ET152*1.25))-((EU152*1.25)))+AE152),2)</f>
        <v>0.83</v>
      </c>
      <c r="AE152">
        <f>ROUND(((EU152*1.25)),2)</f>
        <v>0.15</v>
      </c>
      <c r="AF152">
        <f>ROUND(((EV152*1.15)),2)</f>
        <v>69.510000000000005</v>
      </c>
      <c r="AG152">
        <f t="shared" si="180"/>
        <v>0</v>
      </c>
      <c r="AH152">
        <f>((EW152*1.15))</f>
        <v>6.8079999999999998</v>
      </c>
      <c r="AI152">
        <f>((EX152*1.25))</f>
        <v>1.2500000000000001E-2</v>
      </c>
      <c r="AJ152">
        <f t="shared" si="182"/>
        <v>0</v>
      </c>
      <c r="AK152">
        <v>61.1</v>
      </c>
      <c r="AL152">
        <v>0</v>
      </c>
      <c r="AM152">
        <v>0.66</v>
      </c>
      <c r="AN152">
        <v>0.12</v>
      </c>
      <c r="AO152">
        <v>60.44</v>
      </c>
      <c r="AP152">
        <v>0</v>
      </c>
      <c r="AQ152">
        <v>5.92</v>
      </c>
      <c r="AR152">
        <v>0.01</v>
      </c>
      <c r="AS152">
        <v>0</v>
      </c>
      <c r="AT152">
        <v>121</v>
      </c>
      <c r="AU152">
        <v>61.2</v>
      </c>
      <c r="AV152">
        <v>1</v>
      </c>
      <c r="AW152">
        <v>1</v>
      </c>
      <c r="AZ152">
        <v>1</v>
      </c>
      <c r="BA152">
        <v>32.01</v>
      </c>
      <c r="BB152">
        <v>12.44</v>
      </c>
      <c r="BC152">
        <v>8.9</v>
      </c>
      <c r="BD152" t="s">
        <v>3</v>
      </c>
      <c r="BE152" t="s">
        <v>3</v>
      </c>
      <c r="BF152" t="s">
        <v>3</v>
      </c>
      <c r="BG152" t="s">
        <v>3</v>
      </c>
      <c r="BH152">
        <v>0</v>
      </c>
      <c r="BI152">
        <v>1</v>
      </c>
      <c r="BJ152" t="s">
        <v>422</v>
      </c>
      <c r="BM152">
        <v>16001</v>
      </c>
      <c r="BN152">
        <v>0</v>
      </c>
      <c r="BO152" t="s">
        <v>3</v>
      </c>
      <c r="BP152">
        <v>0</v>
      </c>
      <c r="BQ152">
        <v>2</v>
      </c>
      <c r="BR152">
        <v>0</v>
      </c>
      <c r="BS152">
        <v>32.01</v>
      </c>
      <c r="BT152">
        <v>1</v>
      </c>
      <c r="BU152">
        <v>1</v>
      </c>
      <c r="BV152">
        <v>1</v>
      </c>
      <c r="BW152">
        <v>1</v>
      </c>
      <c r="BX152">
        <v>1</v>
      </c>
      <c r="BY152" t="s">
        <v>3</v>
      </c>
      <c r="BZ152">
        <v>121</v>
      </c>
      <c r="CA152">
        <v>72</v>
      </c>
      <c r="CB152" t="s">
        <v>3</v>
      </c>
      <c r="CE152">
        <v>0</v>
      </c>
      <c r="CF152">
        <v>0</v>
      </c>
      <c r="CG152">
        <v>0</v>
      </c>
      <c r="CM152">
        <v>0</v>
      </c>
      <c r="CN152" t="s">
        <v>863</v>
      </c>
      <c r="CO152">
        <v>0</v>
      </c>
      <c r="CP152">
        <f t="shared" si="183"/>
        <v>15423.41</v>
      </c>
      <c r="CQ152">
        <f t="shared" si="184"/>
        <v>0</v>
      </c>
      <c r="CR152">
        <f>((((ET152*1.25))*BB152-((EU152*1.25))*BS152)+AE152*BS152)</f>
        <v>10.263</v>
      </c>
      <c r="CS152">
        <f t="shared" si="185"/>
        <v>4.8014999999999999</v>
      </c>
      <c r="CT152">
        <f t="shared" si="186"/>
        <v>2225.0151000000001</v>
      </c>
      <c r="CU152">
        <f t="shared" si="187"/>
        <v>0</v>
      </c>
      <c r="CV152">
        <f t="shared" si="188"/>
        <v>6.8079999999999998</v>
      </c>
      <c r="CW152">
        <f t="shared" si="189"/>
        <v>1.2500000000000001E-2</v>
      </c>
      <c r="CX152">
        <f t="shared" si="190"/>
        <v>0</v>
      </c>
      <c r="CY152">
        <f t="shared" si="191"/>
        <v>18616.7333</v>
      </c>
      <c r="CZ152">
        <f t="shared" si="192"/>
        <v>9416.0667599999997</v>
      </c>
      <c r="DC152" t="s">
        <v>3</v>
      </c>
      <c r="DD152" t="s">
        <v>3</v>
      </c>
      <c r="DE152" t="s">
        <v>148</v>
      </c>
      <c r="DF152" t="s">
        <v>148</v>
      </c>
      <c r="DG152" t="s">
        <v>149</v>
      </c>
      <c r="DH152" t="s">
        <v>3</v>
      </c>
      <c r="DI152" t="s">
        <v>149</v>
      </c>
      <c r="DJ152" t="s">
        <v>148</v>
      </c>
      <c r="DK152" t="s">
        <v>3</v>
      </c>
      <c r="DL152" t="s">
        <v>3</v>
      </c>
      <c r="DM152" t="s">
        <v>150</v>
      </c>
      <c r="DN152">
        <v>0</v>
      </c>
      <c r="DO152">
        <v>0</v>
      </c>
      <c r="DP152">
        <v>1</v>
      </c>
      <c r="DQ152">
        <v>1</v>
      </c>
      <c r="DU152">
        <v>3154213</v>
      </c>
      <c r="DV152" t="s">
        <v>421</v>
      </c>
      <c r="DW152" t="s">
        <v>421</v>
      </c>
      <c r="DX152">
        <v>1</v>
      </c>
      <c r="DZ152" t="s">
        <v>3</v>
      </c>
      <c r="EA152" t="s">
        <v>3</v>
      </c>
      <c r="EB152" t="s">
        <v>3</v>
      </c>
      <c r="EC152" t="s">
        <v>3</v>
      </c>
      <c r="EE152">
        <v>140625063</v>
      </c>
      <c r="EF152">
        <v>2</v>
      </c>
      <c r="EG152" t="s">
        <v>95</v>
      </c>
      <c r="EH152">
        <v>16</v>
      </c>
      <c r="EI152" t="s">
        <v>392</v>
      </c>
      <c r="EJ152">
        <v>1</v>
      </c>
      <c r="EK152">
        <v>16001</v>
      </c>
      <c r="EL152" t="s">
        <v>393</v>
      </c>
      <c r="EM152" t="s">
        <v>394</v>
      </c>
      <c r="EO152" t="s">
        <v>151</v>
      </c>
      <c r="EQ152">
        <v>0</v>
      </c>
      <c r="ER152">
        <v>61.1</v>
      </c>
      <c r="ES152">
        <v>0</v>
      </c>
      <c r="ET152">
        <v>0.66</v>
      </c>
      <c r="EU152">
        <v>0.12</v>
      </c>
      <c r="EV152">
        <v>60.44</v>
      </c>
      <c r="EW152">
        <v>5.92</v>
      </c>
      <c r="EX152">
        <v>0.01</v>
      </c>
      <c r="EY152">
        <v>0</v>
      </c>
      <c r="FQ152">
        <v>0</v>
      </c>
      <c r="FR152">
        <f t="shared" si="193"/>
        <v>0</v>
      </c>
      <c r="FS152">
        <v>0</v>
      </c>
      <c r="FX152">
        <v>121</v>
      </c>
      <c r="FY152">
        <v>61.2</v>
      </c>
      <c r="GA152" t="s">
        <v>3</v>
      </c>
      <c r="GD152">
        <v>1</v>
      </c>
      <c r="GF152">
        <v>871683587</v>
      </c>
      <c r="GG152">
        <v>2</v>
      </c>
      <c r="GH152">
        <v>1</v>
      </c>
      <c r="GI152">
        <v>4</v>
      </c>
      <c r="GJ152">
        <v>0</v>
      </c>
      <c r="GK152">
        <v>0</v>
      </c>
      <c r="GL152">
        <f t="shared" si="194"/>
        <v>0</v>
      </c>
      <c r="GM152">
        <f t="shared" si="195"/>
        <v>43456.21</v>
      </c>
      <c r="GN152">
        <f t="shared" si="196"/>
        <v>43456.21</v>
      </c>
      <c r="GO152">
        <f t="shared" si="197"/>
        <v>0</v>
      </c>
      <c r="GP152">
        <f t="shared" si="198"/>
        <v>0</v>
      </c>
      <c r="GR152">
        <v>0</v>
      </c>
      <c r="GS152">
        <v>3</v>
      </c>
      <c r="GT152">
        <v>0</v>
      </c>
      <c r="GU152" t="s">
        <v>3</v>
      </c>
      <c r="GV152">
        <f t="shared" si="199"/>
        <v>0</v>
      </c>
      <c r="GW152">
        <v>1</v>
      </c>
      <c r="GX152">
        <f t="shared" si="200"/>
        <v>0</v>
      </c>
      <c r="HA152">
        <v>0</v>
      </c>
      <c r="HB152">
        <v>0</v>
      </c>
      <c r="HC152">
        <f t="shared" si="201"/>
        <v>0</v>
      </c>
      <c r="HE152" t="s">
        <v>3</v>
      </c>
      <c r="HF152" t="s">
        <v>3</v>
      </c>
      <c r="HM152" t="s">
        <v>3</v>
      </c>
      <c r="HN152" t="s">
        <v>395</v>
      </c>
      <c r="HO152" t="s">
        <v>396</v>
      </c>
      <c r="HP152" t="s">
        <v>392</v>
      </c>
      <c r="HQ152" t="s">
        <v>392</v>
      </c>
      <c r="IK152">
        <v>0</v>
      </c>
    </row>
    <row r="153" spans="1:245" x14ac:dyDescent="0.2">
      <c r="A153">
        <v>17</v>
      </c>
      <c r="B153">
        <v>1</v>
      </c>
      <c r="C153">
        <f>ROW(SmtRes!A185)</f>
        <v>185</v>
      </c>
      <c r="D153">
        <f>ROW(EtalonRes!A212)</f>
        <v>212</v>
      </c>
      <c r="E153" t="s">
        <v>423</v>
      </c>
      <c r="F153" t="s">
        <v>424</v>
      </c>
      <c r="G153" t="s">
        <v>425</v>
      </c>
      <c r="H153" t="s">
        <v>53</v>
      </c>
      <c r="I153">
        <f>ROUND(148/100,9)</f>
        <v>1.48</v>
      </c>
      <c r="J153">
        <v>0</v>
      </c>
      <c r="K153">
        <f>ROUND(148/100,9)</f>
        <v>1.48</v>
      </c>
      <c r="O153">
        <f t="shared" si="166"/>
        <v>27878.59</v>
      </c>
      <c r="P153">
        <f t="shared" si="167"/>
        <v>1058.24</v>
      </c>
      <c r="Q153">
        <f t="shared" si="168"/>
        <v>625.4</v>
      </c>
      <c r="R153">
        <f t="shared" si="169"/>
        <v>279.99</v>
      </c>
      <c r="S153">
        <f t="shared" si="170"/>
        <v>26194.95</v>
      </c>
      <c r="T153">
        <f t="shared" si="171"/>
        <v>0</v>
      </c>
      <c r="U153">
        <f t="shared" si="172"/>
        <v>85.06595999999999</v>
      </c>
      <c r="V153">
        <f t="shared" si="173"/>
        <v>0.74</v>
      </c>
      <c r="W153">
        <f t="shared" si="174"/>
        <v>0</v>
      </c>
      <c r="X153">
        <f t="shared" si="175"/>
        <v>32034.68</v>
      </c>
      <c r="Y153">
        <f t="shared" si="176"/>
        <v>16202.66</v>
      </c>
      <c r="AA153">
        <v>145026783</v>
      </c>
      <c r="AB153">
        <f t="shared" si="177"/>
        <v>667.24</v>
      </c>
      <c r="AC153">
        <f t="shared" si="178"/>
        <v>80.34</v>
      </c>
      <c r="AD153">
        <f>ROUND(((((ET153*1.25))-((EU153*1.25)))+AE153),2)</f>
        <v>33.97</v>
      </c>
      <c r="AE153">
        <f>ROUND(((EU153*1.25)),2)</f>
        <v>5.91</v>
      </c>
      <c r="AF153">
        <f>ROUND(((EV153*1.15)),2)</f>
        <v>552.92999999999995</v>
      </c>
      <c r="AG153">
        <f t="shared" si="180"/>
        <v>0</v>
      </c>
      <c r="AH153">
        <f>((EW153*1.15))</f>
        <v>57.47699999999999</v>
      </c>
      <c r="AI153">
        <f>((EX153*1.25))</f>
        <v>0.5</v>
      </c>
      <c r="AJ153">
        <f t="shared" si="182"/>
        <v>0</v>
      </c>
      <c r="AK153">
        <v>588.33000000000004</v>
      </c>
      <c r="AL153">
        <v>80.34</v>
      </c>
      <c r="AM153">
        <v>27.18</v>
      </c>
      <c r="AN153">
        <v>4.7300000000000004</v>
      </c>
      <c r="AO153">
        <v>480.81</v>
      </c>
      <c r="AP153">
        <v>0</v>
      </c>
      <c r="AQ153">
        <v>49.98</v>
      </c>
      <c r="AR153">
        <v>0.4</v>
      </c>
      <c r="AS153">
        <v>0</v>
      </c>
      <c r="AT153">
        <v>121</v>
      </c>
      <c r="AU153">
        <v>61.2</v>
      </c>
      <c r="AV153">
        <v>1</v>
      </c>
      <c r="AW153">
        <v>1</v>
      </c>
      <c r="AZ153">
        <v>1</v>
      </c>
      <c r="BA153">
        <v>32.01</v>
      </c>
      <c r="BB153">
        <v>12.44</v>
      </c>
      <c r="BC153">
        <v>8.9</v>
      </c>
      <c r="BD153" t="s">
        <v>3</v>
      </c>
      <c r="BE153" t="s">
        <v>3</v>
      </c>
      <c r="BF153" t="s">
        <v>3</v>
      </c>
      <c r="BG153" t="s">
        <v>3</v>
      </c>
      <c r="BH153">
        <v>0</v>
      </c>
      <c r="BI153">
        <v>1</v>
      </c>
      <c r="BJ153" t="s">
        <v>426</v>
      </c>
      <c r="BM153">
        <v>16001</v>
      </c>
      <c r="BN153">
        <v>0</v>
      </c>
      <c r="BO153" t="s">
        <v>3</v>
      </c>
      <c r="BP153">
        <v>0</v>
      </c>
      <c r="BQ153">
        <v>2</v>
      </c>
      <c r="BR153">
        <v>0</v>
      </c>
      <c r="BS153">
        <v>32.01</v>
      </c>
      <c r="BT153">
        <v>1</v>
      </c>
      <c r="BU153">
        <v>1</v>
      </c>
      <c r="BV153">
        <v>1</v>
      </c>
      <c r="BW153">
        <v>1</v>
      </c>
      <c r="BX153">
        <v>1</v>
      </c>
      <c r="BY153" t="s">
        <v>3</v>
      </c>
      <c r="BZ153">
        <v>121</v>
      </c>
      <c r="CA153">
        <v>72</v>
      </c>
      <c r="CB153" t="s">
        <v>3</v>
      </c>
      <c r="CE153">
        <v>0</v>
      </c>
      <c r="CF153">
        <v>0</v>
      </c>
      <c r="CG153">
        <v>0</v>
      </c>
      <c r="CM153">
        <v>0</v>
      </c>
      <c r="CN153" t="s">
        <v>863</v>
      </c>
      <c r="CO153">
        <v>0</v>
      </c>
      <c r="CP153">
        <f t="shared" si="183"/>
        <v>27878.59</v>
      </c>
      <c r="CQ153">
        <f t="shared" si="184"/>
        <v>715.02600000000007</v>
      </c>
      <c r="CR153">
        <f>((((ET153*1.25))*BB153-((EU153*1.25))*BS153)+AE153*BS153)</f>
        <v>422.56897500000002</v>
      </c>
      <c r="CS153">
        <f t="shared" si="185"/>
        <v>189.17910000000001</v>
      </c>
      <c r="CT153">
        <f t="shared" si="186"/>
        <v>17699.289299999997</v>
      </c>
      <c r="CU153">
        <f t="shared" si="187"/>
        <v>0</v>
      </c>
      <c r="CV153">
        <f t="shared" si="188"/>
        <v>57.47699999999999</v>
      </c>
      <c r="CW153">
        <f t="shared" si="189"/>
        <v>0.5</v>
      </c>
      <c r="CX153">
        <f t="shared" si="190"/>
        <v>0</v>
      </c>
      <c r="CY153">
        <f t="shared" si="191"/>
        <v>32034.6774</v>
      </c>
      <c r="CZ153">
        <f t="shared" si="192"/>
        <v>16202.663280000002</v>
      </c>
      <c r="DC153" t="s">
        <v>3</v>
      </c>
      <c r="DD153" t="s">
        <v>3</v>
      </c>
      <c r="DE153" t="s">
        <v>148</v>
      </c>
      <c r="DF153" t="s">
        <v>148</v>
      </c>
      <c r="DG153" t="s">
        <v>149</v>
      </c>
      <c r="DH153" t="s">
        <v>3</v>
      </c>
      <c r="DI153" t="s">
        <v>149</v>
      </c>
      <c r="DJ153" t="s">
        <v>148</v>
      </c>
      <c r="DK153" t="s">
        <v>3</v>
      </c>
      <c r="DL153" t="s">
        <v>3</v>
      </c>
      <c r="DM153" t="s">
        <v>150</v>
      </c>
      <c r="DN153">
        <v>0</v>
      </c>
      <c r="DO153">
        <v>0</v>
      </c>
      <c r="DP153">
        <v>1</v>
      </c>
      <c r="DQ153">
        <v>1</v>
      </c>
      <c r="DU153">
        <v>1003</v>
      </c>
      <c r="DV153" t="s">
        <v>53</v>
      </c>
      <c r="DW153" t="s">
        <v>53</v>
      </c>
      <c r="DX153">
        <v>100</v>
      </c>
      <c r="DZ153" t="s">
        <v>3</v>
      </c>
      <c r="EA153" t="s">
        <v>3</v>
      </c>
      <c r="EB153" t="s">
        <v>3</v>
      </c>
      <c r="EC153" t="s">
        <v>3</v>
      </c>
      <c r="EE153">
        <v>140625063</v>
      </c>
      <c r="EF153">
        <v>2</v>
      </c>
      <c r="EG153" t="s">
        <v>95</v>
      </c>
      <c r="EH153">
        <v>16</v>
      </c>
      <c r="EI153" t="s">
        <v>392</v>
      </c>
      <c r="EJ153">
        <v>1</v>
      </c>
      <c r="EK153">
        <v>16001</v>
      </c>
      <c r="EL153" t="s">
        <v>393</v>
      </c>
      <c r="EM153" t="s">
        <v>394</v>
      </c>
      <c r="EO153" t="s">
        <v>151</v>
      </c>
      <c r="EQ153">
        <v>0</v>
      </c>
      <c r="ER153">
        <v>588.33000000000004</v>
      </c>
      <c r="ES153">
        <v>80.34</v>
      </c>
      <c r="ET153">
        <v>27.18</v>
      </c>
      <c r="EU153">
        <v>4.7300000000000004</v>
      </c>
      <c r="EV153">
        <v>480.81</v>
      </c>
      <c r="EW153">
        <v>49.98</v>
      </c>
      <c r="EX153">
        <v>0.4</v>
      </c>
      <c r="EY153">
        <v>0</v>
      </c>
      <c r="FQ153">
        <v>0</v>
      </c>
      <c r="FR153">
        <f t="shared" si="193"/>
        <v>0</v>
      </c>
      <c r="FS153">
        <v>0</v>
      </c>
      <c r="FX153">
        <v>121</v>
      </c>
      <c r="FY153">
        <v>61.2</v>
      </c>
      <c r="GA153" t="s">
        <v>3</v>
      </c>
      <c r="GD153">
        <v>1</v>
      </c>
      <c r="GF153">
        <v>-1343618240</v>
      </c>
      <c r="GG153">
        <v>2</v>
      </c>
      <c r="GH153">
        <v>1</v>
      </c>
      <c r="GI153">
        <v>4</v>
      </c>
      <c r="GJ153">
        <v>0</v>
      </c>
      <c r="GK153">
        <v>0</v>
      </c>
      <c r="GL153">
        <f t="shared" si="194"/>
        <v>0</v>
      </c>
      <c r="GM153">
        <f t="shared" si="195"/>
        <v>76115.929999999993</v>
      </c>
      <c r="GN153">
        <f t="shared" si="196"/>
        <v>76115.929999999993</v>
      </c>
      <c r="GO153">
        <f t="shared" si="197"/>
        <v>0</v>
      </c>
      <c r="GP153">
        <f t="shared" si="198"/>
        <v>0</v>
      </c>
      <c r="GR153">
        <v>0</v>
      </c>
      <c r="GS153">
        <v>3</v>
      </c>
      <c r="GT153">
        <v>0</v>
      </c>
      <c r="GU153" t="s">
        <v>3</v>
      </c>
      <c r="GV153">
        <f t="shared" si="199"/>
        <v>0</v>
      </c>
      <c r="GW153">
        <v>1</v>
      </c>
      <c r="GX153">
        <f t="shared" si="200"/>
        <v>0</v>
      </c>
      <c r="HA153">
        <v>0</v>
      </c>
      <c r="HB153">
        <v>0</v>
      </c>
      <c r="HC153">
        <f t="shared" si="201"/>
        <v>0</v>
      </c>
      <c r="HE153" t="s">
        <v>3</v>
      </c>
      <c r="HF153" t="s">
        <v>3</v>
      </c>
      <c r="HM153" t="s">
        <v>3</v>
      </c>
      <c r="HN153" t="s">
        <v>395</v>
      </c>
      <c r="HO153" t="s">
        <v>396</v>
      </c>
      <c r="HP153" t="s">
        <v>392</v>
      </c>
      <c r="HQ153" t="s">
        <v>392</v>
      </c>
      <c r="IK153">
        <v>0</v>
      </c>
    </row>
    <row r="154" spans="1:245" x14ac:dyDescent="0.2">
      <c r="A154">
        <v>17</v>
      </c>
      <c r="B154">
        <v>1</v>
      </c>
      <c r="C154">
        <f>ROW(SmtRes!A186)</f>
        <v>186</v>
      </c>
      <c r="D154">
        <f>ROW(EtalonRes!A213)</f>
        <v>213</v>
      </c>
      <c r="E154" t="s">
        <v>427</v>
      </c>
      <c r="F154" t="s">
        <v>428</v>
      </c>
      <c r="G154" t="s">
        <v>429</v>
      </c>
      <c r="H154" t="s">
        <v>421</v>
      </c>
      <c r="I154">
        <f>ROUND((98*2+98*2+98*2)/100,9)</f>
        <v>5.88</v>
      </c>
      <c r="J154">
        <v>0</v>
      </c>
      <c r="K154">
        <f>ROUND((98*2+98*2+98*2)/100,9)</f>
        <v>5.88</v>
      </c>
      <c r="O154">
        <f t="shared" si="166"/>
        <v>6320.39</v>
      </c>
      <c r="P154">
        <f t="shared" si="167"/>
        <v>0</v>
      </c>
      <c r="Q154">
        <f t="shared" si="168"/>
        <v>0</v>
      </c>
      <c r="R154">
        <f t="shared" si="169"/>
        <v>0</v>
      </c>
      <c r="S154">
        <f t="shared" si="170"/>
        <v>6320.39</v>
      </c>
      <c r="T154">
        <f t="shared" si="171"/>
        <v>0</v>
      </c>
      <c r="U154">
        <f t="shared" si="172"/>
        <v>19.339319999999997</v>
      </c>
      <c r="V154">
        <f t="shared" si="173"/>
        <v>0</v>
      </c>
      <c r="W154">
        <f t="shared" si="174"/>
        <v>0</v>
      </c>
      <c r="X154">
        <f t="shared" si="175"/>
        <v>7647.67</v>
      </c>
      <c r="Y154">
        <f t="shared" si="176"/>
        <v>3868.08</v>
      </c>
      <c r="AA154">
        <v>145026783</v>
      </c>
      <c r="AB154">
        <f t="shared" si="177"/>
        <v>33.58</v>
      </c>
      <c r="AC154">
        <f t="shared" si="178"/>
        <v>0</v>
      </c>
      <c r="AD154">
        <f>ROUND(((((ET154*1.25))-((EU154*1.25)))+AE154),2)</f>
        <v>0</v>
      </c>
      <c r="AE154">
        <f>ROUND(((EU154*1.25)),2)</f>
        <v>0</v>
      </c>
      <c r="AF154">
        <f>ROUND(((EV154*1.15)),2)</f>
        <v>33.58</v>
      </c>
      <c r="AG154">
        <f t="shared" si="180"/>
        <v>0</v>
      </c>
      <c r="AH154">
        <f>((EW154*1.15))</f>
        <v>3.2889999999999997</v>
      </c>
      <c r="AI154">
        <f>((EX154*1.25))</f>
        <v>0</v>
      </c>
      <c r="AJ154">
        <f t="shared" si="182"/>
        <v>0</v>
      </c>
      <c r="AK154">
        <v>29.2</v>
      </c>
      <c r="AL154">
        <v>0</v>
      </c>
      <c r="AM154">
        <v>0</v>
      </c>
      <c r="AN154">
        <v>0</v>
      </c>
      <c r="AO154">
        <v>29.2</v>
      </c>
      <c r="AP154">
        <v>0</v>
      </c>
      <c r="AQ154">
        <v>2.86</v>
      </c>
      <c r="AR154">
        <v>0</v>
      </c>
      <c r="AS154">
        <v>0</v>
      </c>
      <c r="AT154">
        <v>121</v>
      </c>
      <c r="AU154">
        <v>61.2</v>
      </c>
      <c r="AV154">
        <v>1</v>
      </c>
      <c r="AW154">
        <v>1</v>
      </c>
      <c r="AZ154">
        <v>1</v>
      </c>
      <c r="BA154">
        <v>32.01</v>
      </c>
      <c r="BB154">
        <v>12.44</v>
      </c>
      <c r="BC154">
        <v>8.9</v>
      </c>
      <c r="BD154" t="s">
        <v>3</v>
      </c>
      <c r="BE154" t="s">
        <v>3</v>
      </c>
      <c r="BF154" t="s">
        <v>3</v>
      </c>
      <c r="BG154" t="s">
        <v>3</v>
      </c>
      <c r="BH154">
        <v>0</v>
      </c>
      <c r="BI154">
        <v>1</v>
      </c>
      <c r="BJ154" t="s">
        <v>430</v>
      </c>
      <c r="BM154">
        <v>16001</v>
      </c>
      <c r="BN154">
        <v>0</v>
      </c>
      <c r="BO154" t="s">
        <v>3</v>
      </c>
      <c r="BP154">
        <v>0</v>
      </c>
      <c r="BQ154">
        <v>2</v>
      </c>
      <c r="BR154">
        <v>0</v>
      </c>
      <c r="BS154">
        <v>32.01</v>
      </c>
      <c r="BT154">
        <v>1</v>
      </c>
      <c r="BU154">
        <v>1</v>
      </c>
      <c r="BV154">
        <v>1</v>
      </c>
      <c r="BW154">
        <v>1</v>
      </c>
      <c r="BX154">
        <v>1</v>
      </c>
      <c r="BY154" t="s">
        <v>3</v>
      </c>
      <c r="BZ154">
        <v>121</v>
      </c>
      <c r="CA154">
        <v>72</v>
      </c>
      <c r="CB154" t="s">
        <v>3</v>
      </c>
      <c r="CE154">
        <v>0</v>
      </c>
      <c r="CF154">
        <v>0</v>
      </c>
      <c r="CG154">
        <v>0</v>
      </c>
      <c r="CM154">
        <v>0</v>
      </c>
      <c r="CN154" t="s">
        <v>863</v>
      </c>
      <c r="CO154">
        <v>0</v>
      </c>
      <c r="CP154">
        <f t="shared" si="183"/>
        <v>6320.39</v>
      </c>
      <c r="CQ154">
        <f t="shared" si="184"/>
        <v>0</v>
      </c>
      <c r="CR154">
        <f>((((ET154*1.25))*BB154-((EU154*1.25))*BS154)+AE154*BS154)</f>
        <v>0</v>
      </c>
      <c r="CS154">
        <f t="shared" si="185"/>
        <v>0</v>
      </c>
      <c r="CT154">
        <f t="shared" si="186"/>
        <v>1074.8957999999998</v>
      </c>
      <c r="CU154">
        <f t="shared" si="187"/>
        <v>0</v>
      </c>
      <c r="CV154">
        <f t="shared" si="188"/>
        <v>3.2889999999999997</v>
      </c>
      <c r="CW154">
        <f t="shared" si="189"/>
        <v>0</v>
      </c>
      <c r="CX154">
        <f t="shared" si="190"/>
        <v>0</v>
      </c>
      <c r="CY154">
        <f t="shared" si="191"/>
        <v>7647.6719000000003</v>
      </c>
      <c r="CZ154">
        <f t="shared" si="192"/>
        <v>3868.0786800000001</v>
      </c>
      <c r="DC154" t="s">
        <v>3</v>
      </c>
      <c r="DD154" t="s">
        <v>3</v>
      </c>
      <c r="DE154" t="s">
        <v>148</v>
      </c>
      <c r="DF154" t="s">
        <v>148</v>
      </c>
      <c r="DG154" t="s">
        <v>149</v>
      </c>
      <c r="DH154" t="s">
        <v>3</v>
      </c>
      <c r="DI154" t="s">
        <v>149</v>
      </c>
      <c r="DJ154" t="s">
        <v>148</v>
      </c>
      <c r="DK154" t="s">
        <v>3</v>
      </c>
      <c r="DL154" t="s">
        <v>3</v>
      </c>
      <c r="DM154" t="s">
        <v>150</v>
      </c>
      <c r="DN154">
        <v>0</v>
      </c>
      <c r="DO154">
        <v>0</v>
      </c>
      <c r="DP154">
        <v>1</v>
      </c>
      <c r="DQ154">
        <v>1</v>
      </c>
      <c r="DU154">
        <v>3154213</v>
      </c>
      <c r="DV154" t="s">
        <v>421</v>
      </c>
      <c r="DW154" t="s">
        <v>421</v>
      </c>
      <c r="DX154">
        <v>1</v>
      </c>
      <c r="DZ154" t="s">
        <v>3</v>
      </c>
      <c r="EA154" t="s">
        <v>3</v>
      </c>
      <c r="EB154" t="s">
        <v>3</v>
      </c>
      <c r="EC154" t="s">
        <v>3</v>
      </c>
      <c r="EE154">
        <v>140625063</v>
      </c>
      <c r="EF154">
        <v>2</v>
      </c>
      <c r="EG154" t="s">
        <v>95</v>
      </c>
      <c r="EH154">
        <v>16</v>
      </c>
      <c r="EI154" t="s">
        <v>392</v>
      </c>
      <c r="EJ154">
        <v>1</v>
      </c>
      <c r="EK154">
        <v>16001</v>
      </c>
      <c r="EL154" t="s">
        <v>393</v>
      </c>
      <c r="EM154" t="s">
        <v>394</v>
      </c>
      <c r="EO154" t="s">
        <v>151</v>
      </c>
      <c r="EQ154">
        <v>0</v>
      </c>
      <c r="ER154">
        <v>29.2</v>
      </c>
      <c r="ES154">
        <v>0</v>
      </c>
      <c r="ET154">
        <v>0</v>
      </c>
      <c r="EU154">
        <v>0</v>
      </c>
      <c r="EV154">
        <v>29.2</v>
      </c>
      <c r="EW154">
        <v>2.86</v>
      </c>
      <c r="EX154">
        <v>0</v>
      </c>
      <c r="EY154">
        <v>0</v>
      </c>
      <c r="FQ154">
        <v>0</v>
      </c>
      <c r="FR154">
        <f t="shared" si="193"/>
        <v>0</v>
      </c>
      <c r="FS154">
        <v>0</v>
      </c>
      <c r="FX154">
        <v>121</v>
      </c>
      <c r="FY154">
        <v>61.2</v>
      </c>
      <c r="GA154" t="s">
        <v>3</v>
      </c>
      <c r="GD154">
        <v>1</v>
      </c>
      <c r="GF154">
        <v>1431760956</v>
      </c>
      <c r="GG154">
        <v>2</v>
      </c>
      <c r="GH154">
        <v>1</v>
      </c>
      <c r="GI154">
        <v>4</v>
      </c>
      <c r="GJ154">
        <v>0</v>
      </c>
      <c r="GK154">
        <v>0</v>
      </c>
      <c r="GL154">
        <f t="shared" si="194"/>
        <v>0</v>
      </c>
      <c r="GM154">
        <f t="shared" si="195"/>
        <v>17836.14</v>
      </c>
      <c r="GN154">
        <f t="shared" si="196"/>
        <v>17836.14</v>
      </c>
      <c r="GO154">
        <f t="shared" si="197"/>
        <v>0</v>
      </c>
      <c r="GP154">
        <f t="shared" si="198"/>
        <v>0</v>
      </c>
      <c r="GR154">
        <v>0</v>
      </c>
      <c r="GS154">
        <v>3</v>
      </c>
      <c r="GT154">
        <v>0</v>
      </c>
      <c r="GU154" t="s">
        <v>3</v>
      </c>
      <c r="GV154">
        <f t="shared" si="199"/>
        <v>0</v>
      </c>
      <c r="GW154">
        <v>1</v>
      </c>
      <c r="GX154">
        <f t="shared" si="200"/>
        <v>0</v>
      </c>
      <c r="HA154">
        <v>0</v>
      </c>
      <c r="HB154">
        <v>0</v>
      </c>
      <c r="HC154">
        <f t="shared" si="201"/>
        <v>0</v>
      </c>
      <c r="HE154" t="s">
        <v>3</v>
      </c>
      <c r="HF154" t="s">
        <v>3</v>
      </c>
      <c r="HM154" t="s">
        <v>3</v>
      </c>
      <c r="HN154" t="s">
        <v>395</v>
      </c>
      <c r="HO154" t="s">
        <v>396</v>
      </c>
      <c r="HP154" t="s">
        <v>392</v>
      </c>
      <c r="HQ154" t="s">
        <v>392</v>
      </c>
      <c r="IK154">
        <v>0</v>
      </c>
    </row>
    <row r="155" spans="1:245" x14ac:dyDescent="0.2">
      <c r="A155">
        <v>17</v>
      </c>
      <c r="B155">
        <v>1</v>
      </c>
      <c r="E155" t="s">
        <v>431</v>
      </c>
      <c r="F155" t="s">
        <v>29</v>
      </c>
      <c r="G155" t="s">
        <v>432</v>
      </c>
      <c r="H155" t="s">
        <v>191</v>
      </c>
      <c r="I155">
        <f>ROUND(ROUND(I153*98.05,2),9)</f>
        <v>145.11000000000001</v>
      </c>
      <c r="J155">
        <v>0</v>
      </c>
      <c r="K155">
        <f>ROUND(ROUND(I153*98.05,2),9)</f>
        <v>145.11000000000001</v>
      </c>
      <c r="O155">
        <f t="shared" si="166"/>
        <v>21361.06</v>
      </c>
      <c r="P155">
        <f t="shared" si="167"/>
        <v>21361.06</v>
      </c>
      <c r="Q155">
        <f t="shared" si="168"/>
        <v>0</v>
      </c>
      <c r="R155">
        <f t="shared" si="169"/>
        <v>0</v>
      </c>
      <c r="S155">
        <f t="shared" si="170"/>
        <v>0</v>
      </c>
      <c r="T155">
        <f t="shared" si="171"/>
        <v>0</v>
      </c>
      <c r="U155">
        <f t="shared" si="172"/>
        <v>0</v>
      </c>
      <c r="V155">
        <f t="shared" si="173"/>
        <v>0</v>
      </c>
      <c r="W155">
        <f t="shared" si="174"/>
        <v>0</v>
      </c>
      <c r="X155">
        <f t="shared" si="175"/>
        <v>0</v>
      </c>
      <c r="Y155">
        <f t="shared" si="176"/>
        <v>0</v>
      </c>
      <c r="AA155">
        <v>145026783</v>
      </c>
      <c r="AB155">
        <f t="shared" si="177"/>
        <v>16.54</v>
      </c>
      <c r="AC155">
        <f t="shared" si="178"/>
        <v>16.54</v>
      </c>
      <c r="AD155">
        <f>ROUND((((ET155)-(EU155))+AE155),2)</f>
        <v>0</v>
      </c>
      <c r="AE155">
        <f t="shared" ref="AE155:AF158" si="206">ROUND((EU155),2)</f>
        <v>0</v>
      </c>
      <c r="AF155">
        <f t="shared" si="206"/>
        <v>0</v>
      </c>
      <c r="AG155">
        <f t="shared" si="180"/>
        <v>0</v>
      </c>
      <c r="AH155">
        <f t="shared" ref="AH155:AI158" si="207">(EW155)</f>
        <v>0</v>
      </c>
      <c r="AI155">
        <f t="shared" si="207"/>
        <v>0</v>
      </c>
      <c r="AJ155">
        <f t="shared" si="182"/>
        <v>0</v>
      </c>
      <c r="AK155">
        <v>16.54</v>
      </c>
      <c r="AL155">
        <v>16.54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1</v>
      </c>
      <c r="AW155">
        <v>1</v>
      </c>
      <c r="AZ155">
        <v>1</v>
      </c>
      <c r="BA155">
        <v>1</v>
      </c>
      <c r="BB155">
        <v>1</v>
      </c>
      <c r="BC155">
        <v>8.9</v>
      </c>
      <c r="BD155" t="s">
        <v>3</v>
      </c>
      <c r="BE155" t="s">
        <v>3</v>
      </c>
      <c r="BF155" t="s">
        <v>3</v>
      </c>
      <c r="BG155" t="s">
        <v>3</v>
      </c>
      <c r="BH155">
        <v>3</v>
      </c>
      <c r="BI155">
        <v>1</v>
      </c>
      <c r="BJ155" t="s">
        <v>3</v>
      </c>
      <c r="BM155">
        <v>1100</v>
      </c>
      <c r="BN155">
        <v>0</v>
      </c>
      <c r="BO155" t="s">
        <v>3</v>
      </c>
      <c r="BP155">
        <v>0</v>
      </c>
      <c r="BQ155">
        <v>8</v>
      </c>
      <c r="BR155">
        <v>0</v>
      </c>
      <c r="BS155">
        <v>1</v>
      </c>
      <c r="BT155">
        <v>1</v>
      </c>
      <c r="BU155">
        <v>1</v>
      </c>
      <c r="BV155">
        <v>1</v>
      </c>
      <c r="BW155">
        <v>1</v>
      </c>
      <c r="BX155">
        <v>1</v>
      </c>
      <c r="BY155" t="s">
        <v>3</v>
      </c>
      <c r="BZ155">
        <v>0</v>
      </c>
      <c r="CA155">
        <v>0</v>
      </c>
      <c r="CB155" t="s">
        <v>3</v>
      </c>
      <c r="CE155">
        <v>0</v>
      </c>
      <c r="CF155">
        <v>0</v>
      </c>
      <c r="CG155">
        <v>0</v>
      </c>
      <c r="CM155">
        <v>0</v>
      </c>
      <c r="CN155" t="s">
        <v>3</v>
      </c>
      <c r="CO155">
        <v>0</v>
      </c>
      <c r="CP155">
        <f t="shared" si="183"/>
        <v>21361.06</v>
      </c>
      <c r="CQ155">
        <f t="shared" si="184"/>
        <v>147.20599999999999</v>
      </c>
      <c r="CR155">
        <f>(((ET155)*BB155-(EU155)*BS155)+AE155*BS155)</f>
        <v>0</v>
      </c>
      <c r="CS155">
        <f t="shared" si="185"/>
        <v>0</v>
      </c>
      <c r="CT155">
        <f t="shared" si="186"/>
        <v>0</v>
      </c>
      <c r="CU155">
        <f t="shared" si="187"/>
        <v>0</v>
      </c>
      <c r="CV155">
        <f t="shared" si="188"/>
        <v>0</v>
      </c>
      <c r="CW155">
        <f t="shared" si="189"/>
        <v>0</v>
      </c>
      <c r="CX155">
        <f t="shared" si="190"/>
        <v>0</v>
      </c>
      <c r="CY155">
        <f t="shared" si="191"/>
        <v>0</v>
      </c>
      <c r="CZ155">
        <f t="shared" si="192"/>
        <v>0</v>
      </c>
      <c r="DC155" t="s">
        <v>3</v>
      </c>
      <c r="DD155" t="s">
        <v>3</v>
      </c>
      <c r="DE155" t="s">
        <v>3</v>
      </c>
      <c r="DF155" t="s">
        <v>3</v>
      </c>
      <c r="DG155" t="s">
        <v>3</v>
      </c>
      <c r="DH155" t="s">
        <v>3</v>
      </c>
      <c r="DI155" t="s">
        <v>3</v>
      </c>
      <c r="DJ155" t="s">
        <v>3</v>
      </c>
      <c r="DK155" t="s">
        <v>3</v>
      </c>
      <c r="DL155" t="s">
        <v>3</v>
      </c>
      <c r="DM155" t="s">
        <v>3</v>
      </c>
      <c r="DN155">
        <v>0</v>
      </c>
      <c r="DO155">
        <v>0</v>
      </c>
      <c r="DP155">
        <v>1</v>
      </c>
      <c r="DQ155">
        <v>1</v>
      </c>
      <c r="DU155">
        <v>1003</v>
      </c>
      <c r="DV155" t="s">
        <v>191</v>
      </c>
      <c r="DW155" t="s">
        <v>191</v>
      </c>
      <c r="DX155">
        <v>1</v>
      </c>
      <c r="DZ155" t="s">
        <v>3</v>
      </c>
      <c r="EA155" t="s">
        <v>3</v>
      </c>
      <c r="EB155" t="s">
        <v>3</v>
      </c>
      <c r="EC155" t="s">
        <v>3</v>
      </c>
      <c r="EE155">
        <v>140625274</v>
      </c>
      <c r="EF155">
        <v>8</v>
      </c>
      <c r="EG155" t="s">
        <v>32</v>
      </c>
      <c r="EH155">
        <v>0</v>
      </c>
      <c r="EI155" t="s">
        <v>3</v>
      </c>
      <c r="EJ155">
        <v>1</v>
      </c>
      <c r="EK155">
        <v>1100</v>
      </c>
      <c r="EL155" t="s">
        <v>33</v>
      </c>
      <c r="EM155" t="s">
        <v>34</v>
      </c>
      <c r="EO155" t="s">
        <v>3</v>
      </c>
      <c r="EQ155">
        <v>0</v>
      </c>
      <c r="ER155">
        <v>16.54</v>
      </c>
      <c r="ES155">
        <v>16.54</v>
      </c>
      <c r="ET155">
        <v>0</v>
      </c>
      <c r="EU155">
        <v>0</v>
      </c>
      <c r="EV155">
        <v>0</v>
      </c>
      <c r="EW155">
        <v>0</v>
      </c>
      <c r="EX155">
        <v>0</v>
      </c>
      <c r="EY155">
        <v>0</v>
      </c>
      <c r="EZ155">
        <v>5</v>
      </c>
      <c r="FC155">
        <v>1</v>
      </c>
      <c r="FD155">
        <v>18</v>
      </c>
      <c r="FF155">
        <v>165</v>
      </c>
      <c r="FQ155">
        <v>0</v>
      </c>
      <c r="FR155">
        <f t="shared" si="193"/>
        <v>0</v>
      </c>
      <c r="FS155">
        <v>0</v>
      </c>
      <c r="FX155">
        <v>0</v>
      </c>
      <c r="FY155">
        <v>0</v>
      </c>
      <c r="GA155" t="s">
        <v>433</v>
      </c>
      <c r="GD155">
        <v>1</v>
      </c>
      <c r="GF155">
        <v>137859066</v>
      </c>
      <c r="GG155">
        <v>2</v>
      </c>
      <c r="GH155">
        <v>3</v>
      </c>
      <c r="GI155">
        <v>4</v>
      </c>
      <c r="GJ155">
        <v>0</v>
      </c>
      <c r="GK155">
        <v>0</v>
      </c>
      <c r="GL155">
        <f t="shared" si="194"/>
        <v>0</v>
      </c>
      <c r="GM155">
        <f t="shared" si="195"/>
        <v>21361.06</v>
      </c>
      <c r="GN155">
        <f t="shared" si="196"/>
        <v>21361.06</v>
      </c>
      <c r="GO155">
        <f t="shared" si="197"/>
        <v>0</v>
      </c>
      <c r="GP155">
        <f t="shared" si="198"/>
        <v>0</v>
      </c>
      <c r="GR155">
        <v>1</v>
      </c>
      <c r="GS155">
        <v>1</v>
      </c>
      <c r="GT155">
        <v>0</v>
      </c>
      <c r="GU155" t="s">
        <v>3</v>
      </c>
      <c r="GV155">
        <f t="shared" si="199"/>
        <v>0</v>
      </c>
      <c r="GW155">
        <v>1</v>
      </c>
      <c r="GX155">
        <f t="shared" si="200"/>
        <v>0</v>
      </c>
      <c r="HA155">
        <v>0</v>
      </c>
      <c r="HB155">
        <v>0</v>
      </c>
      <c r="HC155">
        <f t="shared" si="201"/>
        <v>0</v>
      </c>
      <c r="HE155" t="s">
        <v>36</v>
      </c>
      <c r="HF155" t="s">
        <v>28</v>
      </c>
      <c r="HM155" t="s">
        <v>3</v>
      </c>
      <c r="HN155" t="s">
        <v>3</v>
      </c>
      <c r="HO155" t="s">
        <v>3</v>
      </c>
      <c r="HP155" t="s">
        <v>3</v>
      </c>
      <c r="HQ155" t="s">
        <v>3</v>
      </c>
      <c r="IK155">
        <v>0</v>
      </c>
    </row>
    <row r="156" spans="1:245" x14ac:dyDescent="0.2">
      <c r="A156">
        <v>17</v>
      </c>
      <c r="B156">
        <v>1</v>
      </c>
      <c r="E156" t="s">
        <v>434</v>
      </c>
      <c r="F156" t="s">
        <v>29</v>
      </c>
      <c r="G156" t="s">
        <v>435</v>
      </c>
      <c r="H156" t="s">
        <v>31</v>
      </c>
      <c r="I156">
        <v>98</v>
      </c>
      <c r="J156">
        <v>0</v>
      </c>
      <c r="K156">
        <v>98</v>
      </c>
      <c r="O156">
        <f t="shared" si="166"/>
        <v>22825.47</v>
      </c>
      <c r="P156">
        <f t="shared" si="167"/>
        <v>22825.47</v>
      </c>
      <c r="Q156">
        <f t="shared" si="168"/>
        <v>0</v>
      </c>
      <c r="R156">
        <f t="shared" si="169"/>
        <v>0</v>
      </c>
      <c r="S156">
        <f t="shared" si="170"/>
        <v>0</v>
      </c>
      <c r="T156">
        <f t="shared" si="171"/>
        <v>0</v>
      </c>
      <c r="U156">
        <f t="shared" si="172"/>
        <v>0</v>
      </c>
      <c r="V156">
        <f t="shared" si="173"/>
        <v>0</v>
      </c>
      <c r="W156">
        <f t="shared" si="174"/>
        <v>0</v>
      </c>
      <c r="X156">
        <f t="shared" si="175"/>
        <v>0</v>
      </c>
      <c r="Y156">
        <f t="shared" si="176"/>
        <v>0</v>
      </c>
      <c r="AA156">
        <v>145026783</v>
      </c>
      <c r="AB156">
        <f t="shared" si="177"/>
        <v>26.17</v>
      </c>
      <c r="AC156">
        <f t="shared" si="178"/>
        <v>26.17</v>
      </c>
      <c r="AD156">
        <f>ROUND((((ET156)-(EU156))+AE156),2)</f>
        <v>0</v>
      </c>
      <c r="AE156">
        <f t="shared" si="206"/>
        <v>0</v>
      </c>
      <c r="AF156">
        <f t="shared" si="206"/>
        <v>0</v>
      </c>
      <c r="AG156">
        <f t="shared" si="180"/>
        <v>0</v>
      </c>
      <c r="AH156">
        <f t="shared" si="207"/>
        <v>0</v>
      </c>
      <c r="AI156">
        <f t="shared" si="207"/>
        <v>0</v>
      </c>
      <c r="AJ156">
        <f t="shared" si="182"/>
        <v>0</v>
      </c>
      <c r="AK156">
        <v>26.17</v>
      </c>
      <c r="AL156">
        <v>26.17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1</v>
      </c>
      <c r="AW156">
        <v>1</v>
      </c>
      <c r="AZ156">
        <v>1</v>
      </c>
      <c r="BA156">
        <v>1</v>
      </c>
      <c r="BB156">
        <v>1</v>
      </c>
      <c r="BC156">
        <v>8.9</v>
      </c>
      <c r="BD156" t="s">
        <v>3</v>
      </c>
      <c r="BE156" t="s">
        <v>3</v>
      </c>
      <c r="BF156" t="s">
        <v>3</v>
      </c>
      <c r="BG156" t="s">
        <v>3</v>
      </c>
      <c r="BH156">
        <v>3</v>
      </c>
      <c r="BI156">
        <v>1</v>
      </c>
      <c r="BJ156" t="s">
        <v>3</v>
      </c>
      <c r="BM156">
        <v>1100</v>
      </c>
      <c r="BN156">
        <v>0</v>
      </c>
      <c r="BO156" t="s">
        <v>3</v>
      </c>
      <c r="BP156">
        <v>0</v>
      </c>
      <c r="BQ156">
        <v>8</v>
      </c>
      <c r="BR156">
        <v>0</v>
      </c>
      <c r="BS156">
        <v>1</v>
      </c>
      <c r="BT156">
        <v>1</v>
      </c>
      <c r="BU156">
        <v>1</v>
      </c>
      <c r="BV156">
        <v>1</v>
      </c>
      <c r="BW156">
        <v>1</v>
      </c>
      <c r="BX156">
        <v>1</v>
      </c>
      <c r="BY156" t="s">
        <v>3</v>
      </c>
      <c r="BZ156">
        <v>0</v>
      </c>
      <c r="CA156">
        <v>0</v>
      </c>
      <c r="CB156" t="s">
        <v>3</v>
      </c>
      <c r="CE156">
        <v>0</v>
      </c>
      <c r="CF156">
        <v>0</v>
      </c>
      <c r="CG156">
        <v>0</v>
      </c>
      <c r="CM156">
        <v>0</v>
      </c>
      <c r="CN156" t="s">
        <v>3</v>
      </c>
      <c r="CO156">
        <v>0</v>
      </c>
      <c r="CP156">
        <f t="shared" si="183"/>
        <v>22825.47</v>
      </c>
      <c r="CQ156">
        <f t="shared" si="184"/>
        <v>232.91300000000001</v>
      </c>
      <c r="CR156">
        <f>(((ET156)*BB156-(EU156)*BS156)+AE156*BS156)</f>
        <v>0</v>
      </c>
      <c r="CS156">
        <f t="shared" si="185"/>
        <v>0</v>
      </c>
      <c r="CT156">
        <f t="shared" si="186"/>
        <v>0</v>
      </c>
      <c r="CU156">
        <f t="shared" si="187"/>
        <v>0</v>
      </c>
      <c r="CV156">
        <f t="shared" si="188"/>
        <v>0</v>
      </c>
      <c r="CW156">
        <f t="shared" si="189"/>
        <v>0</v>
      </c>
      <c r="CX156">
        <f t="shared" si="190"/>
        <v>0</v>
      </c>
      <c r="CY156">
        <f t="shared" si="191"/>
        <v>0</v>
      </c>
      <c r="CZ156">
        <f t="shared" si="192"/>
        <v>0</v>
      </c>
      <c r="DC156" t="s">
        <v>3</v>
      </c>
      <c r="DD156" t="s">
        <v>3</v>
      </c>
      <c r="DE156" t="s">
        <v>3</v>
      </c>
      <c r="DF156" t="s">
        <v>3</v>
      </c>
      <c r="DG156" t="s">
        <v>3</v>
      </c>
      <c r="DH156" t="s">
        <v>3</v>
      </c>
      <c r="DI156" t="s">
        <v>3</v>
      </c>
      <c r="DJ156" t="s">
        <v>3</v>
      </c>
      <c r="DK156" t="s">
        <v>3</v>
      </c>
      <c r="DL156" t="s">
        <v>3</v>
      </c>
      <c r="DM156" t="s">
        <v>3</v>
      </c>
      <c r="DN156">
        <v>0</v>
      </c>
      <c r="DO156">
        <v>0</v>
      </c>
      <c r="DP156">
        <v>1</v>
      </c>
      <c r="DQ156">
        <v>1</v>
      </c>
      <c r="DU156">
        <v>1010</v>
      </c>
      <c r="DV156" t="s">
        <v>31</v>
      </c>
      <c r="DW156" t="s">
        <v>31</v>
      </c>
      <c r="DX156">
        <v>1</v>
      </c>
      <c r="DZ156" t="s">
        <v>3</v>
      </c>
      <c r="EA156" t="s">
        <v>3</v>
      </c>
      <c r="EB156" t="s">
        <v>3</v>
      </c>
      <c r="EC156" t="s">
        <v>3</v>
      </c>
      <c r="EE156">
        <v>140625274</v>
      </c>
      <c r="EF156">
        <v>8</v>
      </c>
      <c r="EG156" t="s">
        <v>32</v>
      </c>
      <c r="EH156">
        <v>0</v>
      </c>
      <c r="EI156" t="s">
        <v>3</v>
      </c>
      <c r="EJ156">
        <v>1</v>
      </c>
      <c r="EK156">
        <v>1100</v>
      </c>
      <c r="EL156" t="s">
        <v>33</v>
      </c>
      <c r="EM156" t="s">
        <v>34</v>
      </c>
      <c r="EO156" t="s">
        <v>3</v>
      </c>
      <c r="EQ156">
        <v>0</v>
      </c>
      <c r="ER156">
        <v>26.17</v>
      </c>
      <c r="ES156">
        <v>26.17</v>
      </c>
      <c r="ET156">
        <v>0</v>
      </c>
      <c r="EU156">
        <v>0</v>
      </c>
      <c r="EV156">
        <v>0</v>
      </c>
      <c r="EW156">
        <v>0</v>
      </c>
      <c r="EX156">
        <v>0</v>
      </c>
      <c r="EY156">
        <v>0</v>
      </c>
      <c r="EZ156">
        <v>5</v>
      </c>
      <c r="FC156">
        <v>1</v>
      </c>
      <c r="FD156">
        <v>18</v>
      </c>
      <c r="FF156">
        <v>261</v>
      </c>
      <c r="FQ156">
        <v>0</v>
      </c>
      <c r="FR156">
        <f t="shared" si="193"/>
        <v>0</v>
      </c>
      <c r="FS156">
        <v>0</v>
      </c>
      <c r="FX156">
        <v>0</v>
      </c>
      <c r="FY156">
        <v>0</v>
      </c>
      <c r="GA156" t="s">
        <v>436</v>
      </c>
      <c r="GD156">
        <v>1</v>
      </c>
      <c r="GF156">
        <v>-1160037995</v>
      </c>
      <c r="GG156">
        <v>2</v>
      </c>
      <c r="GH156">
        <v>3</v>
      </c>
      <c r="GI156">
        <v>4</v>
      </c>
      <c r="GJ156">
        <v>0</v>
      </c>
      <c r="GK156">
        <v>0</v>
      </c>
      <c r="GL156">
        <f t="shared" si="194"/>
        <v>0</v>
      </c>
      <c r="GM156">
        <f t="shared" si="195"/>
        <v>22825.47</v>
      </c>
      <c r="GN156">
        <f t="shared" si="196"/>
        <v>22825.47</v>
      </c>
      <c r="GO156">
        <f t="shared" si="197"/>
        <v>0</v>
      </c>
      <c r="GP156">
        <f t="shared" si="198"/>
        <v>0</v>
      </c>
      <c r="GR156">
        <v>1</v>
      </c>
      <c r="GS156">
        <v>1</v>
      </c>
      <c r="GT156">
        <v>0</v>
      </c>
      <c r="GU156" t="s">
        <v>3</v>
      </c>
      <c r="GV156">
        <f t="shared" si="199"/>
        <v>0</v>
      </c>
      <c r="GW156">
        <v>1</v>
      </c>
      <c r="GX156">
        <f t="shared" si="200"/>
        <v>0</v>
      </c>
      <c r="HA156">
        <v>0</v>
      </c>
      <c r="HB156">
        <v>0</v>
      </c>
      <c r="HC156">
        <f t="shared" si="201"/>
        <v>0</v>
      </c>
      <c r="HE156" t="s">
        <v>36</v>
      </c>
      <c r="HF156" t="s">
        <v>28</v>
      </c>
      <c r="HM156" t="s">
        <v>3</v>
      </c>
      <c r="HN156" t="s">
        <v>3</v>
      </c>
      <c r="HO156" t="s">
        <v>3</v>
      </c>
      <c r="HP156" t="s">
        <v>3</v>
      </c>
      <c r="HQ156" t="s">
        <v>3</v>
      </c>
      <c r="IK156">
        <v>0</v>
      </c>
    </row>
    <row r="157" spans="1:245" x14ac:dyDescent="0.2">
      <c r="A157">
        <v>17</v>
      </c>
      <c r="B157">
        <v>1</v>
      </c>
      <c r="E157" t="s">
        <v>437</v>
      </c>
      <c r="F157" t="s">
        <v>29</v>
      </c>
      <c r="G157" t="s">
        <v>438</v>
      </c>
      <c r="H157" t="s">
        <v>31</v>
      </c>
      <c r="I157">
        <v>98</v>
      </c>
      <c r="J157">
        <v>0</v>
      </c>
      <c r="K157">
        <v>98</v>
      </c>
      <c r="O157">
        <f t="shared" si="166"/>
        <v>6933.99</v>
      </c>
      <c r="P157">
        <f t="shared" si="167"/>
        <v>6933.99</v>
      </c>
      <c r="Q157">
        <f t="shared" si="168"/>
        <v>0</v>
      </c>
      <c r="R157">
        <f t="shared" si="169"/>
        <v>0</v>
      </c>
      <c r="S157">
        <f t="shared" si="170"/>
        <v>0</v>
      </c>
      <c r="T157">
        <f t="shared" si="171"/>
        <v>0</v>
      </c>
      <c r="U157">
        <f t="shared" si="172"/>
        <v>0</v>
      </c>
      <c r="V157">
        <f t="shared" si="173"/>
        <v>0</v>
      </c>
      <c r="W157">
        <f t="shared" si="174"/>
        <v>0</v>
      </c>
      <c r="X157">
        <f t="shared" si="175"/>
        <v>0</v>
      </c>
      <c r="Y157">
        <f t="shared" si="176"/>
        <v>0</v>
      </c>
      <c r="AA157">
        <v>145026783</v>
      </c>
      <c r="AB157">
        <f t="shared" si="177"/>
        <v>7.95</v>
      </c>
      <c r="AC157">
        <f t="shared" si="178"/>
        <v>7.95</v>
      </c>
      <c r="AD157">
        <f>ROUND((((ET157)-(EU157))+AE157),2)</f>
        <v>0</v>
      </c>
      <c r="AE157">
        <f t="shared" si="206"/>
        <v>0</v>
      </c>
      <c r="AF157">
        <f t="shared" si="206"/>
        <v>0</v>
      </c>
      <c r="AG157">
        <f t="shared" si="180"/>
        <v>0</v>
      </c>
      <c r="AH157">
        <f t="shared" si="207"/>
        <v>0</v>
      </c>
      <c r="AI157">
        <f t="shared" si="207"/>
        <v>0</v>
      </c>
      <c r="AJ157">
        <f t="shared" si="182"/>
        <v>0</v>
      </c>
      <c r="AK157">
        <v>7.95</v>
      </c>
      <c r="AL157">
        <v>7.95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1</v>
      </c>
      <c r="AW157">
        <v>1</v>
      </c>
      <c r="AZ157">
        <v>1</v>
      </c>
      <c r="BA157">
        <v>1</v>
      </c>
      <c r="BB157">
        <v>1</v>
      </c>
      <c r="BC157">
        <v>8.9</v>
      </c>
      <c r="BD157" t="s">
        <v>3</v>
      </c>
      <c r="BE157" t="s">
        <v>3</v>
      </c>
      <c r="BF157" t="s">
        <v>3</v>
      </c>
      <c r="BG157" t="s">
        <v>3</v>
      </c>
      <c r="BH157">
        <v>3</v>
      </c>
      <c r="BI157">
        <v>1</v>
      </c>
      <c r="BJ157" t="s">
        <v>3</v>
      </c>
      <c r="BM157">
        <v>1100</v>
      </c>
      <c r="BN157">
        <v>0</v>
      </c>
      <c r="BO157" t="s">
        <v>3</v>
      </c>
      <c r="BP157">
        <v>0</v>
      </c>
      <c r="BQ157">
        <v>8</v>
      </c>
      <c r="BR157">
        <v>0</v>
      </c>
      <c r="BS157">
        <v>1</v>
      </c>
      <c r="BT157">
        <v>1</v>
      </c>
      <c r="BU157">
        <v>1</v>
      </c>
      <c r="BV157">
        <v>1</v>
      </c>
      <c r="BW157">
        <v>1</v>
      </c>
      <c r="BX157">
        <v>1</v>
      </c>
      <c r="BY157" t="s">
        <v>3</v>
      </c>
      <c r="BZ157">
        <v>0</v>
      </c>
      <c r="CA157">
        <v>0</v>
      </c>
      <c r="CB157" t="s">
        <v>3</v>
      </c>
      <c r="CE157">
        <v>0</v>
      </c>
      <c r="CF157">
        <v>0</v>
      </c>
      <c r="CG157">
        <v>0</v>
      </c>
      <c r="CM157">
        <v>0</v>
      </c>
      <c r="CN157" t="s">
        <v>3</v>
      </c>
      <c r="CO157">
        <v>0</v>
      </c>
      <c r="CP157">
        <f t="shared" si="183"/>
        <v>6933.99</v>
      </c>
      <c r="CQ157">
        <f t="shared" si="184"/>
        <v>70.75500000000001</v>
      </c>
      <c r="CR157">
        <f>(((ET157)*BB157-(EU157)*BS157)+AE157*BS157)</f>
        <v>0</v>
      </c>
      <c r="CS157">
        <f t="shared" si="185"/>
        <v>0</v>
      </c>
      <c r="CT157">
        <f t="shared" si="186"/>
        <v>0</v>
      </c>
      <c r="CU157">
        <f t="shared" si="187"/>
        <v>0</v>
      </c>
      <c r="CV157">
        <f t="shared" si="188"/>
        <v>0</v>
      </c>
      <c r="CW157">
        <f t="shared" si="189"/>
        <v>0</v>
      </c>
      <c r="CX157">
        <f t="shared" si="190"/>
        <v>0</v>
      </c>
      <c r="CY157">
        <f t="shared" si="191"/>
        <v>0</v>
      </c>
      <c r="CZ157">
        <f t="shared" si="192"/>
        <v>0</v>
      </c>
      <c r="DC157" t="s">
        <v>3</v>
      </c>
      <c r="DD157" t="s">
        <v>3</v>
      </c>
      <c r="DE157" t="s">
        <v>3</v>
      </c>
      <c r="DF157" t="s">
        <v>3</v>
      </c>
      <c r="DG157" t="s">
        <v>3</v>
      </c>
      <c r="DH157" t="s">
        <v>3</v>
      </c>
      <c r="DI157" t="s">
        <v>3</v>
      </c>
      <c r="DJ157" t="s">
        <v>3</v>
      </c>
      <c r="DK157" t="s">
        <v>3</v>
      </c>
      <c r="DL157" t="s">
        <v>3</v>
      </c>
      <c r="DM157" t="s">
        <v>3</v>
      </c>
      <c r="DN157">
        <v>0</v>
      </c>
      <c r="DO157">
        <v>0</v>
      </c>
      <c r="DP157">
        <v>1</v>
      </c>
      <c r="DQ157">
        <v>1</v>
      </c>
      <c r="DU157">
        <v>1010</v>
      </c>
      <c r="DV157" t="s">
        <v>31</v>
      </c>
      <c r="DW157" t="s">
        <v>31</v>
      </c>
      <c r="DX157">
        <v>1</v>
      </c>
      <c r="DZ157" t="s">
        <v>3</v>
      </c>
      <c r="EA157" t="s">
        <v>3</v>
      </c>
      <c r="EB157" t="s">
        <v>3</v>
      </c>
      <c r="EC157" t="s">
        <v>3</v>
      </c>
      <c r="EE157">
        <v>140625274</v>
      </c>
      <c r="EF157">
        <v>8</v>
      </c>
      <c r="EG157" t="s">
        <v>32</v>
      </c>
      <c r="EH157">
        <v>0</v>
      </c>
      <c r="EI157" t="s">
        <v>3</v>
      </c>
      <c r="EJ157">
        <v>1</v>
      </c>
      <c r="EK157">
        <v>1100</v>
      </c>
      <c r="EL157" t="s">
        <v>33</v>
      </c>
      <c r="EM157" t="s">
        <v>34</v>
      </c>
      <c r="EO157" t="s">
        <v>3</v>
      </c>
      <c r="EQ157">
        <v>0</v>
      </c>
      <c r="ER157">
        <v>7.95</v>
      </c>
      <c r="ES157">
        <v>7.95</v>
      </c>
      <c r="ET157">
        <v>0</v>
      </c>
      <c r="EU157">
        <v>0</v>
      </c>
      <c r="EV157">
        <v>0</v>
      </c>
      <c r="EW157">
        <v>0</v>
      </c>
      <c r="EX157">
        <v>0</v>
      </c>
      <c r="EY157">
        <v>0</v>
      </c>
      <c r="EZ157">
        <v>5</v>
      </c>
      <c r="FC157">
        <v>1</v>
      </c>
      <c r="FD157">
        <v>18</v>
      </c>
      <c r="FF157">
        <v>79.2</v>
      </c>
      <c r="FQ157">
        <v>0</v>
      </c>
      <c r="FR157">
        <f t="shared" si="193"/>
        <v>0</v>
      </c>
      <c r="FS157">
        <v>0</v>
      </c>
      <c r="FX157">
        <v>0</v>
      </c>
      <c r="FY157">
        <v>0</v>
      </c>
      <c r="GA157" t="s">
        <v>439</v>
      </c>
      <c r="GD157">
        <v>1</v>
      </c>
      <c r="GF157">
        <v>902443054</v>
      </c>
      <c r="GG157">
        <v>2</v>
      </c>
      <c r="GH157">
        <v>3</v>
      </c>
      <c r="GI157">
        <v>4</v>
      </c>
      <c r="GJ157">
        <v>0</v>
      </c>
      <c r="GK157">
        <v>0</v>
      </c>
      <c r="GL157">
        <f t="shared" si="194"/>
        <v>0</v>
      </c>
      <c r="GM157">
        <f t="shared" si="195"/>
        <v>6933.99</v>
      </c>
      <c r="GN157">
        <f t="shared" si="196"/>
        <v>6933.99</v>
      </c>
      <c r="GO157">
        <f t="shared" si="197"/>
        <v>0</v>
      </c>
      <c r="GP157">
        <f t="shared" si="198"/>
        <v>0</v>
      </c>
      <c r="GR157">
        <v>1</v>
      </c>
      <c r="GS157">
        <v>1</v>
      </c>
      <c r="GT157">
        <v>0</v>
      </c>
      <c r="GU157" t="s">
        <v>3</v>
      </c>
      <c r="GV157">
        <f t="shared" si="199"/>
        <v>0</v>
      </c>
      <c r="GW157">
        <v>1</v>
      </c>
      <c r="GX157">
        <f t="shared" si="200"/>
        <v>0</v>
      </c>
      <c r="HA157">
        <v>0</v>
      </c>
      <c r="HB157">
        <v>0</v>
      </c>
      <c r="HC157">
        <f t="shared" si="201"/>
        <v>0</v>
      </c>
      <c r="HE157" t="s">
        <v>36</v>
      </c>
      <c r="HF157" t="s">
        <v>28</v>
      </c>
      <c r="HM157" t="s">
        <v>3</v>
      </c>
      <c r="HN157" t="s">
        <v>3</v>
      </c>
      <c r="HO157" t="s">
        <v>3</v>
      </c>
      <c r="HP157" t="s">
        <v>3</v>
      </c>
      <c r="HQ157" t="s">
        <v>3</v>
      </c>
      <c r="IK157">
        <v>0</v>
      </c>
    </row>
    <row r="158" spans="1:245" x14ac:dyDescent="0.2">
      <c r="A158">
        <v>17</v>
      </c>
      <c r="B158">
        <v>1</v>
      </c>
      <c r="E158" t="s">
        <v>440</v>
      </c>
      <c r="F158" t="s">
        <v>29</v>
      </c>
      <c r="G158" t="s">
        <v>441</v>
      </c>
      <c r="H158" t="s">
        <v>31</v>
      </c>
      <c r="I158">
        <v>98</v>
      </c>
      <c r="J158">
        <v>0</v>
      </c>
      <c r="K158">
        <v>98</v>
      </c>
      <c r="O158">
        <f t="shared" si="166"/>
        <v>51076.03</v>
      </c>
      <c r="P158">
        <f t="shared" si="167"/>
        <v>51076.03</v>
      </c>
      <c r="Q158">
        <f t="shared" si="168"/>
        <v>0</v>
      </c>
      <c r="R158">
        <f t="shared" si="169"/>
        <v>0</v>
      </c>
      <c r="S158">
        <f t="shared" si="170"/>
        <v>0</v>
      </c>
      <c r="T158">
        <f t="shared" si="171"/>
        <v>0</v>
      </c>
      <c r="U158">
        <f t="shared" si="172"/>
        <v>0</v>
      </c>
      <c r="V158">
        <f t="shared" si="173"/>
        <v>0</v>
      </c>
      <c r="W158">
        <f t="shared" si="174"/>
        <v>0</v>
      </c>
      <c r="X158">
        <f t="shared" si="175"/>
        <v>0</v>
      </c>
      <c r="Y158">
        <f t="shared" si="176"/>
        <v>0</v>
      </c>
      <c r="AA158">
        <v>145026783</v>
      </c>
      <c r="AB158">
        <f t="shared" si="177"/>
        <v>58.56</v>
      </c>
      <c r="AC158">
        <f t="shared" si="178"/>
        <v>58.56</v>
      </c>
      <c r="AD158">
        <f>ROUND((((ET158)-(EU158))+AE158),2)</f>
        <v>0</v>
      </c>
      <c r="AE158">
        <f t="shared" si="206"/>
        <v>0</v>
      </c>
      <c r="AF158">
        <f t="shared" si="206"/>
        <v>0</v>
      </c>
      <c r="AG158">
        <f t="shared" si="180"/>
        <v>0</v>
      </c>
      <c r="AH158">
        <f t="shared" si="207"/>
        <v>0</v>
      </c>
      <c r="AI158">
        <f t="shared" si="207"/>
        <v>0</v>
      </c>
      <c r="AJ158">
        <f t="shared" si="182"/>
        <v>0</v>
      </c>
      <c r="AK158">
        <v>58.559999999999995</v>
      </c>
      <c r="AL158">
        <v>58.559999999999995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1</v>
      </c>
      <c r="AW158">
        <v>1</v>
      </c>
      <c r="AZ158">
        <v>1</v>
      </c>
      <c r="BA158">
        <v>1</v>
      </c>
      <c r="BB158">
        <v>1</v>
      </c>
      <c r="BC158">
        <v>8.9</v>
      </c>
      <c r="BD158" t="s">
        <v>3</v>
      </c>
      <c r="BE158" t="s">
        <v>3</v>
      </c>
      <c r="BF158" t="s">
        <v>3</v>
      </c>
      <c r="BG158" t="s">
        <v>3</v>
      </c>
      <c r="BH158">
        <v>3</v>
      </c>
      <c r="BI158">
        <v>1</v>
      </c>
      <c r="BJ158" t="s">
        <v>3</v>
      </c>
      <c r="BM158">
        <v>1100</v>
      </c>
      <c r="BN158">
        <v>0</v>
      </c>
      <c r="BO158" t="s">
        <v>3</v>
      </c>
      <c r="BP158">
        <v>0</v>
      </c>
      <c r="BQ158">
        <v>8</v>
      </c>
      <c r="BR158">
        <v>0</v>
      </c>
      <c r="BS158">
        <v>1</v>
      </c>
      <c r="BT158">
        <v>1</v>
      </c>
      <c r="BU158">
        <v>1</v>
      </c>
      <c r="BV158">
        <v>1</v>
      </c>
      <c r="BW158">
        <v>1</v>
      </c>
      <c r="BX158">
        <v>1</v>
      </c>
      <c r="BY158" t="s">
        <v>3</v>
      </c>
      <c r="BZ158">
        <v>0</v>
      </c>
      <c r="CA158">
        <v>0</v>
      </c>
      <c r="CB158" t="s">
        <v>3</v>
      </c>
      <c r="CE158">
        <v>0</v>
      </c>
      <c r="CF158">
        <v>0</v>
      </c>
      <c r="CG158">
        <v>0</v>
      </c>
      <c r="CM158">
        <v>0</v>
      </c>
      <c r="CN158" t="s">
        <v>3</v>
      </c>
      <c r="CO158">
        <v>0</v>
      </c>
      <c r="CP158">
        <f t="shared" si="183"/>
        <v>51076.03</v>
      </c>
      <c r="CQ158">
        <f t="shared" si="184"/>
        <v>521.18400000000008</v>
      </c>
      <c r="CR158">
        <f>(((ET158)*BB158-(EU158)*BS158)+AE158*BS158)</f>
        <v>0</v>
      </c>
      <c r="CS158">
        <f t="shared" si="185"/>
        <v>0</v>
      </c>
      <c r="CT158">
        <f t="shared" si="186"/>
        <v>0</v>
      </c>
      <c r="CU158">
        <f t="shared" si="187"/>
        <v>0</v>
      </c>
      <c r="CV158">
        <f t="shared" si="188"/>
        <v>0</v>
      </c>
      <c r="CW158">
        <f t="shared" si="189"/>
        <v>0</v>
      </c>
      <c r="CX158">
        <f t="shared" si="190"/>
        <v>0</v>
      </c>
      <c r="CY158">
        <f t="shared" si="191"/>
        <v>0</v>
      </c>
      <c r="CZ158">
        <f t="shared" si="192"/>
        <v>0</v>
      </c>
      <c r="DC158" t="s">
        <v>3</v>
      </c>
      <c r="DD158" t="s">
        <v>3</v>
      </c>
      <c r="DE158" t="s">
        <v>3</v>
      </c>
      <c r="DF158" t="s">
        <v>3</v>
      </c>
      <c r="DG158" t="s">
        <v>3</v>
      </c>
      <c r="DH158" t="s">
        <v>3</v>
      </c>
      <c r="DI158" t="s">
        <v>3</v>
      </c>
      <c r="DJ158" t="s">
        <v>3</v>
      </c>
      <c r="DK158" t="s">
        <v>3</v>
      </c>
      <c r="DL158" t="s">
        <v>3</v>
      </c>
      <c r="DM158" t="s">
        <v>3</v>
      </c>
      <c r="DN158">
        <v>0</v>
      </c>
      <c r="DO158">
        <v>0</v>
      </c>
      <c r="DP158">
        <v>1</v>
      </c>
      <c r="DQ158">
        <v>1</v>
      </c>
      <c r="DU158">
        <v>1010</v>
      </c>
      <c r="DV158" t="s">
        <v>31</v>
      </c>
      <c r="DW158" t="s">
        <v>31</v>
      </c>
      <c r="DX158">
        <v>1</v>
      </c>
      <c r="DZ158" t="s">
        <v>3</v>
      </c>
      <c r="EA158" t="s">
        <v>3</v>
      </c>
      <c r="EB158" t="s">
        <v>3</v>
      </c>
      <c r="EC158" t="s">
        <v>3</v>
      </c>
      <c r="EE158">
        <v>140625274</v>
      </c>
      <c r="EF158">
        <v>8</v>
      </c>
      <c r="EG158" t="s">
        <v>32</v>
      </c>
      <c r="EH158">
        <v>0</v>
      </c>
      <c r="EI158" t="s">
        <v>3</v>
      </c>
      <c r="EJ158">
        <v>1</v>
      </c>
      <c r="EK158">
        <v>1100</v>
      </c>
      <c r="EL158" t="s">
        <v>33</v>
      </c>
      <c r="EM158" t="s">
        <v>34</v>
      </c>
      <c r="EO158" t="s">
        <v>3</v>
      </c>
      <c r="EQ158">
        <v>0</v>
      </c>
      <c r="ER158">
        <v>59.98</v>
      </c>
      <c r="ES158">
        <v>58.559999999999995</v>
      </c>
      <c r="ET158">
        <v>0</v>
      </c>
      <c r="EU158">
        <v>0</v>
      </c>
      <c r="EV158">
        <v>0</v>
      </c>
      <c r="EW158">
        <v>0</v>
      </c>
      <c r="EX158">
        <v>0</v>
      </c>
      <c r="EY158">
        <v>0</v>
      </c>
      <c r="EZ158">
        <v>5</v>
      </c>
      <c r="FC158">
        <v>1</v>
      </c>
      <c r="FD158">
        <v>18</v>
      </c>
      <c r="FF158">
        <v>584</v>
      </c>
      <c r="FQ158">
        <v>0</v>
      </c>
      <c r="FR158">
        <f t="shared" si="193"/>
        <v>0</v>
      </c>
      <c r="FS158">
        <v>0</v>
      </c>
      <c r="FX158">
        <v>0</v>
      </c>
      <c r="FY158">
        <v>0</v>
      </c>
      <c r="GA158" t="s">
        <v>442</v>
      </c>
      <c r="GD158">
        <v>1</v>
      </c>
      <c r="GF158">
        <v>-1889050989</v>
      </c>
      <c r="GG158">
        <v>2</v>
      </c>
      <c r="GH158">
        <v>3</v>
      </c>
      <c r="GI158">
        <v>4</v>
      </c>
      <c r="GJ158">
        <v>0</v>
      </c>
      <c r="GK158">
        <v>0</v>
      </c>
      <c r="GL158">
        <f t="shared" si="194"/>
        <v>0</v>
      </c>
      <c r="GM158">
        <f t="shared" si="195"/>
        <v>51076.03</v>
      </c>
      <c r="GN158">
        <f t="shared" si="196"/>
        <v>51076.03</v>
      </c>
      <c r="GO158">
        <f t="shared" si="197"/>
        <v>0</v>
      </c>
      <c r="GP158">
        <f t="shared" si="198"/>
        <v>0</v>
      </c>
      <c r="GR158">
        <v>1</v>
      </c>
      <c r="GS158">
        <v>1</v>
      </c>
      <c r="GT158">
        <v>0</v>
      </c>
      <c r="GU158" t="s">
        <v>3</v>
      </c>
      <c r="GV158">
        <f t="shared" si="199"/>
        <v>0</v>
      </c>
      <c r="GW158">
        <v>1</v>
      </c>
      <c r="GX158">
        <f t="shared" si="200"/>
        <v>0</v>
      </c>
      <c r="HA158">
        <v>0</v>
      </c>
      <c r="HB158">
        <v>0</v>
      </c>
      <c r="HC158">
        <f t="shared" si="201"/>
        <v>0</v>
      </c>
      <c r="HE158" t="s">
        <v>36</v>
      </c>
      <c r="HF158" t="s">
        <v>28</v>
      </c>
      <c r="HM158" t="s">
        <v>3</v>
      </c>
      <c r="HN158" t="s">
        <v>3</v>
      </c>
      <c r="HO158" t="s">
        <v>3</v>
      </c>
      <c r="HP158" t="s">
        <v>3</v>
      </c>
      <c r="HQ158" t="s">
        <v>3</v>
      </c>
      <c r="IK158">
        <v>0</v>
      </c>
    </row>
    <row r="159" spans="1:245" x14ac:dyDescent="0.2">
      <c r="A159">
        <v>17</v>
      </c>
      <c r="B159">
        <v>1</v>
      </c>
      <c r="C159">
        <f>ROW(SmtRes!A192)</f>
        <v>192</v>
      </c>
      <c r="D159">
        <f>ROW(EtalonRes!A219)</f>
        <v>219</v>
      </c>
      <c r="E159" t="s">
        <v>443</v>
      </c>
      <c r="F159" t="s">
        <v>444</v>
      </c>
      <c r="G159" t="s">
        <v>445</v>
      </c>
      <c r="H159" t="s">
        <v>53</v>
      </c>
      <c r="I159">
        <f>ROUND((580+148)/100,9)</f>
        <v>7.28</v>
      </c>
      <c r="J159">
        <v>0</v>
      </c>
      <c r="K159">
        <f>ROUND((580+148)/100,9)</f>
        <v>7.28</v>
      </c>
      <c r="O159">
        <f t="shared" si="166"/>
        <v>20946.18</v>
      </c>
      <c r="P159">
        <f t="shared" si="167"/>
        <v>277.95999999999998</v>
      </c>
      <c r="Q159">
        <f t="shared" si="168"/>
        <v>5038.71</v>
      </c>
      <c r="R159">
        <f t="shared" si="169"/>
        <v>0</v>
      </c>
      <c r="S159">
        <f t="shared" si="170"/>
        <v>15629.51</v>
      </c>
      <c r="T159">
        <f t="shared" si="171"/>
        <v>0</v>
      </c>
      <c r="U159">
        <f t="shared" si="172"/>
        <v>41.943719999999992</v>
      </c>
      <c r="V159">
        <f t="shared" si="173"/>
        <v>0</v>
      </c>
      <c r="W159">
        <f t="shared" si="174"/>
        <v>0</v>
      </c>
      <c r="X159">
        <f t="shared" si="175"/>
        <v>18911.71</v>
      </c>
      <c r="Y159">
        <f t="shared" si="176"/>
        <v>9565.26</v>
      </c>
      <c r="AA159">
        <v>145026783</v>
      </c>
      <c r="AB159">
        <f t="shared" si="177"/>
        <v>127</v>
      </c>
      <c r="AC159">
        <f t="shared" si="178"/>
        <v>4.29</v>
      </c>
      <c r="AD159">
        <f>ROUND(((((ET159*1.25))-((EU159*1.25)))+AE159),2)</f>
        <v>55.64</v>
      </c>
      <c r="AE159">
        <f>ROUND(((EU159*1.25)),2)</f>
        <v>0</v>
      </c>
      <c r="AF159">
        <f>ROUND(((EV159*1.15)),2)</f>
        <v>67.069999999999993</v>
      </c>
      <c r="AG159">
        <f t="shared" si="180"/>
        <v>0</v>
      </c>
      <c r="AH159">
        <f>((EW159*1.15))</f>
        <v>5.761499999999999</v>
      </c>
      <c r="AI159">
        <f>((EX159*1.25))</f>
        <v>0</v>
      </c>
      <c r="AJ159">
        <f t="shared" si="182"/>
        <v>0</v>
      </c>
      <c r="AK159">
        <v>107.12</v>
      </c>
      <c r="AL159">
        <v>4.29</v>
      </c>
      <c r="AM159">
        <v>44.51</v>
      </c>
      <c r="AN159">
        <v>0</v>
      </c>
      <c r="AO159">
        <v>58.32</v>
      </c>
      <c r="AP159">
        <v>0</v>
      </c>
      <c r="AQ159">
        <v>5.01</v>
      </c>
      <c r="AR159">
        <v>0</v>
      </c>
      <c r="AS159">
        <v>0</v>
      </c>
      <c r="AT159">
        <v>121</v>
      </c>
      <c r="AU159">
        <v>61.2</v>
      </c>
      <c r="AV159">
        <v>1</v>
      </c>
      <c r="AW159">
        <v>1</v>
      </c>
      <c r="AZ159">
        <v>1</v>
      </c>
      <c r="BA159">
        <v>32.01</v>
      </c>
      <c r="BB159">
        <v>12.44</v>
      </c>
      <c r="BC159">
        <v>8.9</v>
      </c>
      <c r="BD159" t="s">
        <v>3</v>
      </c>
      <c r="BE159" t="s">
        <v>3</v>
      </c>
      <c r="BF159" t="s">
        <v>3</v>
      </c>
      <c r="BG159" t="s">
        <v>3</v>
      </c>
      <c r="BH159">
        <v>0</v>
      </c>
      <c r="BI159">
        <v>1</v>
      </c>
      <c r="BJ159" t="s">
        <v>446</v>
      </c>
      <c r="BM159">
        <v>16001</v>
      </c>
      <c r="BN159">
        <v>0</v>
      </c>
      <c r="BO159" t="s">
        <v>3</v>
      </c>
      <c r="BP159">
        <v>0</v>
      </c>
      <c r="BQ159">
        <v>2</v>
      </c>
      <c r="BR159">
        <v>0</v>
      </c>
      <c r="BS159">
        <v>32.01</v>
      </c>
      <c r="BT159">
        <v>1</v>
      </c>
      <c r="BU159">
        <v>1</v>
      </c>
      <c r="BV159">
        <v>1</v>
      </c>
      <c r="BW159">
        <v>1</v>
      </c>
      <c r="BX159">
        <v>1</v>
      </c>
      <c r="BY159" t="s">
        <v>3</v>
      </c>
      <c r="BZ159">
        <v>121</v>
      </c>
      <c r="CA159">
        <v>72</v>
      </c>
      <c r="CB159" t="s">
        <v>3</v>
      </c>
      <c r="CE159">
        <v>0</v>
      </c>
      <c r="CF159">
        <v>0</v>
      </c>
      <c r="CG159">
        <v>0</v>
      </c>
      <c r="CM159">
        <v>0</v>
      </c>
      <c r="CN159" t="s">
        <v>863</v>
      </c>
      <c r="CO159">
        <v>0</v>
      </c>
      <c r="CP159">
        <f t="shared" si="183"/>
        <v>20946.18</v>
      </c>
      <c r="CQ159">
        <f t="shared" si="184"/>
        <v>38.181000000000004</v>
      </c>
      <c r="CR159">
        <f>((((ET159*1.25))*BB159-((EU159*1.25))*BS159)+AE159*BS159)</f>
        <v>692.13049999999987</v>
      </c>
      <c r="CS159">
        <f t="shared" si="185"/>
        <v>0</v>
      </c>
      <c r="CT159">
        <f t="shared" si="186"/>
        <v>2146.9106999999995</v>
      </c>
      <c r="CU159">
        <f t="shared" si="187"/>
        <v>0</v>
      </c>
      <c r="CV159">
        <f t="shared" si="188"/>
        <v>5.761499999999999</v>
      </c>
      <c r="CW159">
        <f t="shared" si="189"/>
        <v>0</v>
      </c>
      <c r="CX159">
        <f t="shared" si="190"/>
        <v>0</v>
      </c>
      <c r="CY159">
        <f t="shared" si="191"/>
        <v>18911.7071</v>
      </c>
      <c r="CZ159">
        <f t="shared" si="192"/>
        <v>9565.2601200000008</v>
      </c>
      <c r="DC159" t="s">
        <v>3</v>
      </c>
      <c r="DD159" t="s">
        <v>3</v>
      </c>
      <c r="DE159" t="s">
        <v>148</v>
      </c>
      <c r="DF159" t="s">
        <v>148</v>
      </c>
      <c r="DG159" t="s">
        <v>149</v>
      </c>
      <c r="DH159" t="s">
        <v>3</v>
      </c>
      <c r="DI159" t="s">
        <v>149</v>
      </c>
      <c r="DJ159" t="s">
        <v>148</v>
      </c>
      <c r="DK159" t="s">
        <v>3</v>
      </c>
      <c r="DL159" t="s">
        <v>3</v>
      </c>
      <c r="DM159" t="s">
        <v>150</v>
      </c>
      <c r="DN159">
        <v>0</v>
      </c>
      <c r="DO159">
        <v>0</v>
      </c>
      <c r="DP159">
        <v>1</v>
      </c>
      <c r="DQ159">
        <v>1</v>
      </c>
      <c r="DU159">
        <v>1003</v>
      </c>
      <c r="DV159" t="s">
        <v>53</v>
      </c>
      <c r="DW159" t="s">
        <v>53</v>
      </c>
      <c r="DX159">
        <v>100</v>
      </c>
      <c r="DZ159" t="s">
        <v>3</v>
      </c>
      <c r="EA159" t="s">
        <v>3</v>
      </c>
      <c r="EB159" t="s">
        <v>3</v>
      </c>
      <c r="EC159" t="s">
        <v>3</v>
      </c>
      <c r="EE159">
        <v>140625063</v>
      </c>
      <c r="EF159">
        <v>2</v>
      </c>
      <c r="EG159" t="s">
        <v>95</v>
      </c>
      <c r="EH159">
        <v>16</v>
      </c>
      <c r="EI159" t="s">
        <v>392</v>
      </c>
      <c r="EJ159">
        <v>1</v>
      </c>
      <c r="EK159">
        <v>16001</v>
      </c>
      <c r="EL159" t="s">
        <v>393</v>
      </c>
      <c r="EM159" t="s">
        <v>394</v>
      </c>
      <c r="EO159" t="s">
        <v>151</v>
      </c>
      <c r="EQ159">
        <v>0</v>
      </c>
      <c r="ER159">
        <v>107.12</v>
      </c>
      <c r="ES159">
        <v>4.29</v>
      </c>
      <c r="ET159">
        <v>44.51</v>
      </c>
      <c r="EU159">
        <v>0</v>
      </c>
      <c r="EV159">
        <v>58.32</v>
      </c>
      <c r="EW159">
        <v>5.01</v>
      </c>
      <c r="EX159">
        <v>0</v>
      </c>
      <c r="EY159">
        <v>0</v>
      </c>
      <c r="FQ159">
        <v>0</v>
      </c>
      <c r="FR159">
        <f t="shared" si="193"/>
        <v>0</v>
      </c>
      <c r="FS159">
        <v>0</v>
      </c>
      <c r="FX159">
        <v>121</v>
      </c>
      <c r="FY159">
        <v>61.2</v>
      </c>
      <c r="GA159" t="s">
        <v>3</v>
      </c>
      <c r="GD159">
        <v>1</v>
      </c>
      <c r="GF159">
        <v>-1086152103</v>
      </c>
      <c r="GG159">
        <v>2</v>
      </c>
      <c r="GH159">
        <v>1</v>
      </c>
      <c r="GI159">
        <v>4</v>
      </c>
      <c r="GJ159">
        <v>0</v>
      </c>
      <c r="GK159">
        <v>0</v>
      </c>
      <c r="GL159">
        <f t="shared" si="194"/>
        <v>0</v>
      </c>
      <c r="GM159">
        <f t="shared" si="195"/>
        <v>49423.15</v>
      </c>
      <c r="GN159">
        <f t="shared" si="196"/>
        <v>49423.15</v>
      </c>
      <c r="GO159">
        <f t="shared" si="197"/>
        <v>0</v>
      </c>
      <c r="GP159">
        <f t="shared" si="198"/>
        <v>0</v>
      </c>
      <c r="GR159">
        <v>0</v>
      </c>
      <c r="GS159">
        <v>3</v>
      </c>
      <c r="GT159">
        <v>0</v>
      </c>
      <c r="GU159" t="s">
        <v>3</v>
      </c>
      <c r="GV159">
        <f t="shared" si="199"/>
        <v>0</v>
      </c>
      <c r="GW159">
        <v>1</v>
      </c>
      <c r="GX159">
        <f t="shared" si="200"/>
        <v>0</v>
      </c>
      <c r="HA159">
        <v>0</v>
      </c>
      <c r="HB159">
        <v>0</v>
      </c>
      <c r="HC159">
        <f t="shared" si="201"/>
        <v>0</v>
      </c>
      <c r="HE159" t="s">
        <v>3</v>
      </c>
      <c r="HF159" t="s">
        <v>3</v>
      </c>
      <c r="HM159" t="s">
        <v>3</v>
      </c>
      <c r="HN159" t="s">
        <v>395</v>
      </c>
      <c r="HO159" t="s">
        <v>396</v>
      </c>
      <c r="HP159" t="s">
        <v>392</v>
      </c>
      <c r="HQ159" t="s">
        <v>392</v>
      </c>
      <c r="IK159">
        <v>0</v>
      </c>
    </row>
    <row r="160" spans="1:245" x14ac:dyDescent="0.2">
      <c r="A160">
        <v>17</v>
      </c>
      <c r="B160">
        <v>1</v>
      </c>
      <c r="C160">
        <f>ROW(SmtRes!A203)</f>
        <v>203</v>
      </c>
      <c r="D160">
        <f>ROW(EtalonRes!A231)</f>
        <v>231</v>
      </c>
      <c r="E160" t="s">
        <v>447</v>
      </c>
      <c r="F160" t="s">
        <v>448</v>
      </c>
      <c r="G160" t="s">
        <v>449</v>
      </c>
      <c r="H160" t="s">
        <v>450</v>
      </c>
      <c r="I160">
        <f>ROUND((1.24*49)/100,9)</f>
        <v>0.60760000000000003</v>
      </c>
      <c r="J160">
        <v>0</v>
      </c>
      <c r="K160">
        <f>ROUND((1.24*49)/100,9)</f>
        <v>0.60760000000000003</v>
      </c>
      <c r="O160">
        <f t="shared" si="166"/>
        <v>20700.349999999999</v>
      </c>
      <c r="P160">
        <f t="shared" si="167"/>
        <v>6610.25</v>
      </c>
      <c r="Q160">
        <f t="shared" si="168"/>
        <v>1877.12</v>
      </c>
      <c r="R160">
        <f t="shared" si="169"/>
        <v>970.32</v>
      </c>
      <c r="S160">
        <f t="shared" si="170"/>
        <v>12212.98</v>
      </c>
      <c r="T160">
        <f t="shared" si="171"/>
        <v>0</v>
      </c>
      <c r="U160">
        <f t="shared" si="172"/>
        <v>42.534400020000007</v>
      </c>
      <c r="V160">
        <f t="shared" si="173"/>
        <v>2.44855205</v>
      </c>
      <c r="W160">
        <f t="shared" si="174"/>
        <v>0</v>
      </c>
      <c r="X160">
        <f t="shared" si="175"/>
        <v>15951.79</v>
      </c>
      <c r="Y160">
        <f t="shared" si="176"/>
        <v>8068.18</v>
      </c>
      <c r="AA160">
        <v>145026783</v>
      </c>
      <c r="AB160">
        <f t="shared" si="177"/>
        <v>2098.6799999999998</v>
      </c>
      <c r="AC160">
        <f t="shared" si="178"/>
        <v>1222.3900000000001</v>
      </c>
      <c r="AD160">
        <f>ROUND((((((ET160*1.25)*1.03))-(((EU160*1.25)*1.03)))+AE160),2)</f>
        <v>248.35</v>
      </c>
      <c r="AE160">
        <f>ROUND((((EU160*1.25)*1.03)),2)</f>
        <v>49.89</v>
      </c>
      <c r="AF160">
        <f>ROUND((((EV160*1.15)*1.03)),2)</f>
        <v>627.94000000000005</v>
      </c>
      <c r="AG160">
        <f t="shared" si="180"/>
        <v>0</v>
      </c>
      <c r="AH160">
        <f>(((EW160*1.15)*1.03))</f>
        <v>70.003950000000003</v>
      </c>
      <c r="AI160">
        <f>(((EX160*1.25)*1.03))</f>
        <v>4.0298749999999997</v>
      </c>
      <c r="AJ160">
        <f t="shared" si="182"/>
        <v>0</v>
      </c>
      <c r="AK160">
        <v>1945.41</v>
      </c>
      <c r="AL160">
        <v>1222.3900000000001</v>
      </c>
      <c r="AM160">
        <v>192.89</v>
      </c>
      <c r="AN160">
        <v>38.75</v>
      </c>
      <c r="AO160">
        <v>530.13</v>
      </c>
      <c r="AP160">
        <v>0</v>
      </c>
      <c r="AQ160">
        <v>59.1</v>
      </c>
      <c r="AR160">
        <v>3.13</v>
      </c>
      <c r="AS160">
        <v>0</v>
      </c>
      <c r="AT160">
        <v>121</v>
      </c>
      <c r="AU160">
        <v>61.2</v>
      </c>
      <c r="AV160">
        <v>1</v>
      </c>
      <c r="AW160">
        <v>1</v>
      </c>
      <c r="AZ160">
        <v>1</v>
      </c>
      <c r="BA160">
        <v>32.01</v>
      </c>
      <c r="BB160">
        <v>12.44</v>
      </c>
      <c r="BC160">
        <v>8.9</v>
      </c>
      <c r="BD160" t="s">
        <v>3</v>
      </c>
      <c r="BE160" t="s">
        <v>3</v>
      </c>
      <c r="BF160" t="s">
        <v>3</v>
      </c>
      <c r="BG160" t="s">
        <v>3</v>
      </c>
      <c r="BH160">
        <v>0</v>
      </c>
      <c r="BI160">
        <v>1</v>
      </c>
      <c r="BJ160" t="s">
        <v>451</v>
      </c>
      <c r="BM160">
        <v>18001</v>
      </c>
      <c r="BN160">
        <v>0</v>
      </c>
      <c r="BO160" t="s">
        <v>3</v>
      </c>
      <c r="BP160">
        <v>0</v>
      </c>
      <c r="BQ160">
        <v>2</v>
      </c>
      <c r="BR160">
        <v>0</v>
      </c>
      <c r="BS160">
        <v>32.01</v>
      </c>
      <c r="BT160">
        <v>1</v>
      </c>
      <c r="BU160">
        <v>1</v>
      </c>
      <c r="BV160">
        <v>1</v>
      </c>
      <c r="BW160">
        <v>1</v>
      </c>
      <c r="BX160">
        <v>1</v>
      </c>
      <c r="BY160" t="s">
        <v>3</v>
      </c>
      <c r="BZ160">
        <v>121</v>
      </c>
      <c r="CA160">
        <v>72</v>
      </c>
      <c r="CB160" t="s">
        <v>3</v>
      </c>
      <c r="CE160">
        <v>0</v>
      </c>
      <c r="CF160">
        <v>0</v>
      </c>
      <c r="CG160">
        <v>0</v>
      </c>
      <c r="CM160">
        <v>0</v>
      </c>
      <c r="CN160" t="s">
        <v>864</v>
      </c>
      <c r="CO160">
        <v>0</v>
      </c>
      <c r="CP160">
        <f t="shared" si="183"/>
        <v>20700.349999999999</v>
      </c>
      <c r="CQ160">
        <f t="shared" si="184"/>
        <v>10879.271000000001</v>
      </c>
      <c r="CR160">
        <f>(((((ET160*1.25)*1.03))*BB160-(((EU160*1.25)*1.03))*BS160)+AE160*BS160)</f>
        <v>3089.4026787499997</v>
      </c>
      <c r="CS160">
        <f t="shared" si="185"/>
        <v>1596.9788999999998</v>
      </c>
      <c r="CT160">
        <f t="shared" si="186"/>
        <v>20100.359400000001</v>
      </c>
      <c r="CU160">
        <f t="shared" si="187"/>
        <v>0</v>
      </c>
      <c r="CV160">
        <f t="shared" si="188"/>
        <v>70.003950000000003</v>
      </c>
      <c r="CW160">
        <f t="shared" si="189"/>
        <v>4.0298749999999997</v>
      </c>
      <c r="CX160">
        <f t="shared" si="190"/>
        <v>0</v>
      </c>
      <c r="CY160">
        <f t="shared" si="191"/>
        <v>15951.792999999998</v>
      </c>
      <c r="CZ160">
        <f t="shared" si="192"/>
        <v>8068.1795999999995</v>
      </c>
      <c r="DC160" t="s">
        <v>3</v>
      </c>
      <c r="DD160" t="s">
        <v>3</v>
      </c>
      <c r="DE160" t="s">
        <v>452</v>
      </c>
      <c r="DF160" t="s">
        <v>452</v>
      </c>
      <c r="DG160" t="s">
        <v>453</v>
      </c>
      <c r="DH160" t="s">
        <v>3</v>
      </c>
      <c r="DI160" t="s">
        <v>453</v>
      </c>
      <c r="DJ160" t="s">
        <v>452</v>
      </c>
      <c r="DK160" t="s">
        <v>3</v>
      </c>
      <c r="DL160" t="s">
        <v>3</v>
      </c>
      <c r="DM160" t="s">
        <v>150</v>
      </c>
      <c r="DN160">
        <v>0</v>
      </c>
      <c r="DO160">
        <v>0</v>
      </c>
      <c r="DP160">
        <v>1</v>
      </c>
      <c r="DQ160">
        <v>1</v>
      </c>
      <c r="DU160">
        <v>1013</v>
      </c>
      <c r="DV160" t="s">
        <v>450</v>
      </c>
      <c r="DW160" t="s">
        <v>450</v>
      </c>
      <c r="DX160">
        <v>1</v>
      </c>
      <c r="DZ160" t="s">
        <v>3</v>
      </c>
      <c r="EA160" t="s">
        <v>3</v>
      </c>
      <c r="EB160" t="s">
        <v>3</v>
      </c>
      <c r="EC160" t="s">
        <v>3</v>
      </c>
      <c r="EE160">
        <v>140625066</v>
      </c>
      <c r="EF160">
        <v>2</v>
      </c>
      <c r="EG160" t="s">
        <v>95</v>
      </c>
      <c r="EH160">
        <v>16</v>
      </c>
      <c r="EI160" t="s">
        <v>392</v>
      </c>
      <c r="EJ160">
        <v>1</v>
      </c>
      <c r="EK160">
        <v>18001</v>
      </c>
      <c r="EL160" t="s">
        <v>454</v>
      </c>
      <c r="EM160" t="s">
        <v>455</v>
      </c>
      <c r="EO160" t="s">
        <v>456</v>
      </c>
      <c r="EQ160">
        <v>2097152</v>
      </c>
      <c r="ER160">
        <v>1945.41</v>
      </c>
      <c r="ES160">
        <v>1222.3900000000001</v>
      </c>
      <c r="ET160">
        <v>192.89</v>
      </c>
      <c r="EU160">
        <v>38.75</v>
      </c>
      <c r="EV160">
        <v>530.13</v>
      </c>
      <c r="EW160">
        <v>59.1</v>
      </c>
      <c r="EX160">
        <v>3.13</v>
      </c>
      <c r="EY160">
        <v>0</v>
      </c>
      <c r="FQ160">
        <v>0</v>
      </c>
      <c r="FR160">
        <f t="shared" si="193"/>
        <v>0</v>
      </c>
      <c r="FS160">
        <v>0</v>
      </c>
      <c r="FX160">
        <v>121</v>
      </c>
      <c r="FY160">
        <v>61.2</v>
      </c>
      <c r="GA160" t="s">
        <v>3</v>
      </c>
      <c r="GD160">
        <v>1</v>
      </c>
      <c r="GF160">
        <v>-1486918868</v>
      </c>
      <c r="GG160">
        <v>2</v>
      </c>
      <c r="GH160">
        <v>1</v>
      </c>
      <c r="GI160">
        <v>4</v>
      </c>
      <c r="GJ160">
        <v>0</v>
      </c>
      <c r="GK160">
        <v>0</v>
      </c>
      <c r="GL160">
        <f t="shared" si="194"/>
        <v>0</v>
      </c>
      <c r="GM160">
        <f t="shared" si="195"/>
        <v>44720.32</v>
      </c>
      <c r="GN160">
        <f t="shared" si="196"/>
        <v>44720.32</v>
      </c>
      <c r="GO160">
        <f t="shared" si="197"/>
        <v>0</v>
      </c>
      <c r="GP160">
        <f t="shared" si="198"/>
        <v>0</v>
      </c>
      <c r="GR160">
        <v>0</v>
      </c>
      <c r="GS160">
        <v>3</v>
      </c>
      <c r="GT160">
        <v>0</v>
      </c>
      <c r="GU160" t="s">
        <v>3</v>
      </c>
      <c r="GV160">
        <f t="shared" si="199"/>
        <v>0</v>
      </c>
      <c r="GW160">
        <v>1</v>
      </c>
      <c r="GX160">
        <f t="shared" si="200"/>
        <v>0</v>
      </c>
      <c r="HA160">
        <v>0</v>
      </c>
      <c r="HB160">
        <v>0</v>
      </c>
      <c r="HC160">
        <f t="shared" si="201"/>
        <v>0</v>
      </c>
      <c r="HE160" t="s">
        <v>3</v>
      </c>
      <c r="HF160" t="s">
        <v>3</v>
      </c>
      <c r="HM160" t="s">
        <v>3</v>
      </c>
      <c r="HN160" t="s">
        <v>395</v>
      </c>
      <c r="HO160" t="s">
        <v>396</v>
      </c>
      <c r="HP160" t="s">
        <v>392</v>
      </c>
      <c r="HQ160" t="s">
        <v>392</v>
      </c>
      <c r="IK160">
        <v>0</v>
      </c>
    </row>
    <row r="161" spans="1:245" x14ac:dyDescent="0.2">
      <c r="A161">
        <v>17</v>
      </c>
      <c r="B161">
        <v>1</v>
      </c>
      <c r="E161" t="s">
        <v>457</v>
      </c>
      <c r="F161" t="s">
        <v>29</v>
      </c>
      <c r="G161" t="s">
        <v>458</v>
      </c>
      <c r="H161" t="s">
        <v>31</v>
      </c>
      <c r="I161">
        <v>49</v>
      </c>
      <c r="J161">
        <v>0</v>
      </c>
      <c r="K161">
        <v>49</v>
      </c>
      <c r="O161">
        <f t="shared" si="166"/>
        <v>251904.44</v>
      </c>
      <c r="P161">
        <f t="shared" si="167"/>
        <v>251904.44</v>
      </c>
      <c r="Q161">
        <f t="shared" si="168"/>
        <v>0</v>
      </c>
      <c r="R161">
        <f t="shared" si="169"/>
        <v>0</v>
      </c>
      <c r="S161">
        <f t="shared" si="170"/>
        <v>0</v>
      </c>
      <c r="T161">
        <f t="shared" si="171"/>
        <v>0</v>
      </c>
      <c r="U161">
        <f t="shared" si="172"/>
        <v>0</v>
      </c>
      <c r="V161">
        <f t="shared" si="173"/>
        <v>0</v>
      </c>
      <c r="W161">
        <f t="shared" si="174"/>
        <v>0</v>
      </c>
      <c r="X161">
        <f t="shared" si="175"/>
        <v>0</v>
      </c>
      <c r="Y161">
        <f t="shared" si="176"/>
        <v>0</v>
      </c>
      <c r="AA161">
        <v>145026783</v>
      </c>
      <c r="AB161">
        <f t="shared" si="177"/>
        <v>577.63</v>
      </c>
      <c r="AC161">
        <f t="shared" si="178"/>
        <v>577.63</v>
      </c>
      <c r="AD161">
        <f>ROUND((((ET161)-(EU161))+AE161),2)</f>
        <v>0</v>
      </c>
      <c r="AE161">
        <f>ROUND((EU161),2)</f>
        <v>0</v>
      </c>
      <c r="AF161">
        <f>ROUND((EV161),2)</f>
        <v>0</v>
      </c>
      <c r="AG161">
        <f t="shared" si="180"/>
        <v>0</v>
      </c>
      <c r="AH161">
        <f>(EW161)</f>
        <v>0</v>
      </c>
      <c r="AI161">
        <f>(EX161)</f>
        <v>0</v>
      </c>
      <c r="AJ161">
        <f t="shared" si="182"/>
        <v>0</v>
      </c>
      <c r="AK161">
        <v>577.63000000000011</v>
      </c>
      <c r="AL161">
        <v>577.63000000000011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1</v>
      </c>
      <c r="AW161">
        <v>1</v>
      </c>
      <c r="AZ161">
        <v>1</v>
      </c>
      <c r="BA161">
        <v>1</v>
      </c>
      <c r="BB161">
        <v>1</v>
      </c>
      <c r="BC161">
        <v>8.9</v>
      </c>
      <c r="BD161" t="s">
        <v>3</v>
      </c>
      <c r="BE161" t="s">
        <v>3</v>
      </c>
      <c r="BF161" t="s">
        <v>3</v>
      </c>
      <c r="BG161" t="s">
        <v>3</v>
      </c>
      <c r="BH161">
        <v>3</v>
      </c>
      <c r="BI161">
        <v>1</v>
      </c>
      <c r="BJ161" t="s">
        <v>3</v>
      </c>
      <c r="BM161">
        <v>1100</v>
      </c>
      <c r="BN161">
        <v>0</v>
      </c>
      <c r="BO161" t="s">
        <v>3</v>
      </c>
      <c r="BP161">
        <v>0</v>
      </c>
      <c r="BQ161">
        <v>8</v>
      </c>
      <c r="BR161">
        <v>0</v>
      </c>
      <c r="BS161">
        <v>1</v>
      </c>
      <c r="BT161">
        <v>1</v>
      </c>
      <c r="BU161">
        <v>1</v>
      </c>
      <c r="BV161">
        <v>1</v>
      </c>
      <c r="BW161">
        <v>1</v>
      </c>
      <c r="BX161">
        <v>1</v>
      </c>
      <c r="BY161" t="s">
        <v>3</v>
      </c>
      <c r="BZ161">
        <v>0</v>
      </c>
      <c r="CA161">
        <v>0</v>
      </c>
      <c r="CB161" t="s">
        <v>3</v>
      </c>
      <c r="CE161">
        <v>0</v>
      </c>
      <c r="CF161">
        <v>0</v>
      </c>
      <c r="CG161">
        <v>0</v>
      </c>
      <c r="CM161">
        <v>0</v>
      </c>
      <c r="CN161" t="s">
        <v>3</v>
      </c>
      <c r="CO161">
        <v>0</v>
      </c>
      <c r="CP161">
        <f t="shared" si="183"/>
        <v>251904.44</v>
      </c>
      <c r="CQ161">
        <f t="shared" si="184"/>
        <v>5140.9070000000002</v>
      </c>
      <c r="CR161">
        <f>(((ET161)*BB161-(EU161)*BS161)+AE161*BS161)</f>
        <v>0</v>
      </c>
      <c r="CS161">
        <f t="shared" si="185"/>
        <v>0</v>
      </c>
      <c r="CT161">
        <f t="shared" si="186"/>
        <v>0</v>
      </c>
      <c r="CU161">
        <f t="shared" si="187"/>
        <v>0</v>
      </c>
      <c r="CV161">
        <f t="shared" si="188"/>
        <v>0</v>
      </c>
      <c r="CW161">
        <f t="shared" si="189"/>
        <v>0</v>
      </c>
      <c r="CX161">
        <f t="shared" si="190"/>
        <v>0</v>
      </c>
      <c r="CY161">
        <f t="shared" si="191"/>
        <v>0</v>
      </c>
      <c r="CZ161">
        <f t="shared" si="192"/>
        <v>0</v>
      </c>
      <c r="DC161" t="s">
        <v>3</v>
      </c>
      <c r="DD161" t="s">
        <v>3</v>
      </c>
      <c r="DE161" t="s">
        <v>3</v>
      </c>
      <c r="DF161" t="s">
        <v>3</v>
      </c>
      <c r="DG161" t="s">
        <v>3</v>
      </c>
      <c r="DH161" t="s">
        <v>3</v>
      </c>
      <c r="DI161" t="s">
        <v>3</v>
      </c>
      <c r="DJ161" t="s">
        <v>3</v>
      </c>
      <c r="DK161" t="s">
        <v>3</v>
      </c>
      <c r="DL161" t="s">
        <v>3</v>
      </c>
      <c r="DM161" t="s">
        <v>3</v>
      </c>
      <c r="DN161">
        <v>0</v>
      </c>
      <c r="DO161">
        <v>0</v>
      </c>
      <c r="DP161">
        <v>1</v>
      </c>
      <c r="DQ161">
        <v>1</v>
      </c>
      <c r="DU161">
        <v>1010</v>
      </c>
      <c r="DV161" t="s">
        <v>31</v>
      </c>
      <c r="DW161" t="s">
        <v>31</v>
      </c>
      <c r="DX161">
        <v>1</v>
      </c>
      <c r="DZ161" t="s">
        <v>3</v>
      </c>
      <c r="EA161" t="s">
        <v>3</v>
      </c>
      <c r="EB161" t="s">
        <v>3</v>
      </c>
      <c r="EC161" t="s">
        <v>3</v>
      </c>
      <c r="EE161">
        <v>140625274</v>
      </c>
      <c r="EF161">
        <v>8</v>
      </c>
      <c r="EG161" t="s">
        <v>32</v>
      </c>
      <c r="EH161">
        <v>0</v>
      </c>
      <c r="EI161" t="s">
        <v>3</v>
      </c>
      <c r="EJ161">
        <v>1</v>
      </c>
      <c r="EK161">
        <v>1100</v>
      </c>
      <c r="EL161" t="s">
        <v>33</v>
      </c>
      <c r="EM161" t="s">
        <v>34</v>
      </c>
      <c r="EO161" t="s">
        <v>3</v>
      </c>
      <c r="EQ161">
        <v>0</v>
      </c>
      <c r="ER161">
        <v>577.63000000000011</v>
      </c>
      <c r="ES161">
        <v>577.63000000000011</v>
      </c>
      <c r="ET161">
        <v>0</v>
      </c>
      <c r="EU161">
        <v>0</v>
      </c>
      <c r="EV161">
        <v>0</v>
      </c>
      <c r="EW161">
        <v>0</v>
      </c>
      <c r="EX161">
        <v>0</v>
      </c>
      <c r="EY161">
        <v>0</v>
      </c>
      <c r="EZ161">
        <v>5</v>
      </c>
      <c r="FC161">
        <v>1</v>
      </c>
      <c r="FD161">
        <v>18</v>
      </c>
      <c r="FF161">
        <v>5760</v>
      </c>
      <c r="FQ161">
        <v>0</v>
      </c>
      <c r="FR161">
        <f t="shared" si="193"/>
        <v>0</v>
      </c>
      <c r="FS161">
        <v>0</v>
      </c>
      <c r="FX161">
        <v>0</v>
      </c>
      <c r="FY161">
        <v>0</v>
      </c>
      <c r="GA161" t="s">
        <v>459</v>
      </c>
      <c r="GD161">
        <v>1</v>
      </c>
      <c r="GF161">
        <v>684111414</v>
      </c>
      <c r="GG161">
        <v>2</v>
      </c>
      <c r="GH161">
        <v>3</v>
      </c>
      <c r="GI161">
        <v>4</v>
      </c>
      <c r="GJ161">
        <v>0</v>
      </c>
      <c r="GK161">
        <v>0</v>
      </c>
      <c r="GL161">
        <f t="shared" si="194"/>
        <v>0</v>
      </c>
      <c r="GM161">
        <f t="shared" si="195"/>
        <v>251904.44</v>
      </c>
      <c r="GN161">
        <f t="shared" si="196"/>
        <v>251904.44</v>
      </c>
      <c r="GO161">
        <f t="shared" si="197"/>
        <v>0</v>
      </c>
      <c r="GP161">
        <f t="shared" si="198"/>
        <v>0</v>
      </c>
      <c r="GR161">
        <v>1</v>
      </c>
      <c r="GS161">
        <v>1</v>
      </c>
      <c r="GT161">
        <v>0</v>
      </c>
      <c r="GU161" t="s">
        <v>3</v>
      </c>
      <c r="GV161">
        <f t="shared" si="199"/>
        <v>0</v>
      </c>
      <c r="GW161">
        <v>1</v>
      </c>
      <c r="GX161">
        <f t="shared" si="200"/>
        <v>0</v>
      </c>
      <c r="HA161">
        <v>0</v>
      </c>
      <c r="HB161">
        <v>0</v>
      </c>
      <c r="HC161">
        <f t="shared" si="201"/>
        <v>0</v>
      </c>
      <c r="HE161" t="s">
        <v>36</v>
      </c>
      <c r="HF161" t="s">
        <v>28</v>
      </c>
      <c r="HM161" t="s">
        <v>3</v>
      </c>
      <c r="HN161" t="s">
        <v>3</v>
      </c>
      <c r="HO161" t="s">
        <v>3</v>
      </c>
      <c r="HP161" t="s">
        <v>3</v>
      </c>
      <c r="HQ161" t="s">
        <v>3</v>
      </c>
      <c r="IK161">
        <v>0</v>
      </c>
    </row>
    <row r="162" spans="1:245" x14ac:dyDescent="0.2">
      <c r="A162">
        <v>17</v>
      </c>
      <c r="B162">
        <v>1</v>
      </c>
      <c r="E162" t="s">
        <v>460</v>
      </c>
      <c r="F162" t="s">
        <v>29</v>
      </c>
      <c r="G162" t="s">
        <v>461</v>
      </c>
      <c r="H162" t="s">
        <v>31</v>
      </c>
      <c r="I162">
        <v>49</v>
      </c>
      <c r="J162">
        <v>0</v>
      </c>
      <c r="K162">
        <v>49</v>
      </c>
      <c r="O162">
        <f t="shared" si="166"/>
        <v>12040.72</v>
      </c>
      <c r="P162">
        <f t="shared" si="167"/>
        <v>12040.72</v>
      </c>
      <c r="Q162">
        <f t="shared" si="168"/>
        <v>0</v>
      </c>
      <c r="R162">
        <f t="shared" si="169"/>
        <v>0</v>
      </c>
      <c r="S162">
        <f t="shared" si="170"/>
        <v>0</v>
      </c>
      <c r="T162">
        <f t="shared" si="171"/>
        <v>0</v>
      </c>
      <c r="U162">
        <f t="shared" si="172"/>
        <v>0</v>
      </c>
      <c r="V162">
        <f t="shared" si="173"/>
        <v>0</v>
      </c>
      <c r="W162">
        <f t="shared" si="174"/>
        <v>0</v>
      </c>
      <c r="X162">
        <f t="shared" si="175"/>
        <v>0</v>
      </c>
      <c r="Y162">
        <f t="shared" si="176"/>
        <v>0</v>
      </c>
      <c r="AA162">
        <v>145026783</v>
      </c>
      <c r="AB162">
        <f t="shared" si="177"/>
        <v>27.61</v>
      </c>
      <c r="AC162">
        <f t="shared" si="178"/>
        <v>27.61</v>
      </c>
      <c r="AD162">
        <f>ROUND((((ET162)-(EU162))+AE162),2)</f>
        <v>0</v>
      </c>
      <c r="AE162">
        <f>ROUND((EU162),2)</f>
        <v>0</v>
      </c>
      <c r="AF162">
        <f>ROUND((EV162),2)</f>
        <v>0</v>
      </c>
      <c r="AG162">
        <f t="shared" si="180"/>
        <v>0</v>
      </c>
      <c r="AH162">
        <f>(EW162)</f>
        <v>0</v>
      </c>
      <c r="AI162">
        <f>(EX162)</f>
        <v>0</v>
      </c>
      <c r="AJ162">
        <f t="shared" si="182"/>
        <v>0</v>
      </c>
      <c r="AK162">
        <v>27.61</v>
      </c>
      <c r="AL162">
        <v>27.61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1</v>
      </c>
      <c r="AW162">
        <v>1</v>
      </c>
      <c r="AZ162">
        <v>1</v>
      </c>
      <c r="BA162">
        <v>1</v>
      </c>
      <c r="BB162">
        <v>1</v>
      </c>
      <c r="BC162">
        <v>8.9</v>
      </c>
      <c r="BD162" t="s">
        <v>3</v>
      </c>
      <c r="BE162" t="s">
        <v>3</v>
      </c>
      <c r="BF162" t="s">
        <v>3</v>
      </c>
      <c r="BG162" t="s">
        <v>3</v>
      </c>
      <c r="BH162">
        <v>3</v>
      </c>
      <c r="BI162">
        <v>1</v>
      </c>
      <c r="BJ162" t="s">
        <v>3</v>
      </c>
      <c r="BM162">
        <v>1100</v>
      </c>
      <c r="BN162">
        <v>0</v>
      </c>
      <c r="BO162" t="s">
        <v>3</v>
      </c>
      <c r="BP162">
        <v>0</v>
      </c>
      <c r="BQ162">
        <v>8</v>
      </c>
      <c r="BR162">
        <v>0</v>
      </c>
      <c r="BS162">
        <v>1</v>
      </c>
      <c r="BT162">
        <v>1</v>
      </c>
      <c r="BU162">
        <v>1</v>
      </c>
      <c r="BV162">
        <v>1</v>
      </c>
      <c r="BW162">
        <v>1</v>
      </c>
      <c r="BX162">
        <v>1</v>
      </c>
      <c r="BY162" t="s">
        <v>3</v>
      </c>
      <c r="BZ162">
        <v>0</v>
      </c>
      <c r="CA162">
        <v>0</v>
      </c>
      <c r="CB162" t="s">
        <v>3</v>
      </c>
      <c r="CE162">
        <v>0</v>
      </c>
      <c r="CF162">
        <v>0</v>
      </c>
      <c r="CG162">
        <v>0</v>
      </c>
      <c r="CM162">
        <v>0</v>
      </c>
      <c r="CN162" t="s">
        <v>3</v>
      </c>
      <c r="CO162">
        <v>0</v>
      </c>
      <c r="CP162">
        <f t="shared" si="183"/>
        <v>12040.72</v>
      </c>
      <c r="CQ162">
        <f t="shared" si="184"/>
        <v>245.72900000000001</v>
      </c>
      <c r="CR162">
        <f>(((ET162)*BB162-(EU162)*BS162)+AE162*BS162)</f>
        <v>0</v>
      </c>
      <c r="CS162">
        <f t="shared" si="185"/>
        <v>0</v>
      </c>
      <c r="CT162">
        <f t="shared" si="186"/>
        <v>0</v>
      </c>
      <c r="CU162">
        <f t="shared" si="187"/>
        <v>0</v>
      </c>
      <c r="CV162">
        <f t="shared" si="188"/>
        <v>0</v>
      </c>
      <c r="CW162">
        <f t="shared" si="189"/>
        <v>0</v>
      </c>
      <c r="CX162">
        <f t="shared" si="190"/>
        <v>0</v>
      </c>
      <c r="CY162">
        <f t="shared" si="191"/>
        <v>0</v>
      </c>
      <c r="CZ162">
        <f t="shared" si="192"/>
        <v>0</v>
      </c>
      <c r="DC162" t="s">
        <v>3</v>
      </c>
      <c r="DD162" t="s">
        <v>3</v>
      </c>
      <c r="DE162" t="s">
        <v>3</v>
      </c>
      <c r="DF162" t="s">
        <v>3</v>
      </c>
      <c r="DG162" t="s">
        <v>3</v>
      </c>
      <c r="DH162" t="s">
        <v>3</v>
      </c>
      <c r="DI162" t="s">
        <v>3</v>
      </c>
      <c r="DJ162" t="s">
        <v>3</v>
      </c>
      <c r="DK162" t="s">
        <v>3</v>
      </c>
      <c r="DL162" t="s">
        <v>3</v>
      </c>
      <c r="DM162" t="s">
        <v>3</v>
      </c>
      <c r="DN162">
        <v>0</v>
      </c>
      <c r="DO162">
        <v>0</v>
      </c>
      <c r="DP162">
        <v>1</v>
      </c>
      <c r="DQ162">
        <v>1</v>
      </c>
      <c r="DU162">
        <v>1010</v>
      </c>
      <c r="DV162" t="s">
        <v>31</v>
      </c>
      <c r="DW162" t="s">
        <v>31</v>
      </c>
      <c r="DX162">
        <v>1</v>
      </c>
      <c r="DZ162" t="s">
        <v>3</v>
      </c>
      <c r="EA162" t="s">
        <v>3</v>
      </c>
      <c r="EB162" t="s">
        <v>3</v>
      </c>
      <c r="EC162" t="s">
        <v>3</v>
      </c>
      <c r="EE162">
        <v>140625274</v>
      </c>
      <c r="EF162">
        <v>8</v>
      </c>
      <c r="EG162" t="s">
        <v>32</v>
      </c>
      <c r="EH162">
        <v>0</v>
      </c>
      <c r="EI162" t="s">
        <v>3</v>
      </c>
      <c r="EJ162">
        <v>1</v>
      </c>
      <c r="EK162">
        <v>1100</v>
      </c>
      <c r="EL162" t="s">
        <v>33</v>
      </c>
      <c r="EM162" t="s">
        <v>34</v>
      </c>
      <c r="EO162" t="s">
        <v>3</v>
      </c>
      <c r="EQ162">
        <v>0</v>
      </c>
      <c r="ER162">
        <v>27.61</v>
      </c>
      <c r="ES162">
        <v>27.61</v>
      </c>
      <c r="ET162">
        <v>0</v>
      </c>
      <c r="EU162">
        <v>0</v>
      </c>
      <c r="EV162">
        <v>0</v>
      </c>
      <c r="EW162">
        <v>0</v>
      </c>
      <c r="EX162">
        <v>0</v>
      </c>
      <c r="EY162">
        <v>0</v>
      </c>
      <c r="EZ162">
        <v>5</v>
      </c>
      <c r="FC162">
        <v>1</v>
      </c>
      <c r="FD162">
        <v>18</v>
      </c>
      <c r="FF162">
        <v>275.29000000000002</v>
      </c>
      <c r="FQ162">
        <v>0</v>
      </c>
      <c r="FR162">
        <f t="shared" si="193"/>
        <v>0</v>
      </c>
      <c r="FS162">
        <v>0</v>
      </c>
      <c r="FX162">
        <v>0</v>
      </c>
      <c r="FY162">
        <v>0</v>
      </c>
      <c r="GA162" t="s">
        <v>462</v>
      </c>
      <c r="GD162">
        <v>1</v>
      </c>
      <c r="GF162">
        <v>214523364</v>
      </c>
      <c r="GG162">
        <v>2</v>
      </c>
      <c r="GH162">
        <v>3</v>
      </c>
      <c r="GI162">
        <v>4</v>
      </c>
      <c r="GJ162">
        <v>0</v>
      </c>
      <c r="GK162">
        <v>0</v>
      </c>
      <c r="GL162">
        <f t="shared" si="194"/>
        <v>0</v>
      </c>
      <c r="GM162">
        <f t="shared" si="195"/>
        <v>12040.72</v>
      </c>
      <c r="GN162">
        <f t="shared" si="196"/>
        <v>12040.72</v>
      </c>
      <c r="GO162">
        <f t="shared" si="197"/>
        <v>0</v>
      </c>
      <c r="GP162">
        <f t="shared" si="198"/>
        <v>0</v>
      </c>
      <c r="GR162">
        <v>1</v>
      </c>
      <c r="GS162">
        <v>1</v>
      </c>
      <c r="GT162">
        <v>0</v>
      </c>
      <c r="GU162" t="s">
        <v>3</v>
      </c>
      <c r="GV162">
        <f t="shared" si="199"/>
        <v>0</v>
      </c>
      <c r="GW162">
        <v>1</v>
      </c>
      <c r="GX162">
        <f t="shared" si="200"/>
        <v>0</v>
      </c>
      <c r="HA162">
        <v>0</v>
      </c>
      <c r="HB162">
        <v>0</v>
      </c>
      <c r="HC162">
        <f t="shared" si="201"/>
        <v>0</v>
      </c>
      <c r="HE162" t="s">
        <v>36</v>
      </c>
      <c r="HF162" t="s">
        <v>28</v>
      </c>
      <c r="HM162" t="s">
        <v>3</v>
      </c>
      <c r="HN162" t="s">
        <v>3</v>
      </c>
      <c r="HO162" t="s">
        <v>3</v>
      </c>
      <c r="HP162" t="s">
        <v>3</v>
      </c>
      <c r="HQ162" t="s">
        <v>3</v>
      </c>
      <c r="IK162">
        <v>0</v>
      </c>
    </row>
    <row r="163" spans="1:245" x14ac:dyDescent="0.2">
      <c r="A163">
        <v>17</v>
      </c>
      <c r="B163">
        <v>1</v>
      </c>
      <c r="C163">
        <f>ROW(SmtRes!A210)</f>
        <v>210</v>
      </c>
      <c r="D163">
        <f>ROW(EtalonRes!A239)</f>
        <v>239</v>
      </c>
      <c r="E163" t="s">
        <v>463</v>
      </c>
      <c r="F163" t="s">
        <v>464</v>
      </c>
      <c r="G163" t="s">
        <v>465</v>
      </c>
      <c r="H163" t="s">
        <v>21</v>
      </c>
      <c r="I163">
        <f>ROUND(43/100,9)</f>
        <v>0.43</v>
      </c>
      <c r="J163">
        <v>0</v>
      </c>
      <c r="K163">
        <f>ROUND(43/100,9)</f>
        <v>0.43</v>
      </c>
      <c r="O163">
        <f t="shared" si="166"/>
        <v>16291.95</v>
      </c>
      <c r="P163">
        <f t="shared" si="167"/>
        <v>6250.87</v>
      </c>
      <c r="Q163">
        <f t="shared" si="168"/>
        <v>1446.79</v>
      </c>
      <c r="R163">
        <f t="shared" si="169"/>
        <v>894.82</v>
      </c>
      <c r="S163">
        <f t="shared" si="170"/>
        <v>8594.2900000000009</v>
      </c>
      <c r="T163">
        <f t="shared" si="171"/>
        <v>0</v>
      </c>
      <c r="U163">
        <f t="shared" si="172"/>
        <v>33.477650000000004</v>
      </c>
      <c r="V163">
        <f t="shared" si="173"/>
        <v>2.2574999999999998</v>
      </c>
      <c r="W163">
        <f t="shared" si="174"/>
        <v>0</v>
      </c>
      <c r="X163">
        <f t="shared" si="175"/>
        <v>10248.24</v>
      </c>
      <c r="Y163">
        <f t="shared" si="176"/>
        <v>4436.16</v>
      </c>
      <c r="AA163">
        <v>145026783</v>
      </c>
      <c r="AB163">
        <f t="shared" si="177"/>
        <v>2528.2199999999998</v>
      </c>
      <c r="AC163">
        <f t="shared" si="178"/>
        <v>1633.36</v>
      </c>
      <c r="AD163">
        <f>ROUND(((((ET163*1.25))-((EU163*1.25)))+AE163),2)</f>
        <v>270.47000000000003</v>
      </c>
      <c r="AE163">
        <f>ROUND(((EU163*1.25)),2)</f>
        <v>65.010000000000005</v>
      </c>
      <c r="AF163">
        <f>ROUND(((EV163*1.15)),2)</f>
        <v>624.39</v>
      </c>
      <c r="AG163">
        <f t="shared" si="180"/>
        <v>0</v>
      </c>
      <c r="AH163">
        <f>((EW163*1.15))</f>
        <v>77.855000000000004</v>
      </c>
      <c r="AI163">
        <f>((EX163*1.25))</f>
        <v>5.25</v>
      </c>
      <c r="AJ163">
        <f t="shared" si="182"/>
        <v>0</v>
      </c>
      <c r="AK163">
        <v>2392.69</v>
      </c>
      <c r="AL163">
        <v>1633.36</v>
      </c>
      <c r="AM163">
        <v>216.38</v>
      </c>
      <c r="AN163">
        <v>52.01</v>
      </c>
      <c r="AO163">
        <v>542.95000000000005</v>
      </c>
      <c r="AP163">
        <v>0</v>
      </c>
      <c r="AQ163">
        <v>67.7</v>
      </c>
      <c r="AR163">
        <v>4.2</v>
      </c>
      <c r="AS163">
        <v>0</v>
      </c>
      <c r="AT163">
        <v>108</v>
      </c>
      <c r="AU163">
        <v>46.75</v>
      </c>
      <c r="AV163">
        <v>1</v>
      </c>
      <c r="AW163">
        <v>1</v>
      </c>
      <c r="AZ163">
        <v>1</v>
      </c>
      <c r="BA163">
        <v>32.01</v>
      </c>
      <c r="BB163">
        <v>12.44</v>
      </c>
      <c r="BC163">
        <v>8.9</v>
      </c>
      <c r="BD163" t="s">
        <v>3</v>
      </c>
      <c r="BE163" t="s">
        <v>3</v>
      </c>
      <c r="BF163" t="s">
        <v>3</v>
      </c>
      <c r="BG163" t="s">
        <v>3</v>
      </c>
      <c r="BH163">
        <v>0</v>
      </c>
      <c r="BI163">
        <v>1</v>
      </c>
      <c r="BJ163" t="s">
        <v>466</v>
      </c>
      <c r="BM163">
        <v>10001</v>
      </c>
      <c r="BN163">
        <v>0</v>
      </c>
      <c r="BO163" t="s">
        <v>3</v>
      </c>
      <c r="BP163">
        <v>0</v>
      </c>
      <c r="BQ163">
        <v>2</v>
      </c>
      <c r="BR163">
        <v>0</v>
      </c>
      <c r="BS163">
        <v>32.01</v>
      </c>
      <c r="BT163">
        <v>1</v>
      </c>
      <c r="BU163">
        <v>1</v>
      </c>
      <c r="BV163">
        <v>1</v>
      </c>
      <c r="BW163">
        <v>1</v>
      </c>
      <c r="BX163">
        <v>1</v>
      </c>
      <c r="BY163" t="s">
        <v>3</v>
      </c>
      <c r="BZ163">
        <v>108</v>
      </c>
      <c r="CA163">
        <v>55</v>
      </c>
      <c r="CB163" t="s">
        <v>3</v>
      </c>
      <c r="CE163">
        <v>0</v>
      </c>
      <c r="CF163">
        <v>0</v>
      </c>
      <c r="CG163">
        <v>0</v>
      </c>
      <c r="CM163">
        <v>0</v>
      </c>
      <c r="CN163" t="s">
        <v>863</v>
      </c>
      <c r="CO163">
        <v>0</v>
      </c>
      <c r="CP163">
        <f t="shared" si="183"/>
        <v>16291.95</v>
      </c>
      <c r="CQ163">
        <f t="shared" si="184"/>
        <v>14536.904</v>
      </c>
      <c r="CR163">
        <f>((((ET163*1.25))*BB163-((EU163*1.25))*BS163)+AE163*BS163)</f>
        <v>3364.6289750000005</v>
      </c>
      <c r="CS163">
        <f t="shared" si="185"/>
        <v>2080.9701</v>
      </c>
      <c r="CT163">
        <f t="shared" si="186"/>
        <v>19986.723899999997</v>
      </c>
      <c r="CU163">
        <f t="shared" si="187"/>
        <v>0</v>
      </c>
      <c r="CV163">
        <f t="shared" si="188"/>
        <v>77.855000000000004</v>
      </c>
      <c r="CW163">
        <f t="shared" si="189"/>
        <v>5.25</v>
      </c>
      <c r="CX163">
        <f t="shared" si="190"/>
        <v>0</v>
      </c>
      <c r="CY163">
        <f t="shared" si="191"/>
        <v>10248.238800000001</v>
      </c>
      <c r="CZ163">
        <f t="shared" si="192"/>
        <v>4436.1589249999997</v>
      </c>
      <c r="DC163" t="s">
        <v>3</v>
      </c>
      <c r="DD163" t="s">
        <v>3</v>
      </c>
      <c r="DE163" t="s">
        <v>148</v>
      </c>
      <c r="DF163" t="s">
        <v>148</v>
      </c>
      <c r="DG163" t="s">
        <v>149</v>
      </c>
      <c r="DH163" t="s">
        <v>3</v>
      </c>
      <c r="DI163" t="s">
        <v>149</v>
      </c>
      <c r="DJ163" t="s">
        <v>148</v>
      </c>
      <c r="DK163" t="s">
        <v>3</v>
      </c>
      <c r="DL163" t="s">
        <v>3</v>
      </c>
      <c r="DM163" t="s">
        <v>150</v>
      </c>
      <c r="DN163">
        <v>0</v>
      </c>
      <c r="DO163">
        <v>0</v>
      </c>
      <c r="DP163">
        <v>1</v>
      </c>
      <c r="DQ163">
        <v>1</v>
      </c>
      <c r="DU163">
        <v>1013</v>
      </c>
      <c r="DV163" t="s">
        <v>21</v>
      </c>
      <c r="DW163" t="s">
        <v>21</v>
      </c>
      <c r="DX163">
        <v>1</v>
      </c>
      <c r="DZ163" t="s">
        <v>3</v>
      </c>
      <c r="EA163" t="s">
        <v>3</v>
      </c>
      <c r="EB163" t="s">
        <v>3</v>
      </c>
      <c r="EC163" t="s">
        <v>3</v>
      </c>
      <c r="EE163">
        <v>140625028</v>
      </c>
      <c r="EF163">
        <v>2</v>
      </c>
      <c r="EG163" t="s">
        <v>95</v>
      </c>
      <c r="EH163">
        <v>10</v>
      </c>
      <c r="EI163" t="s">
        <v>96</v>
      </c>
      <c r="EJ163">
        <v>1</v>
      </c>
      <c r="EK163">
        <v>10001</v>
      </c>
      <c r="EL163" t="s">
        <v>96</v>
      </c>
      <c r="EM163" t="s">
        <v>97</v>
      </c>
      <c r="EO163" t="s">
        <v>151</v>
      </c>
      <c r="EQ163">
        <v>1310720</v>
      </c>
      <c r="ER163">
        <v>2392.69</v>
      </c>
      <c r="ES163">
        <v>1633.36</v>
      </c>
      <c r="ET163">
        <v>216.38</v>
      </c>
      <c r="EU163">
        <v>52.01</v>
      </c>
      <c r="EV163">
        <v>542.95000000000005</v>
      </c>
      <c r="EW163">
        <v>67.7</v>
      </c>
      <c r="EX163">
        <v>4.2</v>
      </c>
      <c r="EY163">
        <v>0</v>
      </c>
      <c r="FQ163">
        <v>0</v>
      </c>
      <c r="FR163">
        <f t="shared" si="193"/>
        <v>0</v>
      </c>
      <c r="FS163">
        <v>0</v>
      </c>
      <c r="FX163">
        <v>108</v>
      </c>
      <c r="FY163">
        <v>46.75</v>
      </c>
      <c r="GA163" t="s">
        <v>3</v>
      </c>
      <c r="GD163">
        <v>1</v>
      </c>
      <c r="GF163">
        <v>293093570</v>
      </c>
      <c r="GG163">
        <v>2</v>
      </c>
      <c r="GH163">
        <v>1</v>
      </c>
      <c r="GI163">
        <v>4</v>
      </c>
      <c r="GJ163">
        <v>0</v>
      </c>
      <c r="GK163">
        <v>0</v>
      </c>
      <c r="GL163">
        <f t="shared" si="194"/>
        <v>0</v>
      </c>
      <c r="GM163">
        <f t="shared" si="195"/>
        <v>30976.35</v>
      </c>
      <c r="GN163">
        <f t="shared" si="196"/>
        <v>30976.35</v>
      </c>
      <c r="GO163">
        <f t="shared" si="197"/>
        <v>0</v>
      </c>
      <c r="GP163">
        <f t="shared" si="198"/>
        <v>0</v>
      </c>
      <c r="GR163">
        <v>0</v>
      </c>
      <c r="GS163">
        <v>3</v>
      </c>
      <c r="GT163">
        <v>0</v>
      </c>
      <c r="GU163" t="s">
        <v>3</v>
      </c>
      <c r="GV163">
        <f t="shared" si="199"/>
        <v>0</v>
      </c>
      <c r="GW163">
        <v>1</v>
      </c>
      <c r="GX163">
        <f t="shared" si="200"/>
        <v>0</v>
      </c>
      <c r="HA163">
        <v>0</v>
      </c>
      <c r="HB163">
        <v>0</v>
      </c>
      <c r="HC163">
        <f t="shared" si="201"/>
        <v>0</v>
      </c>
      <c r="HE163" t="s">
        <v>3</v>
      </c>
      <c r="HF163" t="s">
        <v>3</v>
      </c>
      <c r="HM163" t="s">
        <v>3</v>
      </c>
      <c r="HN163" t="s">
        <v>99</v>
      </c>
      <c r="HO163" t="s">
        <v>100</v>
      </c>
      <c r="HP163" t="s">
        <v>96</v>
      </c>
      <c r="HQ163" t="s">
        <v>96</v>
      </c>
      <c r="IK163">
        <v>0</v>
      </c>
    </row>
    <row r="164" spans="1:245" x14ac:dyDescent="0.2">
      <c r="A164">
        <v>18</v>
      </c>
      <c r="B164">
        <v>1</v>
      </c>
      <c r="C164">
        <v>210</v>
      </c>
      <c r="E164" t="s">
        <v>467</v>
      </c>
      <c r="F164" t="s">
        <v>468</v>
      </c>
      <c r="G164" t="s">
        <v>469</v>
      </c>
      <c r="H164" t="s">
        <v>191</v>
      </c>
      <c r="I164">
        <f>I163*J164</f>
        <v>-172</v>
      </c>
      <c r="J164">
        <v>-400</v>
      </c>
      <c r="K164">
        <v>-400</v>
      </c>
      <c r="O164">
        <f t="shared" si="166"/>
        <v>-4898.5600000000004</v>
      </c>
      <c r="P164">
        <f t="shared" si="167"/>
        <v>-4898.5600000000004</v>
      </c>
      <c r="Q164">
        <f t="shared" si="168"/>
        <v>0</v>
      </c>
      <c r="R164">
        <f t="shared" si="169"/>
        <v>0</v>
      </c>
      <c r="S164">
        <f t="shared" si="170"/>
        <v>0</v>
      </c>
      <c r="T164">
        <f t="shared" si="171"/>
        <v>0</v>
      </c>
      <c r="U164">
        <f t="shared" si="172"/>
        <v>0</v>
      </c>
      <c r="V164">
        <f t="shared" si="173"/>
        <v>0</v>
      </c>
      <c r="W164">
        <f t="shared" si="174"/>
        <v>0</v>
      </c>
      <c r="X164">
        <f t="shared" si="175"/>
        <v>0</v>
      </c>
      <c r="Y164">
        <f t="shared" si="176"/>
        <v>0</v>
      </c>
      <c r="AA164">
        <v>145026783</v>
      </c>
      <c r="AB164">
        <f t="shared" si="177"/>
        <v>3.2</v>
      </c>
      <c r="AC164">
        <f t="shared" si="178"/>
        <v>3.2</v>
      </c>
      <c r="AD164">
        <f>ROUND((((ET164)-(EU164))+AE164),2)</f>
        <v>0</v>
      </c>
      <c r="AE164">
        <f>ROUND((EU164),2)</f>
        <v>0</v>
      </c>
      <c r="AF164">
        <f>ROUND((EV164),2)</f>
        <v>0</v>
      </c>
      <c r="AG164">
        <f t="shared" si="180"/>
        <v>0</v>
      </c>
      <c r="AH164">
        <f>(EW164)</f>
        <v>0</v>
      </c>
      <c r="AI164">
        <f>(EX164)</f>
        <v>0</v>
      </c>
      <c r="AJ164">
        <f t="shared" si="182"/>
        <v>0</v>
      </c>
      <c r="AK164">
        <v>3.2</v>
      </c>
      <c r="AL164">
        <v>3.2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108</v>
      </c>
      <c r="AU164">
        <v>55</v>
      </c>
      <c r="AV164">
        <v>1</v>
      </c>
      <c r="AW164">
        <v>1</v>
      </c>
      <c r="AZ164">
        <v>1</v>
      </c>
      <c r="BA164">
        <v>1</v>
      </c>
      <c r="BB164">
        <v>1</v>
      </c>
      <c r="BC164">
        <v>8.9</v>
      </c>
      <c r="BD164" t="s">
        <v>3</v>
      </c>
      <c r="BE164" t="s">
        <v>3</v>
      </c>
      <c r="BF164" t="s">
        <v>3</v>
      </c>
      <c r="BG164" t="s">
        <v>3</v>
      </c>
      <c r="BH164">
        <v>3</v>
      </c>
      <c r="BI164">
        <v>1</v>
      </c>
      <c r="BJ164" t="s">
        <v>470</v>
      </c>
      <c r="BM164">
        <v>10001</v>
      </c>
      <c r="BN164">
        <v>0</v>
      </c>
      <c r="BO164" t="s">
        <v>3</v>
      </c>
      <c r="BP164">
        <v>0</v>
      </c>
      <c r="BQ164">
        <v>2</v>
      </c>
      <c r="BR164">
        <v>1</v>
      </c>
      <c r="BS164">
        <v>1</v>
      </c>
      <c r="BT164">
        <v>1</v>
      </c>
      <c r="BU164">
        <v>1</v>
      </c>
      <c r="BV164">
        <v>1</v>
      </c>
      <c r="BW164">
        <v>1</v>
      </c>
      <c r="BX164">
        <v>1</v>
      </c>
      <c r="BY164" t="s">
        <v>3</v>
      </c>
      <c r="BZ164">
        <v>108</v>
      </c>
      <c r="CA164">
        <v>55</v>
      </c>
      <c r="CB164" t="s">
        <v>3</v>
      </c>
      <c r="CE164">
        <v>0</v>
      </c>
      <c r="CF164">
        <v>0</v>
      </c>
      <c r="CG164">
        <v>0</v>
      </c>
      <c r="CM164">
        <v>0</v>
      </c>
      <c r="CN164" t="s">
        <v>3</v>
      </c>
      <c r="CO164">
        <v>0</v>
      </c>
      <c r="CP164">
        <f t="shared" si="183"/>
        <v>-4898.5600000000004</v>
      </c>
      <c r="CQ164">
        <f t="shared" si="184"/>
        <v>28.480000000000004</v>
      </c>
      <c r="CR164">
        <f>(((ET164)*BB164-(EU164)*BS164)+AE164*BS164)</f>
        <v>0</v>
      </c>
      <c r="CS164">
        <f t="shared" si="185"/>
        <v>0</v>
      </c>
      <c r="CT164">
        <f t="shared" si="186"/>
        <v>0</v>
      </c>
      <c r="CU164">
        <f t="shared" si="187"/>
        <v>0</v>
      </c>
      <c r="CV164">
        <f t="shared" si="188"/>
        <v>0</v>
      </c>
      <c r="CW164">
        <f t="shared" si="189"/>
        <v>0</v>
      </c>
      <c r="CX164">
        <f t="shared" si="190"/>
        <v>0</v>
      </c>
      <c r="CY164">
        <f t="shared" si="191"/>
        <v>0</v>
      </c>
      <c r="CZ164">
        <f t="shared" si="192"/>
        <v>0</v>
      </c>
      <c r="DC164" t="s">
        <v>3</v>
      </c>
      <c r="DD164" t="s">
        <v>3</v>
      </c>
      <c r="DE164" t="s">
        <v>3</v>
      </c>
      <c r="DF164" t="s">
        <v>3</v>
      </c>
      <c r="DG164" t="s">
        <v>3</v>
      </c>
      <c r="DH164" t="s">
        <v>3</v>
      </c>
      <c r="DI164" t="s">
        <v>3</v>
      </c>
      <c r="DJ164" t="s">
        <v>3</v>
      </c>
      <c r="DK164" t="s">
        <v>3</v>
      </c>
      <c r="DL164" t="s">
        <v>3</v>
      </c>
      <c r="DM164" t="s">
        <v>3</v>
      </c>
      <c r="DN164">
        <v>0</v>
      </c>
      <c r="DO164">
        <v>0</v>
      </c>
      <c r="DP164">
        <v>1</v>
      </c>
      <c r="DQ164">
        <v>1</v>
      </c>
      <c r="DU164">
        <v>1003</v>
      </c>
      <c r="DV164" t="s">
        <v>191</v>
      </c>
      <c r="DW164" t="s">
        <v>191</v>
      </c>
      <c r="DX164">
        <v>1</v>
      </c>
      <c r="DZ164" t="s">
        <v>3</v>
      </c>
      <c r="EA164" t="s">
        <v>3</v>
      </c>
      <c r="EB164" t="s">
        <v>3</v>
      </c>
      <c r="EC164" t="s">
        <v>3</v>
      </c>
      <c r="EE164">
        <v>140625028</v>
      </c>
      <c r="EF164">
        <v>2</v>
      </c>
      <c r="EG164" t="s">
        <v>95</v>
      </c>
      <c r="EH164">
        <v>10</v>
      </c>
      <c r="EI164" t="s">
        <v>96</v>
      </c>
      <c r="EJ164">
        <v>1</v>
      </c>
      <c r="EK164">
        <v>10001</v>
      </c>
      <c r="EL164" t="s">
        <v>96</v>
      </c>
      <c r="EM164" t="s">
        <v>97</v>
      </c>
      <c r="EO164" t="s">
        <v>3</v>
      </c>
      <c r="EQ164">
        <v>0</v>
      </c>
      <c r="ER164">
        <v>3.2</v>
      </c>
      <c r="ES164">
        <v>3.2</v>
      </c>
      <c r="ET164">
        <v>0</v>
      </c>
      <c r="EU164">
        <v>0</v>
      </c>
      <c r="EV164">
        <v>0</v>
      </c>
      <c r="EW164">
        <v>0</v>
      </c>
      <c r="EX164">
        <v>0</v>
      </c>
      <c r="FQ164">
        <v>0</v>
      </c>
      <c r="FR164">
        <f t="shared" si="193"/>
        <v>0</v>
      </c>
      <c r="FS164">
        <v>0</v>
      </c>
      <c r="FX164">
        <v>108</v>
      </c>
      <c r="FY164">
        <v>55</v>
      </c>
      <c r="GA164" t="s">
        <v>3</v>
      </c>
      <c r="GD164">
        <v>1</v>
      </c>
      <c r="GF164">
        <v>1217145207</v>
      </c>
      <c r="GG164">
        <v>2</v>
      </c>
      <c r="GH164">
        <v>1</v>
      </c>
      <c r="GI164">
        <v>4</v>
      </c>
      <c r="GJ164">
        <v>0</v>
      </c>
      <c r="GK164">
        <v>0</v>
      </c>
      <c r="GL164">
        <f t="shared" si="194"/>
        <v>0</v>
      </c>
      <c r="GM164">
        <f t="shared" si="195"/>
        <v>-4898.5600000000004</v>
      </c>
      <c r="GN164">
        <f t="shared" si="196"/>
        <v>-4898.5600000000004</v>
      </c>
      <c r="GO164">
        <f t="shared" si="197"/>
        <v>0</v>
      </c>
      <c r="GP164">
        <f t="shared" si="198"/>
        <v>0</v>
      </c>
      <c r="GR164">
        <v>0</v>
      </c>
      <c r="GS164">
        <v>3</v>
      </c>
      <c r="GT164">
        <v>0</v>
      </c>
      <c r="GU164" t="s">
        <v>3</v>
      </c>
      <c r="GV164">
        <f t="shared" si="199"/>
        <v>0</v>
      </c>
      <c r="GW164">
        <v>1</v>
      </c>
      <c r="GX164">
        <f t="shared" si="200"/>
        <v>0</v>
      </c>
      <c r="HA164">
        <v>0</v>
      </c>
      <c r="HB164">
        <v>0</v>
      </c>
      <c r="HC164">
        <f t="shared" si="201"/>
        <v>0</v>
      </c>
      <c r="HE164" t="s">
        <v>3</v>
      </c>
      <c r="HF164" t="s">
        <v>3</v>
      </c>
      <c r="HM164" t="s">
        <v>3</v>
      </c>
      <c r="HN164" t="s">
        <v>99</v>
      </c>
      <c r="HO164" t="s">
        <v>100</v>
      </c>
      <c r="HP164" t="s">
        <v>96</v>
      </c>
      <c r="HQ164" t="s">
        <v>96</v>
      </c>
      <c r="IK164">
        <v>0</v>
      </c>
    </row>
    <row r="165" spans="1:245" x14ac:dyDescent="0.2">
      <c r="A165">
        <v>17</v>
      </c>
      <c r="B165">
        <v>1</v>
      </c>
      <c r="E165" t="s">
        <v>471</v>
      </c>
      <c r="F165" t="s">
        <v>29</v>
      </c>
      <c r="G165" t="s">
        <v>472</v>
      </c>
      <c r="H165" t="s">
        <v>31</v>
      </c>
      <c r="I165">
        <v>43</v>
      </c>
      <c r="J165">
        <v>0</v>
      </c>
      <c r="K165">
        <v>43</v>
      </c>
      <c r="O165">
        <f t="shared" si="166"/>
        <v>40677.18</v>
      </c>
      <c r="P165">
        <f t="shared" si="167"/>
        <v>40677.18</v>
      </c>
      <c r="Q165">
        <f t="shared" si="168"/>
        <v>0</v>
      </c>
      <c r="R165">
        <f t="shared" si="169"/>
        <v>0</v>
      </c>
      <c r="S165">
        <f t="shared" si="170"/>
        <v>0</v>
      </c>
      <c r="T165">
        <f t="shared" si="171"/>
        <v>0</v>
      </c>
      <c r="U165">
        <f t="shared" si="172"/>
        <v>0</v>
      </c>
      <c r="V165">
        <f t="shared" si="173"/>
        <v>0</v>
      </c>
      <c r="W165">
        <f t="shared" si="174"/>
        <v>0</v>
      </c>
      <c r="X165">
        <f t="shared" si="175"/>
        <v>0</v>
      </c>
      <c r="Y165">
        <f t="shared" si="176"/>
        <v>0</v>
      </c>
      <c r="AA165">
        <v>145026783</v>
      </c>
      <c r="AB165">
        <f t="shared" si="177"/>
        <v>106.29</v>
      </c>
      <c r="AC165">
        <f t="shared" si="178"/>
        <v>106.29</v>
      </c>
      <c r="AD165">
        <f>ROUND((((ET165)-(EU165))+AE165),2)</f>
        <v>0</v>
      </c>
      <c r="AE165">
        <f>ROUND((EU165),2)</f>
        <v>0</v>
      </c>
      <c r="AF165">
        <f>ROUND((EV165),2)</f>
        <v>0</v>
      </c>
      <c r="AG165">
        <f t="shared" si="180"/>
        <v>0</v>
      </c>
      <c r="AH165">
        <f>(EW165)</f>
        <v>0</v>
      </c>
      <c r="AI165">
        <f>(EX165)</f>
        <v>0</v>
      </c>
      <c r="AJ165">
        <f t="shared" si="182"/>
        <v>0</v>
      </c>
      <c r="AK165">
        <v>106.28999999999999</v>
      </c>
      <c r="AL165">
        <v>106.28999999999999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1</v>
      </c>
      <c r="AW165">
        <v>1</v>
      </c>
      <c r="AZ165">
        <v>1</v>
      </c>
      <c r="BA165">
        <v>1</v>
      </c>
      <c r="BB165">
        <v>1</v>
      </c>
      <c r="BC165">
        <v>8.9</v>
      </c>
      <c r="BD165" t="s">
        <v>3</v>
      </c>
      <c r="BE165" t="s">
        <v>3</v>
      </c>
      <c r="BF165" t="s">
        <v>3</v>
      </c>
      <c r="BG165" t="s">
        <v>3</v>
      </c>
      <c r="BH165">
        <v>3</v>
      </c>
      <c r="BI165">
        <v>1</v>
      </c>
      <c r="BJ165" t="s">
        <v>3</v>
      </c>
      <c r="BM165">
        <v>1100</v>
      </c>
      <c r="BN165">
        <v>0</v>
      </c>
      <c r="BO165" t="s">
        <v>3</v>
      </c>
      <c r="BP165">
        <v>0</v>
      </c>
      <c r="BQ165">
        <v>8</v>
      </c>
      <c r="BR165">
        <v>0</v>
      </c>
      <c r="BS165">
        <v>1</v>
      </c>
      <c r="BT165">
        <v>1</v>
      </c>
      <c r="BU165">
        <v>1</v>
      </c>
      <c r="BV165">
        <v>1</v>
      </c>
      <c r="BW165">
        <v>1</v>
      </c>
      <c r="BX165">
        <v>1</v>
      </c>
      <c r="BY165" t="s">
        <v>3</v>
      </c>
      <c r="BZ165">
        <v>0</v>
      </c>
      <c r="CA165">
        <v>0</v>
      </c>
      <c r="CB165" t="s">
        <v>3</v>
      </c>
      <c r="CE165">
        <v>0</v>
      </c>
      <c r="CF165">
        <v>0</v>
      </c>
      <c r="CG165">
        <v>0</v>
      </c>
      <c r="CM165">
        <v>0</v>
      </c>
      <c r="CN165" t="s">
        <v>3</v>
      </c>
      <c r="CO165">
        <v>0</v>
      </c>
      <c r="CP165">
        <f t="shared" si="183"/>
        <v>40677.18</v>
      </c>
      <c r="CQ165">
        <f t="shared" si="184"/>
        <v>945.98100000000011</v>
      </c>
      <c r="CR165">
        <f>(((ET165)*BB165-(EU165)*BS165)+AE165*BS165)</f>
        <v>0</v>
      </c>
      <c r="CS165">
        <f t="shared" si="185"/>
        <v>0</v>
      </c>
      <c r="CT165">
        <f t="shared" si="186"/>
        <v>0</v>
      </c>
      <c r="CU165">
        <f t="shared" si="187"/>
        <v>0</v>
      </c>
      <c r="CV165">
        <f t="shared" si="188"/>
        <v>0</v>
      </c>
      <c r="CW165">
        <f t="shared" si="189"/>
        <v>0</v>
      </c>
      <c r="CX165">
        <f t="shared" si="190"/>
        <v>0</v>
      </c>
      <c r="CY165">
        <f t="shared" si="191"/>
        <v>0</v>
      </c>
      <c r="CZ165">
        <f t="shared" si="192"/>
        <v>0</v>
      </c>
      <c r="DC165" t="s">
        <v>3</v>
      </c>
      <c r="DD165" t="s">
        <v>3</v>
      </c>
      <c r="DE165" t="s">
        <v>3</v>
      </c>
      <c r="DF165" t="s">
        <v>3</v>
      </c>
      <c r="DG165" t="s">
        <v>3</v>
      </c>
      <c r="DH165" t="s">
        <v>3</v>
      </c>
      <c r="DI165" t="s">
        <v>3</v>
      </c>
      <c r="DJ165" t="s">
        <v>3</v>
      </c>
      <c r="DK165" t="s">
        <v>3</v>
      </c>
      <c r="DL165" t="s">
        <v>3</v>
      </c>
      <c r="DM165" t="s">
        <v>3</v>
      </c>
      <c r="DN165">
        <v>0</v>
      </c>
      <c r="DO165">
        <v>0</v>
      </c>
      <c r="DP165">
        <v>1</v>
      </c>
      <c r="DQ165">
        <v>1</v>
      </c>
      <c r="DU165">
        <v>1010</v>
      </c>
      <c r="DV165" t="s">
        <v>31</v>
      </c>
      <c r="DW165" t="s">
        <v>31</v>
      </c>
      <c r="DX165">
        <v>1</v>
      </c>
      <c r="DZ165" t="s">
        <v>3</v>
      </c>
      <c r="EA165" t="s">
        <v>3</v>
      </c>
      <c r="EB165" t="s">
        <v>3</v>
      </c>
      <c r="EC165" t="s">
        <v>3</v>
      </c>
      <c r="EE165">
        <v>140625274</v>
      </c>
      <c r="EF165">
        <v>8</v>
      </c>
      <c r="EG165" t="s">
        <v>32</v>
      </c>
      <c r="EH165">
        <v>0</v>
      </c>
      <c r="EI165" t="s">
        <v>3</v>
      </c>
      <c r="EJ165">
        <v>1</v>
      </c>
      <c r="EK165">
        <v>1100</v>
      </c>
      <c r="EL165" t="s">
        <v>33</v>
      </c>
      <c r="EM165" t="s">
        <v>34</v>
      </c>
      <c r="EO165" t="s">
        <v>3</v>
      </c>
      <c r="EQ165">
        <v>0</v>
      </c>
      <c r="ER165">
        <v>106.28999999999999</v>
      </c>
      <c r="ES165">
        <v>106.28999999999999</v>
      </c>
      <c r="ET165">
        <v>0</v>
      </c>
      <c r="EU165">
        <v>0</v>
      </c>
      <c r="EV165">
        <v>0</v>
      </c>
      <c r="EW165">
        <v>0</v>
      </c>
      <c r="EX165">
        <v>0</v>
      </c>
      <c r="EY165">
        <v>0</v>
      </c>
      <c r="EZ165">
        <v>5</v>
      </c>
      <c r="FC165">
        <v>1</v>
      </c>
      <c r="FD165">
        <v>18</v>
      </c>
      <c r="FF165">
        <v>1060</v>
      </c>
      <c r="FQ165">
        <v>0</v>
      </c>
      <c r="FR165">
        <f t="shared" si="193"/>
        <v>0</v>
      </c>
      <c r="FS165">
        <v>0</v>
      </c>
      <c r="FX165">
        <v>0</v>
      </c>
      <c r="FY165">
        <v>0</v>
      </c>
      <c r="GA165" t="s">
        <v>473</v>
      </c>
      <c r="GD165">
        <v>1</v>
      </c>
      <c r="GF165">
        <v>704001006</v>
      </c>
      <c r="GG165">
        <v>2</v>
      </c>
      <c r="GH165">
        <v>3</v>
      </c>
      <c r="GI165">
        <v>4</v>
      </c>
      <c r="GJ165">
        <v>0</v>
      </c>
      <c r="GK165">
        <v>0</v>
      </c>
      <c r="GL165">
        <f t="shared" si="194"/>
        <v>0</v>
      </c>
      <c r="GM165">
        <f t="shared" si="195"/>
        <v>40677.18</v>
      </c>
      <c r="GN165">
        <f t="shared" si="196"/>
        <v>40677.18</v>
      </c>
      <c r="GO165">
        <f t="shared" si="197"/>
        <v>0</v>
      </c>
      <c r="GP165">
        <f t="shared" si="198"/>
        <v>0</v>
      </c>
      <c r="GR165">
        <v>1</v>
      </c>
      <c r="GS165">
        <v>1</v>
      </c>
      <c r="GT165">
        <v>0</v>
      </c>
      <c r="GU165" t="s">
        <v>3</v>
      </c>
      <c r="GV165">
        <f t="shared" si="199"/>
        <v>0</v>
      </c>
      <c r="GW165">
        <v>1</v>
      </c>
      <c r="GX165">
        <f t="shared" si="200"/>
        <v>0</v>
      </c>
      <c r="HA165">
        <v>0</v>
      </c>
      <c r="HB165">
        <v>0</v>
      </c>
      <c r="HC165">
        <f t="shared" si="201"/>
        <v>0</v>
      </c>
      <c r="HE165" t="s">
        <v>36</v>
      </c>
      <c r="HF165" t="s">
        <v>28</v>
      </c>
      <c r="HM165" t="s">
        <v>3</v>
      </c>
      <c r="HN165" t="s">
        <v>3</v>
      </c>
      <c r="HO165" t="s">
        <v>3</v>
      </c>
      <c r="HP165" t="s">
        <v>3</v>
      </c>
      <c r="HQ165" t="s">
        <v>3</v>
      </c>
      <c r="IK165">
        <v>0</v>
      </c>
    </row>
    <row r="167" spans="1:245" x14ac:dyDescent="0.2">
      <c r="A167" s="2">
        <v>51</v>
      </c>
      <c r="B167" s="2">
        <f>B137</f>
        <v>1</v>
      </c>
      <c r="C167" s="2">
        <f>A137</f>
        <v>4</v>
      </c>
      <c r="D167" s="2">
        <f>ROW(A137)</f>
        <v>137</v>
      </c>
      <c r="E167" s="2"/>
      <c r="F167" s="2" t="str">
        <f>IF(F137&lt;&gt;"",F137,"")</f>
        <v>Новый раздел</v>
      </c>
      <c r="G167" s="2" t="str">
        <f>IF(G137&lt;&gt;"",G137,"")</f>
        <v>Ремонт системы отопления</v>
      </c>
      <c r="H167" s="2">
        <v>0</v>
      </c>
      <c r="I167" s="2"/>
      <c r="J167" s="2"/>
      <c r="K167" s="2"/>
      <c r="L167" s="2"/>
      <c r="M167" s="2"/>
      <c r="N167" s="2"/>
      <c r="O167" s="2">
        <f t="shared" ref="O167:T167" si="208">ROUND(AB167,2)</f>
        <v>1010121.85</v>
      </c>
      <c r="P167" s="2">
        <f t="shared" si="208"/>
        <v>709051.45</v>
      </c>
      <c r="Q167" s="2">
        <f t="shared" si="208"/>
        <v>12869.72</v>
      </c>
      <c r="R167" s="2">
        <f t="shared" si="208"/>
        <v>4124.4399999999996</v>
      </c>
      <c r="S167" s="2">
        <f t="shared" si="208"/>
        <v>288200.68</v>
      </c>
      <c r="T167" s="2">
        <f t="shared" si="208"/>
        <v>0</v>
      </c>
      <c r="U167" s="2">
        <f>AH167</f>
        <v>983.86985002000006</v>
      </c>
      <c r="V167" s="2">
        <f>AI167</f>
        <v>10.45000205</v>
      </c>
      <c r="W167" s="2">
        <f>ROUND(AJ167,2)</f>
        <v>0</v>
      </c>
      <c r="X167" s="2">
        <f>ROUND(AK167,2)</f>
        <v>320957.93</v>
      </c>
      <c r="Y167" s="2">
        <f>ROUND(AL167,2)</f>
        <v>161585.43</v>
      </c>
      <c r="Z167" s="2"/>
      <c r="AA167" s="2"/>
      <c r="AB167" s="2">
        <f>ROUND(SUMIF(AA141:AA165,"=145026783",O141:O165),2)</f>
        <v>1010121.85</v>
      </c>
      <c r="AC167" s="2">
        <f>ROUND(SUMIF(AA141:AA165,"=145026783",P141:P165),2)</f>
        <v>709051.45</v>
      </c>
      <c r="AD167" s="2">
        <f>ROUND(SUMIF(AA141:AA165,"=145026783",Q141:Q165),2)</f>
        <v>12869.72</v>
      </c>
      <c r="AE167" s="2">
        <f>ROUND(SUMIF(AA141:AA165,"=145026783",R141:R165),2)</f>
        <v>4124.4399999999996</v>
      </c>
      <c r="AF167" s="2">
        <f>ROUND(SUMIF(AA141:AA165,"=145026783",S141:S165),2)</f>
        <v>288200.68</v>
      </c>
      <c r="AG167" s="2">
        <f>ROUND(SUMIF(AA141:AA165,"=145026783",T141:T165),2)</f>
        <v>0</v>
      </c>
      <c r="AH167" s="2">
        <f>SUMIF(AA141:AA165,"=145026783",U141:U165)</f>
        <v>983.86985002000006</v>
      </c>
      <c r="AI167" s="2">
        <f>SUMIF(AA141:AA165,"=145026783",V141:V165)</f>
        <v>10.45000205</v>
      </c>
      <c r="AJ167" s="2">
        <f>ROUND(SUMIF(AA141:AA165,"=145026783",W141:W165),2)</f>
        <v>0</v>
      </c>
      <c r="AK167" s="2">
        <f>ROUND(SUMIF(AA141:AA165,"=145026783",X141:X165),2)</f>
        <v>320957.93</v>
      </c>
      <c r="AL167" s="2">
        <f>ROUND(SUMIF(AA141:AA165,"=145026783",Y141:Y165),2)</f>
        <v>161585.43</v>
      </c>
      <c r="AM167" s="2"/>
      <c r="AN167" s="2"/>
      <c r="AO167" s="2">
        <f t="shared" ref="AO167:BD167" si="209">ROUND(BX167,2)</f>
        <v>0</v>
      </c>
      <c r="AP167" s="2">
        <f t="shared" si="209"/>
        <v>0</v>
      </c>
      <c r="AQ167" s="2">
        <f t="shared" si="209"/>
        <v>0</v>
      </c>
      <c r="AR167" s="2">
        <f t="shared" si="209"/>
        <v>1492665.21</v>
      </c>
      <c r="AS167" s="2">
        <f t="shared" si="209"/>
        <v>1492665.21</v>
      </c>
      <c r="AT167" s="2">
        <f t="shared" si="209"/>
        <v>0</v>
      </c>
      <c r="AU167" s="2">
        <f t="shared" si="209"/>
        <v>0</v>
      </c>
      <c r="AV167" s="2">
        <f t="shared" si="209"/>
        <v>709051.45</v>
      </c>
      <c r="AW167" s="2">
        <f t="shared" si="209"/>
        <v>709051.45</v>
      </c>
      <c r="AX167" s="2">
        <f t="shared" si="209"/>
        <v>0</v>
      </c>
      <c r="AY167" s="2">
        <f t="shared" si="209"/>
        <v>709051.45</v>
      </c>
      <c r="AZ167" s="2">
        <f t="shared" si="209"/>
        <v>0</v>
      </c>
      <c r="BA167" s="2">
        <f t="shared" si="209"/>
        <v>0</v>
      </c>
      <c r="BB167" s="2">
        <f t="shared" si="209"/>
        <v>0</v>
      </c>
      <c r="BC167" s="2">
        <f t="shared" si="209"/>
        <v>0</v>
      </c>
      <c r="BD167" s="2">
        <f t="shared" si="209"/>
        <v>0</v>
      </c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>
        <f>ROUND(SUMIF(AA141:AA165,"=145026783",FQ141:FQ165),2)</f>
        <v>0</v>
      </c>
      <c r="BY167" s="2">
        <f>ROUND(SUMIF(AA141:AA165,"=145026783",FR141:FR165),2)</f>
        <v>0</v>
      </c>
      <c r="BZ167" s="2">
        <f>ROUND(SUMIF(AA141:AA165,"=145026783",GL141:GL165),2)</f>
        <v>0</v>
      </c>
      <c r="CA167" s="2">
        <f>ROUND(SUMIF(AA141:AA165,"=145026783",GM141:GM165),2)</f>
        <v>1492665.21</v>
      </c>
      <c r="CB167" s="2">
        <f>ROUND(SUMIF(AA141:AA165,"=145026783",GN141:GN165),2)</f>
        <v>1492665.21</v>
      </c>
      <c r="CC167" s="2">
        <f>ROUND(SUMIF(AA141:AA165,"=145026783",GO141:GO165),2)</f>
        <v>0</v>
      </c>
      <c r="CD167" s="2">
        <f>ROUND(SUMIF(AA141:AA165,"=145026783",GP141:GP165),2)</f>
        <v>0</v>
      </c>
      <c r="CE167" s="2">
        <f>AC167-BX167</f>
        <v>709051.45</v>
      </c>
      <c r="CF167" s="2">
        <f>AC167-BY167</f>
        <v>709051.45</v>
      </c>
      <c r="CG167" s="2">
        <f>BX167-BZ167</f>
        <v>0</v>
      </c>
      <c r="CH167" s="2">
        <f>AC167-BX167-BY167+BZ167</f>
        <v>709051.45</v>
      </c>
      <c r="CI167" s="2">
        <f>BY167-BZ167</f>
        <v>0</v>
      </c>
      <c r="CJ167" s="2">
        <f>ROUND(SUMIF(AA141:AA165,"=145026783",GX141:GX165),2)</f>
        <v>0</v>
      </c>
      <c r="CK167" s="2">
        <f>ROUND(SUMIF(AA141:AA165,"=145026783",GY141:GY165),2)</f>
        <v>0</v>
      </c>
      <c r="CL167" s="2">
        <f>ROUND(SUMIF(AA141:AA165,"=145026783",GZ141:GZ165),2)</f>
        <v>0</v>
      </c>
      <c r="CM167" s="2">
        <f>ROUND(SUMIF(AA141:AA165,"=145026783",HD141:HD165),2)</f>
        <v>0</v>
      </c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>
        <v>0</v>
      </c>
    </row>
    <row r="169" spans="1:245" x14ac:dyDescent="0.2">
      <c r="A169" s="4">
        <v>50</v>
      </c>
      <c r="B169" s="4">
        <v>0</v>
      </c>
      <c r="C169" s="4">
        <v>0</v>
      </c>
      <c r="D169" s="4">
        <v>1</v>
      </c>
      <c r="E169" s="4">
        <v>201</v>
      </c>
      <c r="F169" s="4">
        <f>ROUND(Source!O167,O169)</f>
        <v>1010121.85</v>
      </c>
      <c r="G169" s="4" t="s">
        <v>319</v>
      </c>
      <c r="H169" s="4" t="s">
        <v>320</v>
      </c>
      <c r="I169" s="4"/>
      <c r="J169" s="4"/>
      <c r="K169" s="4">
        <v>201</v>
      </c>
      <c r="L169" s="4">
        <v>1</v>
      </c>
      <c r="M169" s="4">
        <v>3</v>
      </c>
      <c r="N169" s="4" t="s">
        <v>3</v>
      </c>
      <c r="O169" s="4">
        <v>2</v>
      </c>
      <c r="P169" s="4"/>
      <c r="Q169" s="4"/>
      <c r="R169" s="4"/>
      <c r="S169" s="4"/>
      <c r="T169" s="4"/>
      <c r="U169" s="4"/>
      <c r="V169" s="4"/>
      <c r="W169" s="4">
        <v>1010121.85</v>
      </c>
      <c r="X169" s="4">
        <v>1</v>
      </c>
      <c r="Y169" s="4">
        <v>1010121.85</v>
      </c>
      <c r="Z169" s="4"/>
      <c r="AA169" s="4"/>
      <c r="AB169" s="4"/>
    </row>
    <row r="170" spans="1:245" x14ac:dyDescent="0.2">
      <c r="A170" s="4">
        <v>50</v>
      </c>
      <c r="B170" s="4">
        <v>0</v>
      </c>
      <c r="C170" s="4">
        <v>0</v>
      </c>
      <c r="D170" s="4">
        <v>1</v>
      </c>
      <c r="E170" s="4">
        <v>202</v>
      </c>
      <c r="F170" s="4">
        <f>ROUND(Source!P167,O170)</f>
        <v>709051.45</v>
      </c>
      <c r="G170" s="4" t="s">
        <v>321</v>
      </c>
      <c r="H170" s="4" t="s">
        <v>322</v>
      </c>
      <c r="I170" s="4"/>
      <c r="J170" s="4"/>
      <c r="K170" s="4">
        <v>202</v>
      </c>
      <c r="L170" s="4">
        <v>2</v>
      </c>
      <c r="M170" s="4">
        <v>3</v>
      </c>
      <c r="N170" s="4" t="s">
        <v>3</v>
      </c>
      <c r="O170" s="4">
        <v>2</v>
      </c>
      <c r="P170" s="4"/>
      <c r="Q170" s="4"/>
      <c r="R170" s="4"/>
      <c r="S170" s="4"/>
      <c r="T170" s="4"/>
      <c r="U170" s="4"/>
      <c r="V170" s="4"/>
      <c r="W170" s="4">
        <v>709051.45</v>
      </c>
      <c r="X170" s="4">
        <v>1</v>
      </c>
      <c r="Y170" s="4">
        <v>709051.45</v>
      </c>
      <c r="Z170" s="4"/>
      <c r="AA170" s="4"/>
      <c r="AB170" s="4"/>
    </row>
    <row r="171" spans="1:245" x14ac:dyDescent="0.2">
      <c r="A171" s="4">
        <v>50</v>
      </c>
      <c r="B171" s="4">
        <v>0</v>
      </c>
      <c r="C171" s="4">
        <v>0</v>
      </c>
      <c r="D171" s="4">
        <v>1</v>
      </c>
      <c r="E171" s="4">
        <v>222</v>
      </c>
      <c r="F171" s="4">
        <f>ROUND(Source!AO167,O171)</f>
        <v>0</v>
      </c>
      <c r="G171" s="4" t="s">
        <v>323</v>
      </c>
      <c r="H171" s="4" t="s">
        <v>324</v>
      </c>
      <c r="I171" s="4"/>
      <c r="J171" s="4"/>
      <c r="K171" s="4">
        <v>222</v>
      </c>
      <c r="L171" s="4">
        <v>3</v>
      </c>
      <c r="M171" s="4">
        <v>3</v>
      </c>
      <c r="N171" s="4" t="s">
        <v>3</v>
      </c>
      <c r="O171" s="4">
        <v>2</v>
      </c>
      <c r="P171" s="4"/>
      <c r="Q171" s="4"/>
      <c r="R171" s="4"/>
      <c r="S171" s="4"/>
      <c r="T171" s="4"/>
      <c r="U171" s="4"/>
      <c r="V171" s="4"/>
      <c r="W171" s="4">
        <v>0</v>
      </c>
      <c r="X171" s="4">
        <v>1</v>
      </c>
      <c r="Y171" s="4">
        <v>0</v>
      </c>
      <c r="Z171" s="4"/>
      <c r="AA171" s="4"/>
      <c r="AB171" s="4"/>
    </row>
    <row r="172" spans="1:245" x14ac:dyDescent="0.2">
      <c r="A172" s="4">
        <v>50</v>
      </c>
      <c r="B172" s="4">
        <v>0</v>
      </c>
      <c r="C172" s="4">
        <v>0</v>
      </c>
      <c r="D172" s="4">
        <v>1</v>
      </c>
      <c r="E172" s="4">
        <v>225</v>
      </c>
      <c r="F172" s="4">
        <f>ROUND(Source!AV167,O172)</f>
        <v>709051.45</v>
      </c>
      <c r="G172" s="4" t="s">
        <v>325</v>
      </c>
      <c r="H172" s="4" t="s">
        <v>326</v>
      </c>
      <c r="I172" s="4"/>
      <c r="J172" s="4"/>
      <c r="K172" s="4">
        <v>225</v>
      </c>
      <c r="L172" s="4">
        <v>4</v>
      </c>
      <c r="M172" s="4">
        <v>3</v>
      </c>
      <c r="N172" s="4" t="s">
        <v>3</v>
      </c>
      <c r="O172" s="4">
        <v>2</v>
      </c>
      <c r="P172" s="4"/>
      <c r="Q172" s="4"/>
      <c r="R172" s="4"/>
      <c r="S172" s="4"/>
      <c r="T172" s="4"/>
      <c r="U172" s="4"/>
      <c r="V172" s="4"/>
      <c r="W172" s="4">
        <v>709051.45</v>
      </c>
      <c r="X172" s="4">
        <v>1</v>
      </c>
      <c r="Y172" s="4">
        <v>709051.45</v>
      </c>
      <c r="Z172" s="4"/>
      <c r="AA172" s="4"/>
      <c r="AB172" s="4"/>
    </row>
    <row r="173" spans="1:245" x14ac:dyDescent="0.2">
      <c r="A173" s="4">
        <v>50</v>
      </c>
      <c r="B173" s="4">
        <v>0</v>
      </c>
      <c r="C173" s="4">
        <v>0</v>
      </c>
      <c r="D173" s="4">
        <v>1</v>
      </c>
      <c r="E173" s="4">
        <v>226</v>
      </c>
      <c r="F173" s="4">
        <f>ROUND(Source!AW167,O173)</f>
        <v>709051.45</v>
      </c>
      <c r="G173" s="4" t="s">
        <v>327</v>
      </c>
      <c r="H173" s="4" t="s">
        <v>328</v>
      </c>
      <c r="I173" s="4"/>
      <c r="J173" s="4"/>
      <c r="K173" s="4">
        <v>226</v>
      </c>
      <c r="L173" s="4">
        <v>5</v>
      </c>
      <c r="M173" s="4">
        <v>3</v>
      </c>
      <c r="N173" s="4" t="s">
        <v>3</v>
      </c>
      <c r="O173" s="4">
        <v>2</v>
      </c>
      <c r="P173" s="4"/>
      <c r="Q173" s="4"/>
      <c r="R173" s="4"/>
      <c r="S173" s="4"/>
      <c r="T173" s="4"/>
      <c r="U173" s="4"/>
      <c r="V173" s="4"/>
      <c r="W173" s="4">
        <v>709051.45</v>
      </c>
      <c r="X173" s="4">
        <v>1</v>
      </c>
      <c r="Y173" s="4">
        <v>709051.45</v>
      </c>
      <c r="Z173" s="4"/>
      <c r="AA173" s="4"/>
      <c r="AB173" s="4"/>
    </row>
    <row r="174" spans="1:245" x14ac:dyDescent="0.2">
      <c r="A174" s="4">
        <v>50</v>
      </c>
      <c r="B174" s="4">
        <v>0</v>
      </c>
      <c r="C174" s="4">
        <v>0</v>
      </c>
      <c r="D174" s="4">
        <v>1</v>
      </c>
      <c r="E174" s="4">
        <v>227</v>
      </c>
      <c r="F174" s="4">
        <f>ROUND(Source!AX167,O174)</f>
        <v>0</v>
      </c>
      <c r="G174" s="4" t="s">
        <v>329</v>
      </c>
      <c r="H174" s="4" t="s">
        <v>330</v>
      </c>
      <c r="I174" s="4"/>
      <c r="J174" s="4"/>
      <c r="K174" s="4">
        <v>227</v>
      </c>
      <c r="L174" s="4">
        <v>6</v>
      </c>
      <c r="M174" s="4">
        <v>3</v>
      </c>
      <c r="N174" s="4" t="s">
        <v>3</v>
      </c>
      <c r="O174" s="4">
        <v>2</v>
      </c>
      <c r="P174" s="4"/>
      <c r="Q174" s="4"/>
      <c r="R174" s="4"/>
      <c r="S174" s="4"/>
      <c r="T174" s="4"/>
      <c r="U174" s="4"/>
      <c r="V174" s="4"/>
      <c r="W174" s="4">
        <v>0</v>
      </c>
      <c r="X174" s="4">
        <v>1</v>
      </c>
      <c r="Y174" s="4">
        <v>0</v>
      </c>
      <c r="Z174" s="4"/>
      <c r="AA174" s="4"/>
      <c r="AB174" s="4"/>
    </row>
    <row r="175" spans="1:245" x14ac:dyDescent="0.2">
      <c r="A175" s="4">
        <v>50</v>
      </c>
      <c r="B175" s="4">
        <v>0</v>
      </c>
      <c r="C175" s="4">
        <v>0</v>
      </c>
      <c r="D175" s="4">
        <v>1</v>
      </c>
      <c r="E175" s="4">
        <v>228</v>
      </c>
      <c r="F175" s="4">
        <f>ROUND(Source!AY167,O175)</f>
        <v>709051.45</v>
      </c>
      <c r="G175" s="4" t="s">
        <v>331</v>
      </c>
      <c r="H175" s="4" t="s">
        <v>332</v>
      </c>
      <c r="I175" s="4"/>
      <c r="J175" s="4"/>
      <c r="K175" s="4">
        <v>228</v>
      </c>
      <c r="L175" s="4">
        <v>7</v>
      </c>
      <c r="M175" s="4">
        <v>3</v>
      </c>
      <c r="N175" s="4" t="s">
        <v>3</v>
      </c>
      <c r="O175" s="4">
        <v>2</v>
      </c>
      <c r="P175" s="4"/>
      <c r="Q175" s="4"/>
      <c r="R175" s="4"/>
      <c r="S175" s="4"/>
      <c r="T175" s="4"/>
      <c r="U175" s="4"/>
      <c r="V175" s="4"/>
      <c r="W175" s="4">
        <v>709051.45</v>
      </c>
      <c r="X175" s="4">
        <v>1</v>
      </c>
      <c r="Y175" s="4">
        <v>709051.45</v>
      </c>
      <c r="Z175" s="4"/>
      <c r="AA175" s="4"/>
      <c r="AB175" s="4"/>
    </row>
    <row r="176" spans="1:245" x14ac:dyDescent="0.2">
      <c r="A176" s="4">
        <v>50</v>
      </c>
      <c r="B176" s="4">
        <v>0</v>
      </c>
      <c r="C176" s="4">
        <v>0</v>
      </c>
      <c r="D176" s="4">
        <v>1</v>
      </c>
      <c r="E176" s="4">
        <v>216</v>
      </c>
      <c r="F176" s="4">
        <f>ROUND(Source!AP167,O176)</f>
        <v>0</v>
      </c>
      <c r="G176" s="4" t="s">
        <v>333</v>
      </c>
      <c r="H176" s="4" t="s">
        <v>334</v>
      </c>
      <c r="I176" s="4"/>
      <c r="J176" s="4"/>
      <c r="K176" s="4">
        <v>216</v>
      </c>
      <c r="L176" s="4">
        <v>8</v>
      </c>
      <c r="M176" s="4">
        <v>3</v>
      </c>
      <c r="N176" s="4" t="s">
        <v>3</v>
      </c>
      <c r="O176" s="4">
        <v>2</v>
      </c>
      <c r="P176" s="4"/>
      <c r="Q176" s="4"/>
      <c r="R176" s="4"/>
      <c r="S176" s="4"/>
      <c r="T176" s="4"/>
      <c r="U176" s="4"/>
      <c r="V176" s="4"/>
      <c r="W176" s="4">
        <v>0</v>
      </c>
      <c r="X176" s="4">
        <v>1</v>
      </c>
      <c r="Y176" s="4">
        <v>0</v>
      </c>
      <c r="Z176" s="4"/>
      <c r="AA176" s="4"/>
      <c r="AB176" s="4"/>
    </row>
    <row r="177" spans="1:28" x14ac:dyDescent="0.2">
      <c r="A177" s="4">
        <v>50</v>
      </c>
      <c r="B177" s="4">
        <v>0</v>
      </c>
      <c r="C177" s="4">
        <v>0</v>
      </c>
      <c r="D177" s="4">
        <v>1</v>
      </c>
      <c r="E177" s="4">
        <v>223</v>
      </c>
      <c r="F177" s="4">
        <f>ROUND(Source!AQ167,O177)</f>
        <v>0</v>
      </c>
      <c r="G177" s="4" t="s">
        <v>335</v>
      </c>
      <c r="H177" s="4" t="s">
        <v>336</v>
      </c>
      <c r="I177" s="4"/>
      <c r="J177" s="4"/>
      <c r="K177" s="4">
        <v>223</v>
      </c>
      <c r="L177" s="4">
        <v>9</v>
      </c>
      <c r="M177" s="4">
        <v>3</v>
      </c>
      <c r="N177" s="4" t="s">
        <v>3</v>
      </c>
      <c r="O177" s="4">
        <v>2</v>
      </c>
      <c r="P177" s="4"/>
      <c r="Q177" s="4"/>
      <c r="R177" s="4"/>
      <c r="S177" s="4"/>
      <c r="T177" s="4"/>
      <c r="U177" s="4"/>
      <c r="V177" s="4"/>
      <c r="W177" s="4">
        <v>0</v>
      </c>
      <c r="X177" s="4">
        <v>1</v>
      </c>
      <c r="Y177" s="4">
        <v>0</v>
      </c>
      <c r="Z177" s="4"/>
      <c r="AA177" s="4"/>
      <c r="AB177" s="4"/>
    </row>
    <row r="178" spans="1:28" x14ac:dyDescent="0.2">
      <c r="A178" s="4">
        <v>50</v>
      </c>
      <c r="B178" s="4">
        <v>0</v>
      </c>
      <c r="C178" s="4">
        <v>0</v>
      </c>
      <c r="D178" s="4">
        <v>1</v>
      </c>
      <c r="E178" s="4">
        <v>229</v>
      </c>
      <c r="F178" s="4">
        <f>ROUND(Source!AZ167,O178)</f>
        <v>0</v>
      </c>
      <c r="G178" s="4" t="s">
        <v>337</v>
      </c>
      <c r="H178" s="4" t="s">
        <v>338</v>
      </c>
      <c r="I178" s="4"/>
      <c r="J178" s="4"/>
      <c r="K178" s="4">
        <v>229</v>
      </c>
      <c r="L178" s="4">
        <v>10</v>
      </c>
      <c r="M178" s="4">
        <v>3</v>
      </c>
      <c r="N178" s="4" t="s">
        <v>3</v>
      </c>
      <c r="O178" s="4">
        <v>2</v>
      </c>
      <c r="P178" s="4"/>
      <c r="Q178" s="4"/>
      <c r="R178" s="4"/>
      <c r="S178" s="4"/>
      <c r="T178" s="4"/>
      <c r="U178" s="4"/>
      <c r="V178" s="4"/>
      <c r="W178" s="4">
        <v>0</v>
      </c>
      <c r="X178" s="4">
        <v>1</v>
      </c>
      <c r="Y178" s="4">
        <v>0</v>
      </c>
      <c r="Z178" s="4"/>
      <c r="AA178" s="4"/>
      <c r="AB178" s="4"/>
    </row>
    <row r="179" spans="1:28" x14ac:dyDescent="0.2">
      <c r="A179" s="4">
        <v>50</v>
      </c>
      <c r="B179" s="4">
        <v>0</v>
      </c>
      <c r="C179" s="4">
        <v>0</v>
      </c>
      <c r="D179" s="4">
        <v>1</v>
      </c>
      <c r="E179" s="4">
        <v>203</v>
      </c>
      <c r="F179" s="4">
        <f>ROUND(Source!Q167,O179)</f>
        <v>12869.72</v>
      </c>
      <c r="G179" s="4" t="s">
        <v>339</v>
      </c>
      <c r="H179" s="4" t="s">
        <v>340</v>
      </c>
      <c r="I179" s="4"/>
      <c r="J179" s="4"/>
      <c r="K179" s="4">
        <v>203</v>
      </c>
      <c r="L179" s="4">
        <v>11</v>
      </c>
      <c r="M179" s="4">
        <v>3</v>
      </c>
      <c r="N179" s="4" t="s">
        <v>3</v>
      </c>
      <c r="O179" s="4">
        <v>2</v>
      </c>
      <c r="P179" s="4"/>
      <c r="Q179" s="4"/>
      <c r="R179" s="4"/>
      <c r="S179" s="4"/>
      <c r="T179" s="4"/>
      <c r="U179" s="4"/>
      <c r="V179" s="4"/>
      <c r="W179" s="4">
        <v>12869.72</v>
      </c>
      <c r="X179" s="4">
        <v>1</v>
      </c>
      <c r="Y179" s="4">
        <v>12869.72</v>
      </c>
      <c r="Z179" s="4"/>
      <c r="AA179" s="4"/>
      <c r="AB179" s="4"/>
    </row>
    <row r="180" spans="1:28" x14ac:dyDescent="0.2">
      <c r="A180" s="4">
        <v>50</v>
      </c>
      <c r="B180" s="4">
        <v>0</v>
      </c>
      <c r="C180" s="4">
        <v>0</v>
      </c>
      <c r="D180" s="4">
        <v>1</v>
      </c>
      <c r="E180" s="4">
        <v>231</v>
      </c>
      <c r="F180" s="4">
        <f>ROUND(Source!BB167,O180)</f>
        <v>0</v>
      </c>
      <c r="G180" s="4" t="s">
        <v>341</v>
      </c>
      <c r="H180" s="4" t="s">
        <v>342</v>
      </c>
      <c r="I180" s="4"/>
      <c r="J180" s="4"/>
      <c r="K180" s="4">
        <v>231</v>
      </c>
      <c r="L180" s="4">
        <v>12</v>
      </c>
      <c r="M180" s="4">
        <v>3</v>
      </c>
      <c r="N180" s="4" t="s">
        <v>3</v>
      </c>
      <c r="O180" s="4">
        <v>2</v>
      </c>
      <c r="P180" s="4"/>
      <c r="Q180" s="4"/>
      <c r="R180" s="4"/>
      <c r="S180" s="4"/>
      <c r="T180" s="4"/>
      <c r="U180" s="4"/>
      <c r="V180" s="4"/>
      <c r="W180" s="4">
        <v>0</v>
      </c>
      <c r="X180" s="4">
        <v>1</v>
      </c>
      <c r="Y180" s="4">
        <v>0</v>
      </c>
      <c r="Z180" s="4"/>
      <c r="AA180" s="4"/>
      <c r="AB180" s="4"/>
    </row>
    <row r="181" spans="1:28" x14ac:dyDescent="0.2">
      <c r="A181" s="4">
        <v>50</v>
      </c>
      <c r="B181" s="4">
        <v>0</v>
      </c>
      <c r="C181" s="4">
        <v>0</v>
      </c>
      <c r="D181" s="4">
        <v>1</v>
      </c>
      <c r="E181" s="4">
        <v>204</v>
      </c>
      <c r="F181" s="4">
        <f>ROUND(Source!R167,O181)</f>
        <v>4124.4399999999996</v>
      </c>
      <c r="G181" s="4" t="s">
        <v>343</v>
      </c>
      <c r="H181" s="4" t="s">
        <v>344</v>
      </c>
      <c r="I181" s="4"/>
      <c r="J181" s="4"/>
      <c r="K181" s="4">
        <v>204</v>
      </c>
      <c r="L181" s="4">
        <v>13</v>
      </c>
      <c r="M181" s="4">
        <v>3</v>
      </c>
      <c r="N181" s="4" t="s">
        <v>3</v>
      </c>
      <c r="O181" s="4">
        <v>2</v>
      </c>
      <c r="P181" s="4"/>
      <c r="Q181" s="4"/>
      <c r="R181" s="4"/>
      <c r="S181" s="4"/>
      <c r="T181" s="4"/>
      <c r="U181" s="4"/>
      <c r="V181" s="4"/>
      <c r="W181" s="4">
        <v>4124.4399999999996</v>
      </c>
      <c r="X181" s="4">
        <v>1</v>
      </c>
      <c r="Y181" s="4">
        <v>4124.4399999999996</v>
      </c>
      <c r="Z181" s="4"/>
      <c r="AA181" s="4"/>
      <c r="AB181" s="4"/>
    </row>
    <row r="182" spans="1:28" x14ac:dyDescent="0.2">
      <c r="A182" s="4">
        <v>50</v>
      </c>
      <c r="B182" s="4">
        <v>0</v>
      </c>
      <c r="C182" s="4">
        <v>0</v>
      </c>
      <c r="D182" s="4">
        <v>1</v>
      </c>
      <c r="E182" s="4">
        <v>205</v>
      </c>
      <c r="F182" s="4">
        <f>ROUND(Source!S167,O182)</f>
        <v>288200.68</v>
      </c>
      <c r="G182" s="4" t="s">
        <v>345</v>
      </c>
      <c r="H182" s="4" t="s">
        <v>346</v>
      </c>
      <c r="I182" s="4"/>
      <c r="J182" s="4"/>
      <c r="K182" s="4">
        <v>205</v>
      </c>
      <c r="L182" s="4">
        <v>14</v>
      </c>
      <c r="M182" s="4">
        <v>3</v>
      </c>
      <c r="N182" s="4" t="s">
        <v>3</v>
      </c>
      <c r="O182" s="4">
        <v>2</v>
      </c>
      <c r="P182" s="4"/>
      <c r="Q182" s="4"/>
      <c r="R182" s="4"/>
      <c r="S182" s="4"/>
      <c r="T182" s="4"/>
      <c r="U182" s="4"/>
      <c r="V182" s="4"/>
      <c r="W182" s="4">
        <v>288200.68</v>
      </c>
      <c r="X182" s="4">
        <v>1</v>
      </c>
      <c r="Y182" s="4">
        <v>288200.68</v>
      </c>
      <c r="Z182" s="4"/>
      <c r="AA182" s="4"/>
      <c r="AB182" s="4"/>
    </row>
    <row r="183" spans="1:28" x14ac:dyDescent="0.2">
      <c r="A183" s="4">
        <v>50</v>
      </c>
      <c r="B183" s="4">
        <v>0</v>
      </c>
      <c r="C183" s="4">
        <v>0</v>
      </c>
      <c r="D183" s="4">
        <v>1</v>
      </c>
      <c r="E183" s="4">
        <v>232</v>
      </c>
      <c r="F183" s="4">
        <f>ROUND(Source!BC167,O183)</f>
        <v>0</v>
      </c>
      <c r="G183" s="4" t="s">
        <v>347</v>
      </c>
      <c r="H183" s="4" t="s">
        <v>348</v>
      </c>
      <c r="I183" s="4"/>
      <c r="J183" s="4"/>
      <c r="K183" s="4">
        <v>232</v>
      </c>
      <c r="L183" s="4">
        <v>15</v>
      </c>
      <c r="M183" s="4">
        <v>3</v>
      </c>
      <c r="N183" s="4" t="s">
        <v>3</v>
      </c>
      <c r="O183" s="4">
        <v>2</v>
      </c>
      <c r="P183" s="4"/>
      <c r="Q183" s="4"/>
      <c r="R183" s="4"/>
      <c r="S183" s="4"/>
      <c r="T183" s="4"/>
      <c r="U183" s="4"/>
      <c r="V183" s="4"/>
      <c r="W183" s="4">
        <v>0</v>
      </c>
      <c r="X183" s="4">
        <v>1</v>
      </c>
      <c r="Y183" s="4">
        <v>0</v>
      </c>
      <c r="Z183" s="4"/>
      <c r="AA183" s="4"/>
      <c r="AB183" s="4"/>
    </row>
    <row r="184" spans="1:28" x14ac:dyDescent="0.2">
      <c r="A184" s="4">
        <v>50</v>
      </c>
      <c r="B184" s="4">
        <v>0</v>
      </c>
      <c r="C184" s="4">
        <v>0</v>
      </c>
      <c r="D184" s="4">
        <v>1</v>
      </c>
      <c r="E184" s="4">
        <v>214</v>
      </c>
      <c r="F184" s="4">
        <f>ROUND(Source!AS167,O184)</f>
        <v>1492665.21</v>
      </c>
      <c r="G184" s="4" t="s">
        <v>349</v>
      </c>
      <c r="H184" s="4" t="s">
        <v>350</v>
      </c>
      <c r="I184" s="4"/>
      <c r="J184" s="4"/>
      <c r="K184" s="4">
        <v>214</v>
      </c>
      <c r="L184" s="4">
        <v>16</v>
      </c>
      <c r="M184" s="4">
        <v>3</v>
      </c>
      <c r="N184" s="4" t="s">
        <v>3</v>
      </c>
      <c r="O184" s="4">
        <v>2</v>
      </c>
      <c r="P184" s="4"/>
      <c r="Q184" s="4"/>
      <c r="R184" s="4"/>
      <c r="S184" s="4"/>
      <c r="T184" s="4"/>
      <c r="U184" s="4"/>
      <c r="V184" s="4"/>
      <c r="W184" s="4">
        <v>1492665.21</v>
      </c>
      <c r="X184" s="4">
        <v>1</v>
      </c>
      <c r="Y184" s="4">
        <v>1492665.21</v>
      </c>
      <c r="Z184" s="4"/>
      <c r="AA184" s="4"/>
      <c r="AB184" s="4"/>
    </row>
    <row r="185" spans="1:28" x14ac:dyDescent="0.2">
      <c r="A185" s="4">
        <v>50</v>
      </c>
      <c r="B185" s="4">
        <v>0</v>
      </c>
      <c r="C185" s="4">
        <v>0</v>
      </c>
      <c r="D185" s="4">
        <v>1</v>
      </c>
      <c r="E185" s="4">
        <v>215</v>
      </c>
      <c r="F185" s="4">
        <f>ROUND(Source!AT167,O185)</f>
        <v>0</v>
      </c>
      <c r="G185" s="4" t="s">
        <v>351</v>
      </c>
      <c r="H185" s="4" t="s">
        <v>352</v>
      </c>
      <c r="I185" s="4"/>
      <c r="J185" s="4"/>
      <c r="K185" s="4">
        <v>215</v>
      </c>
      <c r="L185" s="4">
        <v>17</v>
      </c>
      <c r="M185" s="4">
        <v>3</v>
      </c>
      <c r="N185" s="4" t="s">
        <v>3</v>
      </c>
      <c r="O185" s="4">
        <v>2</v>
      </c>
      <c r="P185" s="4"/>
      <c r="Q185" s="4"/>
      <c r="R185" s="4"/>
      <c r="S185" s="4"/>
      <c r="T185" s="4"/>
      <c r="U185" s="4"/>
      <c r="V185" s="4"/>
      <c r="W185" s="4">
        <v>0</v>
      </c>
      <c r="X185" s="4">
        <v>1</v>
      </c>
      <c r="Y185" s="4">
        <v>0</v>
      </c>
      <c r="Z185" s="4"/>
      <c r="AA185" s="4"/>
      <c r="AB185" s="4"/>
    </row>
    <row r="186" spans="1:28" x14ac:dyDescent="0.2">
      <c r="A186" s="4">
        <v>50</v>
      </c>
      <c r="B186" s="4">
        <v>0</v>
      </c>
      <c r="C186" s="4">
        <v>0</v>
      </c>
      <c r="D186" s="4">
        <v>1</v>
      </c>
      <c r="E186" s="4">
        <v>217</v>
      </c>
      <c r="F186" s="4">
        <f>ROUND(Source!AU167,O186)</f>
        <v>0</v>
      </c>
      <c r="G186" s="4" t="s">
        <v>353</v>
      </c>
      <c r="H186" s="4" t="s">
        <v>354</v>
      </c>
      <c r="I186" s="4"/>
      <c r="J186" s="4"/>
      <c r="K186" s="4">
        <v>217</v>
      </c>
      <c r="L186" s="4">
        <v>18</v>
      </c>
      <c r="M186" s="4">
        <v>3</v>
      </c>
      <c r="N186" s="4" t="s">
        <v>3</v>
      </c>
      <c r="O186" s="4">
        <v>2</v>
      </c>
      <c r="P186" s="4"/>
      <c r="Q186" s="4"/>
      <c r="R186" s="4"/>
      <c r="S186" s="4"/>
      <c r="T186" s="4"/>
      <c r="U186" s="4"/>
      <c r="V186" s="4"/>
      <c r="W186" s="4">
        <v>0</v>
      </c>
      <c r="X186" s="4">
        <v>1</v>
      </c>
      <c r="Y186" s="4">
        <v>0</v>
      </c>
      <c r="Z186" s="4"/>
      <c r="AA186" s="4"/>
      <c r="AB186" s="4"/>
    </row>
    <row r="187" spans="1:28" x14ac:dyDescent="0.2">
      <c r="A187" s="4">
        <v>50</v>
      </c>
      <c r="B187" s="4">
        <v>0</v>
      </c>
      <c r="C187" s="4">
        <v>0</v>
      </c>
      <c r="D187" s="4">
        <v>1</v>
      </c>
      <c r="E187" s="4">
        <v>230</v>
      </c>
      <c r="F187" s="4">
        <f>ROUND(Source!BA167,O187)</f>
        <v>0</v>
      </c>
      <c r="G187" s="4" t="s">
        <v>355</v>
      </c>
      <c r="H187" s="4" t="s">
        <v>356</v>
      </c>
      <c r="I187" s="4"/>
      <c r="J187" s="4"/>
      <c r="K187" s="4">
        <v>230</v>
      </c>
      <c r="L187" s="4">
        <v>19</v>
      </c>
      <c r="M187" s="4">
        <v>3</v>
      </c>
      <c r="N187" s="4" t="s">
        <v>3</v>
      </c>
      <c r="O187" s="4">
        <v>2</v>
      </c>
      <c r="P187" s="4"/>
      <c r="Q187" s="4"/>
      <c r="R187" s="4"/>
      <c r="S187" s="4"/>
      <c r="T187" s="4"/>
      <c r="U187" s="4"/>
      <c r="V187" s="4"/>
      <c r="W187" s="4">
        <v>0</v>
      </c>
      <c r="X187" s="4">
        <v>1</v>
      </c>
      <c r="Y187" s="4">
        <v>0</v>
      </c>
      <c r="Z187" s="4"/>
      <c r="AA187" s="4"/>
      <c r="AB187" s="4"/>
    </row>
    <row r="188" spans="1:28" x14ac:dyDescent="0.2">
      <c r="A188" s="4">
        <v>50</v>
      </c>
      <c r="B188" s="4">
        <v>0</v>
      </c>
      <c r="C188" s="4">
        <v>0</v>
      </c>
      <c r="D188" s="4">
        <v>1</v>
      </c>
      <c r="E188" s="4">
        <v>206</v>
      </c>
      <c r="F188" s="4">
        <f>ROUND(Source!T167,O188)</f>
        <v>0</v>
      </c>
      <c r="G188" s="4" t="s">
        <v>357</v>
      </c>
      <c r="H188" s="4" t="s">
        <v>358</v>
      </c>
      <c r="I188" s="4"/>
      <c r="J188" s="4"/>
      <c r="K188" s="4">
        <v>206</v>
      </c>
      <c r="L188" s="4">
        <v>20</v>
      </c>
      <c r="M188" s="4">
        <v>3</v>
      </c>
      <c r="N188" s="4" t="s">
        <v>3</v>
      </c>
      <c r="O188" s="4">
        <v>2</v>
      </c>
      <c r="P188" s="4"/>
      <c r="Q188" s="4"/>
      <c r="R188" s="4"/>
      <c r="S188" s="4"/>
      <c r="T188" s="4"/>
      <c r="U188" s="4"/>
      <c r="V188" s="4"/>
      <c r="W188" s="4">
        <v>0</v>
      </c>
      <c r="X188" s="4">
        <v>1</v>
      </c>
      <c r="Y188" s="4">
        <v>0</v>
      </c>
      <c r="Z188" s="4"/>
      <c r="AA188" s="4"/>
      <c r="AB188" s="4"/>
    </row>
    <row r="189" spans="1:28" x14ac:dyDescent="0.2">
      <c r="A189" s="4">
        <v>50</v>
      </c>
      <c r="B189" s="4">
        <v>0</v>
      </c>
      <c r="C189" s="4">
        <v>0</v>
      </c>
      <c r="D189" s="4">
        <v>1</v>
      </c>
      <c r="E189" s="4">
        <v>207</v>
      </c>
      <c r="F189" s="4">
        <f>Source!U167</f>
        <v>983.86985002000006</v>
      </c>
      <c r="G189" s="4" t="s">
        <v>359</v>
      </c>
      <c r="H189" s="4" t="s">
        <v>360</v>
      </c>
      <c r="I189" s="4"/>
      <c r="J189" s="4"/>
      <c r="K189" s="4">
        <v>207</v>
      </c>
      <c r="L189" s="4">
        <v>21</v>
      </c>
      <c r="M189" s="4">
        <v>3</v>
      </c>
      <c r="N189" s="4" t="s">
        <v>3</v>
      </c>
      <c r="O189" s="4">
        <v>-1</v>
      </c>
      <c r="P189" s="4"/>
      <c r="Q189" s="4"/>
      <c r="R189" s="4"/>
      <c r="S189" s="4"/>
      <c r="T189" s="4"/>
      <c r="U189" s="4"/>
      <c r="V189" s="4"/>
      <c r="W189" s="4">
        <v>983.86985002000006</v>
      </c>
      <c r="X189" s="4">
        <v>1</v>
      </c>
      <c r="Y189" s="4">
        <v>983.86985002000006</v>
      </c>
      <c r="Z189" s="4"/>
      <c r="AA189" s="4"/>
      <c r="AB189" s="4"/>
    </row>
    <row r="190" spans="1:28" x14ac:dyDescent="0.2">
      <c r="A190" s="4">
        <v>50</v>
      </c>
      <c r="B190" s="4">
        <v>0</v>
      </c>
      <c r="C190" s="4">
        <v>0</v>
      </c>
      <c r="D190" s="4">
        <v>1</v>
      </c>
      <c r="E190" s="4">
        <v>208</v>
      </c>
      <c r="F190" s="4">
        <f>Source!V167</f>
        <v>10.45000205</v>
      </c>
      <c r="G190" s="4" t="s">
        <v>361</v>
      </c>
      <c r="H190" s="4" t="s">
        <v>362</v>
      </c>
      <c r="I190" s="4"/>
      <c r="J190" s="4"/>
      <c r="K190" s="4">
        <v>208</v>
      </c>
      <c r="L190" s="4">
        <v>22</v>
      </c>
      <c r="M190" s="4">
        <v>3</v>
      </c>
      <c r="N190" s="4" t="s">
        <v>3</v>
      </c>
      <c r="O190" s="4">
        <v>-1</v>
      </c>
      <c r="P190" s="4"/>
      <c r="Q190" s="4"/>
      <c r="R190" s="4"/>
      <c r="S190" s="4"/>
      <c r="T190" s="4"/>
      <c r="U190" s="4"/>
      <c r="V190" s="4"/>
      <c r="W190" s="4">
        <v>10.45000205</v>
      </c>
      <c r="X190" s="4">
        <v>1</v>
      </c>
      <c r="Y190" s="4">
        <v>10.45000205</v>
      </c>
      <c r="Z190" s="4"/>
      <c r="AA190" s="4"/>
      <c r="AB190" s="4"/>
    </row>
    <row r="191" spans="1:28" x14ac:dyDescent="0.2">
      <c r="A191" s="4">
        <v>50</v>
      </c>
      <c r="B191" s="4">
        <v>0</v>
      </c>
      <c r="C191" s="4">
        <v>0</v>
      </c>
      <c r="D191" s="4">
        <v>1</v>
      </c>
      <c r="E191" s="4">
        <v>209</v>
      </c>
      <c r="F191" s="4">
        <f>ROUND(Source!W167,O191)</f>
        <v>0</v>
      </c>
      <c r="G191" s="4" t="s">
        <v>363</v>
      </c>
      <c r="H191" s="4" t="s">
        <v>364</v>
      </c>
      <c r="I191" s="4"/>
      <c r="J191" s="4"/>
      <c r="K191" s="4">
        <v>209</v>
      </c>
      <c r="L191" s="4">
        <v>23</v>
      </c>
      <c r="M191" s="4">
        <v>3</v>
      </c>
      <c r="N191" s="4" t="s">
        <v>3</v>
      </c>
      <c r="O191" s="4">
        <v>2</v>
      </c>
      <c r="P191" s="4"/>
      <c r="Q191" s="4"/>
      <c r="R191" s="4"/>
      <c r="S191" s="4"/>
      <c r="T191" s="4"/>
      <c r="U191" s="4"/>
      <c r="V191" s="4"/>
      <c r="W191" s="4">
        <v>0</v>
      </c>
      <c r="X191" s="4">
        <v>1</v>
      </c>
      <c r="Y191" s="4">
        <v>0</v>
      </c>
      <c r="Z191" s="4"/>
      <c r="AA191" s="4"/>
      <c r="AB191" s="4"/>
    </row>
    <row r="192" spans="1:28" x14ac:dyDescent="0.2">
      <c r="A192" s="4">
        <v>50</v>
      </c>
      <c r="B192" s="4">
        <v>0</v>
      </c>
      <c r="C192" s="4">
        <v>0</v>
      </c>
      <c r="D192" s="4">
        <v>1</v>
      </c>
      <c r="E192" s="4">
        <v>233</v>
      </c>
      <c r="F192" s="4">
        <f>ROUND(Source!BD167,O192)</f>
        <v>0</v>
      </c>
      <c r="G192" s="4" t="s">
        <v>365</v>
      </c>
      <c r="H192" s="4" t="s">
        <v>366</v>
      </c>
      <c r="I192" s="4"/>
      <c r="J192" s="4"/>
      <c r="K192" s="4">
        <v>233</v>
      </c>
      <c r="L192" s="4">
        <v>24</v>
      </c>
      <c r="M192" s="4">
        <v>3</v>
      </c>
      <c r="N192" s="4" t="s">
        <v>3</v>
      </c>
      <c r="O192" s="4">
        <v>2</v>
      </c>
      <c r="P192" s="4"/>
      <c r="Q192" s="4"/>
      <c r="R192" s="4"/>
      <c r="S192" s="4"/>
      <c r="T192" s="4"/>
      <c r="U192" s="4"/>
      <c r="V192" s="4"/>
      <c r="W192" s="4">
        <v>0</v>
      </c>
      <c r="X192" s="4">
        <v>1</v>
      </c>
      <c r="Y192" s="4">
        <v>0</v>
      </c>
      <c r="Z192" s="4"/>
      <c r="AA192" s="4"/>
      <c r="AB192" s="4"/>
    </row>
    <row r="193" spans="1:245" x14ac:dyDescent="0.2">
      <c r="A193" s="4">
        <v>50</v>
      </c>
      <c r="B193" s="4">
        <v>0</v>
      </c>
      <c r="C193" s="4">
        <v>0</v>
      </c>
      <c r="D193" s="4">
        <v>1</v>
      </c>
      <c r="E193" s="4">
        <v>210</v>
      </c>
      <c r="F193" s="4">
        <f>ROUND(Source!X167,O193)</f>
        <v>320957.93</v>
      </c>
      <c r="G193" s="4" t="s">
        <v>367</v>
      </c>
      <c r="H193" s="4" t="s">
        <v>368</v>
      </c>
      <c r="I193" s="4"/>
      <c r="J193" s="4"/>
      <c r="K193" s="4">
        <v>210</v>
      </c>
      <c r="L193" s="4">
        <v>25</v>
      </c>
      <c r="M193" s="4">
        <v>3</v>
      </c>
      <c r="N193" s="4" t="s">
        <v>3</v>
      </c>
      <c r="O193" s="4">
        <v>2</v>
      </c>
      <c r="P193" s="4"/>
      <c r="Q193" s="4"/>
      <c r="R193" s="4"/>
      <c r="S193" s="4"/>
      <c r="T193" s="4"/>
      <c r="U193" s="4"/>
      <c r="V193" s="4"/>
      <c r="W193" s="4">
        <v>320957.93</v>
      </c>
      <c r="X193" s="4">
        <v>1</v>
      </c>
      <c r="Y193" s="4">
        <v>320957.93</v>
      </c>
      <c r="Z193" s="4"/>
      <c r="AA193" s="4"/>
      <c r="AB193" s="4"/>
    </row>
    <row r="194" spans="1:245" x14ac:dyDescent="0.2">
      <c r="A194" s="4">
        <v>50</v>
      </c>
      <c r="B194" s="4">
        <v>0</v>
      </c>
      <c r="C194" s="4">
        <v>0</v>
      </c>
      <c r="D194" s="4">
        <v>1</v>
      </c>
      <c r="E194" s="4">
        <v>211</v>
      </c>
      <c r="F194" s="4">
        <f>ROUND(Source!Y167,O194)</f>
        <v>161585.43</v>
      </c>
      <c r="G194" s="4" t="s">
        <v>369</v>
      </c>
      <c r="H194" s="4" t="s">
        <v>370</v>
      </c>
      <c r="I194" s="4"/>
      <c r="J194" s="4"/>
      <c r="K194" s="4">
        <v>211</v>
      </c>
      <c r="L194" s="4">
        <v>26</v>
      </c>
      <c r="M194" s="4">
        <v>3</v>
      </c>
      <c r="N194" s="4" t="s">
        <v>3</v>
      </c>
      <c r="O194" s="4">
        <v>2</v>
      </c>
      <c r="P194" s="4"/>
      <c r="Q194" s="4"/>
      <c r="R194" s="4"/>
      <c r="S194" s="4"/>
      <c r="T194" s="4"/>
      <c r="U194" s="4"/>
      <c r="V194" s="4"/>
      <c r="W194" s="4">
        <v>161585.43</v>
      </c>
      <c r="X194" s="4">
        <v>1</v>
      </c>
      <c r="Y194" s="4">
        <v>161585.43</v>
      </c>
      <c r="Z194" s="4"/>
      <c r="AA194" s="4"/>
      <c r="AB194" s="4"/>
    </row>
    <row r="195" spans="1:245" x14ac:dyDescent="0.2">
      <c r="A195" s="4">
        <v>50</v>
      </c>
      <c r="B195" s="4">
        <v>0</v>
      </c>
      <c r="C195" s="4">
        <v>0</v>
      </c>
      <c r="D195" s="4">
        <v>1</v>
      </c>
      <c r="E195" s="4">
        <v>224</v>
      </c>
      <c r="F195" s="4">
        <f>ROUND(Source!AR167,O195)</f>
        <v>1492665.21</v>
      </c>
      <c r="G195" s="4" t="s">
        <v>371</v>
      </c>
      <c r="H195" s="4" t="s">
        <v>372</v>
      </c>
      <c r="I195" s="4"/>
      <c r="J195" s="4"/>
      <c r="K195" s="4">
        <v>224</v>
      </c>
      <c r="L195" s="4">
        <v>27</v>
      </c>
      <c r="M195" s="4">
        <v>3</v>
      </c>
      <c r="N195" s="4" t="s">
        <v>3</v>
      </c>
      <c r="O195" s="4">
        <v>2</v>
      </c>
      <c r="P195" s="4"/>
      <c r="Q195" s="4"/>
      <c r="R195" s="4"/>
      <c r="S195" s="4"/>
      <c r="T195" s="4"/>
      <c r="U195" s="4"/>
      <c r="V195" s="4"/>
      <c r="W195" s="4">
        <v>1492665.21</v>
      </c>
      <c r="X195" s="4">
        <v>1</v>
      </c>
      <c r="Y195" s="4">
        <v>1492665.21</v>
      </c>
      <c r="Z195" s="4"/>
      <c r="AA195" s="4"/>
      <c r="AB195" s="4"/>
    </row>
    <row r="197" spans="1:245" x14ac:dyDescent="0.2">
      <c r="A197" s="1">
        <v>4</v>
      </c>
      <c r="B197" s="1">
        <v>1</v>
      </c>
      <c r="C197" s="1"/>
      <c r="D197" s="1">
        <f>ROW(A221)</f>
        <v>221</v>
      </c>
      <c r="E197" s="1"/>
      <c r="F197" s="1" t="s">
        <v>17</v>
      </c>
      <c r="G197" s="1" t="s">
        <v>474</v>
      </c>
      <c r="H197" s="1" t="s">
        <v>3</v>
      </c>
      <c r="I197" s="1">
        <v>0</v>
      </c>
      <c r="J197" s="1"/>
      <c r="K197" s="1">
        <v>0</v>
      </c>
      <c r="L197" s="1"/>
      <c r="M197" s="1" t="s">
        <v>3</v>
      </c>
      <c r="N197" s="1"/>
      <c r="O197" s="1"/>
      <c r="P197" s="1"/>
      <c r="Q197" s="1"/>
      <c r="R197" s="1"/>
      <c r="S197" s="1">
        <v>0</v>
      </c>
      <c r="T197" s="1"/>
      <c r="U197" s="1" t="s">
        <v>3</v>
      </c>
      <c r="V197" s="1">
        <v>0</v>
      </c>
      <c r="W197" s="1"/>
      <c r="X197" s="1"/>
      <c r="Y197" s="1"/>
      <c r="Z197" s="1"/>
      <c r="AA197" s="1"/>
      <c r="AB197" s="1" t="s">
        <v>3</v>
      </c>
      <c r="AC197" s="1" t="s">
        <v>3</v>
      </c>
      <c r="AD197" s="1" t="s">
        <v>3</v>
      </c>
      <c r="AE197" s="1" t="s">
        <v>3</v>
      </c>
      <c r="AF197" s="1" t="s">
        <v>3</v>
      </c>
      <c r="AG197" s="1" t="s">
        <v>3</v>
      </c>
      <c r="AH197" s="1"/>
      <c r="AI197" s="1"/>
      <c r="AJ197" s="1"/>
      <c r="AK197" s="1"/>
      <c r="AL197" s="1"/>
      <c r="AM197" s="1"/>
      <c r="AN197" s="1"/>
      <c r="AO197" s="1"/>
      <c r="AP197" s="1" t="s">
        <v>3</v>
      </c>
      <c r="AQ197" s="1" t="s">
        <v>3</v>
      </c>
      <c r="AR197" s="1" t="s">
        <v>3</v>
      </c>
      <c r="AS197" s="1"/>
      <c r="AT197" s="1"/>
      <c r="AU197" s="1"/>
      <c r="AV197" s="1"/>
      <c r="AW197" s="1"/>
      <c r="AX197" s="1"/>
      <c r="AY197" s="1"/>
      <c r="AZ197" s="1" t="s">
        <v>3</v>
      </c>
      <c r="BA197" s="1"/>
      <c r="BB197" s="1" t="s">
        <v>3</v>
      </c>
      <c r="BC197" s="1" t="s">
        <v>3</v>
      </c>
      <c r="BD197" s="1" t="s">
        <v>3</v>
      </c>
      <c r="BE197" s="1" t="s">
        <v>3</v>
      </c>
      <c r="BF197" s="1" t="s">
        <v>3</v>
      </c>
      <c r="BG197" s="1" t="s">
        <v>3</v>
      </c>
      <c r="BH197" s="1" t="s">
        <v>3</v>
      </c>
      <c r="BI197" s="1" t="s">
        <v>3</v>
      </c>
      <c r="BJ197" s="1" t="s">
        <v>3</v>
      </c>
      <c r="BK197" s="1" t="s">
        <v>3</v>
      </c>
      <c r="BL197" s="1" t="s">
        <v>3</v>
      </c>
      <c r="BM197" s="1" t="s">
        <v>3</v>
      </c>
      <c r="BN197" s="1" t="s">
        <v>3</v>
      </c>
      <c r="BO197" s="1" t="s">
        <v>3</v>
      </c>
      <c r="BP197" s="1" t="s">
        <v>3</v>
      </c>
      <c r="BQ197" s="1"/>
      <c r="BR197" s="1"/>
      <c r="BS197" s="1"/>
      <c r="BT197" s="1"/>
      <c r="BU197" s="1"/>
      <c r="BV197" s="1"/>
      <c r="BW197" s="1"/>
      <c r="BX197" s="1">
        <v>0</v>
      </c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>
        <v>0</v>
      </c>
    </row>
    <row r="199" spans="1:245" x14ac:dyDescent="0.2">
      <c r="A199" s="2">
        <v>52</v>
      </c>
      <c r="B199" s="2">
        <f t="shared" ref="B199:G199" si="210">B221</f>
        <v>1</v>
      </c>
      <c r="C199" s="2">
        <f t="shared" si="210"/>
        <v>4</v>
      </c>
      <c r="D199" s="2">
        <f t="shared" si="210"/>
        <v>197</v>
      </c>
      <c r="E199" s="2">
        <f t="shared" si="210"/>
        <v>0</v>
      </c>
      <c r="F199" s="2" t="str">
        <f t="shared" si="210"/>
        <v>Новый раздел</v>
      </c>
      <c r="G199" s="2" t="str">
        <f t="shared" si="210"/>
        <v>Ремонт крыльца</v>
      </c>
      <c r="H199" s="2"/>
      <c r="I199" s="2"/>
      <c r="J199" s="2"/>
      <c r="K199" s="2"/>
      <c r="L199" s="2"/>
      <c r="M199" s="2"/>
      <c r="N199" s="2"/>
      <c r="O199" s="2">
        <f t="shared" ref="O199:AT199" si="211">O221</f>
        <v>43751.38</v>
      </c>
      <c r="P199" s="2">
        <f t="shared" si="211"/>
        <v>27325.95</v>
      </c>
      <c r="Q199" s="2">
        <f t="shared" si="211"/>
        <v>655.04999999999995</v>
      </c>
      <c r="R199" s="2">
        <f t="shared" si="211"/>
        <v>509.36</v>
      </c>
      <c r="S199" s="2">
        <f t="shared" si="211"/>
        <v>15770.38</v>
      </c>
      <c r="T199" s="2">
        <f t="shared" si="211"/>
        <v>0</v>
      </c>
      <c r="U199" s="2">
        <f t="shared" si="211"/>
        <v>57.749929999999999</v>
      </c>
      <c r="V199" s="2">
        <f t="shared" si="211"/>
        <v>1.3029500000000001</v>
      </c>
      <c r="W199" s="2">
        <f t="shared" si="211"/>
        <v>0</v>
      </c>
      <c r="X199" s="2">
        <f t="shared" si="211"/>
        <v>16571.03</v>
      </c>
      <c r="Y199" s="2">
        <f t="shared" si="211"/>
        <v>8348.69</v>
      </c>
      <c r="Z199" s="2">
        <f t="shared" si="211"/>
        <v>0</v>
      </c>
      <c r="AA199" s="2">
        <f t="shared" si="211"/>
        <v>0</v>
      </c>
      <c r="AB199" s="2">
        <f t="shared" si="211"/>
        <v>43751.38</v>
      </c>
      <c r="AC199" s="2">
        <f t="shared" si="211"/>
        <v>27325.95</v>
      </c>
      <c r="AD199" s="2">
        <f t="shared" si="211"/>
        <v>655.04999999999995</v>
      </c>
      <c r="AE199" s="2">
        <f t="shared" si="211"/>
        <v>509.36</v>
      </c>
      <c r="AF199" s="2">
        <f t="shared" si="211"/>
        <v>15770.38</v>
      </c>
      <c r="AG199" s="2">
        <f t="shared" si="211"/>
        <v>0</v>
      </c>
      <c r="AH199" s="2">
        <f t="shared" si="211"/>
        <v>57.749929999999999</v>
      </c>
      <c r="AI199" s="2">
        <f t="shared" si="211"/>
        <v>1.3029500000000001</v>
      </c>
      <c r="AJ199" s="2">
        <f t="shared" si="211"/>
        <v>0</v>
      </c>
      <c r="AK199" s="2">
        <f t="shared" si="211"/>
        <v>16571.03</v>
      </c>
      <c r="AL199" s="2">
        <f t="shared" si="211"/>
        <v>8348.69</v>
      </c>
      <c r="AM199" s="2">
        <f t="shared" si="211"/>
        <v>0</v>
      </c>
      <c r="AN199" s="2">
        <f t="shared" si="211"/>
        <v>0</v>
      </c>
      <c r="AO199" s="2">
        <f t="shared" si="211"/>
        <v>0</v>
      </c>
      <c r="AP199" s="2">
        <f t="shared" si="211"/>
        <v>0</v>
      </c>
      <c r="AQ199" s="2">
        <f t="shared" si="211"/>
        <v>0</v>
      </c>
      <c r="AR199" s="2">
        <f t="shared" si="211"/>
        <v>74268.61</v>
      </c>
      <c r="AS199" s="2">
        <f t="shared" si="211"/>
        <v>74268.61</v>
      </c>
      <c r="AT199" s="2">
        <f t="shared" si="211"/>
        <v>0</v>
      </c>
      <c r="AU199" s="2">
        <f t="shared" ref="AU199:BZ199" si="212">AU221</f>
        <v>0</v>
      </c>
      <c r="AV199" s="2">
        <f t="shared" si="212"/>
        <v>27325.95</v>
      </c>
      <c r="AW199" s="2">
        <f t="shared" si="212"/>
        <v>27325.95</v>
      </c>
      <c r="AX199" s="2">
        <f t="shared" si="212"/>
        <v>0</v>
      </c>
      <c r="AY199" s="2">
        <f t="shared" si="212"/>
        <v>27325.95</v>
      </c>
      <c r="AZ199" s="2">
        <f t="shared" si="212"/>
        <v>0</v>
      </c>
      <c r="BA199" s="2">
        <f t="shared" si="212"/>
        <v>0</v>
      </c>
      <c r="BB199" s="2">
        <f t="shared" si="212"/>
        <v>0</v>
      </c>
      <c r="BC199" s="2">
        <f t="shared" si="212"/>
        <v>0</v>
      </c>
      <c r="BD199" s="2">
        <f t="shared" si="212"/>
        <v>5597.51</v>
      </c>
      <c r="BE199" s="2">
        <f t="shared" si="212"/>
        <v>0</v>
      </c>
      <c r="BF199" s="2">
        <f t="shared" si="212"/>
        <v>0</v>
      </c>
      <c r="BG199" s="2">
        <f t="shared" si="212"/>
        <v>0</v>
      </c>
      <c r="BH199" s="2">
        <f t="shared" si="212"/>
        <v>0</v>
      </c>
      <c r="BI199" s="2">
        <f t="shared" si="212"/>
        <v>0</v>
      </c>
      <c r="BJ199" s="2">
        <f t="shared" si="212"/>
        <v>0</v>
      </c>
      <c r="BK199" s="2">
        <f t="shared" si="212"/>
        <v>0</v>
      </c>
      <c r="BL199" s="2">
        <f t="shared" si="212"/>
        <v>0</v>
      </c>
      <c r="BM199" s="2">
        <f t="shared" si="212"/>
        <v>0</v>
      </c>
      <c r="BN199" s="2">
        <f t="shared" si="212"/>
        <v>0</v>
      </c>
      <c r="BO199" s="2">
        <f t="shared" si="212"/>
        <v>0</v>
      </c>
      <c r="BP199" s="2">
        <f t="shared" si="212"/>
        <v>0</v>
      </c>
      <c r="BQ199" s="2">
        <f t="shared" si="212"/>
        <v>0</v>
      </c>
      <c r="BR199" s="2">
        <f t="shared" si="212"/>
        <v>0</v>
      </c>
      <c r="BS199" s="2">
        <f t="shared" si="212"/>
        <v>0</v>
      </c>
      <c r="BT199" s="2">
        <f t="shared" si="212"/>
        <v>0</v>
      </c>
      <c r="BU199" s="2">
        <f t="shared" si="212"/>
        <v>0</v>
      </c>
      <c r="BV199" s="2">
        <f t="shared" si="212"/>
        <v>0</v>
      </c>
      <c r="BW199" s="2">
        <f t="shared" si="212"/>
        <v>0</v>
      </c>
      <c r="BX199" s="2">
        <f t="shared" si="212"/>
        <v>0</v>
      </c>
      <c r="BY199" s="2">
        <f t="shared" si="212"/>
        <v>0</v>
      </c>
      <c r="BZ199" s="2">
        <f t="shared" si="212"/>
        <v>0</v>
      </c>
      <c r="CA199" s="2">
        <f t="shared" ref="CA199:DF199" si="213">CA221</f>
        <v>74268.61</v>
      </c>
      <c r="CB199" s="2">
        <f t="shared" si="213"/>
        <v>74268.61</v>
      </c>
      <c r="CC199" s="2">
        <f t="shared" si="213"/>
        <v>0</v>
      </c>
      <c r="CD199" s="2">
        <f t="shared" si="213"/>
        <v>0</v>
      </c>
      <c r="CE199" s="2">
        <f t="shared" si="213"/>
        <v>27325.95</v>
      </c>
      <c r="CF199" s="2">
        <f t="shared" si="213"/>
        <v>27325.95</v>
      </c>
      <c r="CG199" s="2">
        <f t="shared" si="213"/>
        <v>0</v>
      </c>
      <c r="CH199" s="2">
        <f t="shared" si="213"/>
        <v>27325.95</v>
      </c>
      <c r="CI199" s="2">
        <f t="shared" si="213"/>
        <v>0</v>
      </c>
      <c r="CJ199" s="2">
        <f t="shared" si="213"/>
        <v>0</v>
      </c>
      <c r="CK199" s="2">
        <f t="shared" si="213"/>
        <v>0</v>
      </c>
      <c r="CL199" s="2">
        <f t="shared" si="213"/>
        <v>0</v>
      </c>
      <c r="CM199" s="2">
        <f t="shared" si="213"/>
        <v>5597.51</v>
      </c>
      <c r="CN199" s="2">
        <f t="shared" si="213"/>
        <v>0</v>
      </c>
      <c r="CO199" s="2">
        <f t="shared" si="213"/>
        <v>0</v>
      </c>
      <c r="CP199" s="2">
        <f t="shared" si="213"/>
        <v>0</v>
      </c>
      <c r="CQ199" s="2">
        <f t="shared" si="213"/>
        <v>0</v>
      </c>
      <c r="CR199" s="2">
        <f t="shared" si="213"/>
        <v>0</v>
      </c>
      <c r="CS199" s="2">
        <f t="shared" si="213"/>
        <v>0</v>
      </c>
      <c r="CT199" s="2">
        <f t="shared" si="213"/>
        <v>0</v>
      </c>
      <c r="CU199" s="2">
        <f t="shared" si="213"/>
        <v>0</v>
      </c>
      <c r="CV199" s="2">
        <f t="shared" si="213"/>
        <v>0</v>
      </c>
      <c r="CW199" s="2">
        <f t="shared" si="213"/>
        <v>0</v>
      </c>
      <c r="CX199" s="2">
        <f t="shared" si="213"/>
        <v>0</v>
      </c>
      <c r="CY199" s="2">
        <f t="shared" si="213"/>
        <v>0</v>
      </c>
      <c r="CZ199" s="2">
        <f t="shared" si="213"/>
        <v>0</v>
      </c>
      <c r="DA199" s="2">
        <f t="shared" si="213"/>
        <v>0</v>
      </c>
      <c r="DB199" s="2">
        <f t="shared" si="213"/>
        <v>0</v>
      </c>
      <c r="DC199" s="2">
        <f t="shared" si="213"/>
        <v>0</v>
      </c>
      <c r="DD199" s="2">
        <f t="shared" si="213"/>
        <v>0</v>
      </c>
      <c r="DE199" s="2">
        <f t="shared" si="213"/>
        <v>0</v>
      </c>
      <c r="DF199" s="2">
        <f t="shared" si="213"/>
        <v>0</v>
      </c>
      <c r="DG199" s="3">
        <f t="shared" ref="DG199:EL199" si="214">DG221</f>
        <v>0</v>
      </c>
      <c r="DH199" s="3">
        <f t="shared" si="214"/>
        <v>0</v>
      </c>
      <c r="DI199" s="3">
        <f t="shared" si="214"/>
        <v>0</v>
      </c>
      <c r="DJ199" s="3">
        <f t="shared" si="214"/>
        <v>0</v>
      </c>
      <c r="DK199" s="3">
        <f t="shared" si="214"/>
        <v>0</v>
      </c>
      <c r="DL199" s="3">
        <f t="shared" si="214"/>
        <v>0</v>
      </c>
      <c r="DM199" s="3">
        <f t="shared" si="214"/>
        <v>0</v>
      </c>
      <c r="DN199" s="3">
        <f t="shared" si="214"/>
        <v>0</v>
      </c>
      <c r="DO199" s="3">
        <f t="shared" si="214"/>
        <v>0</v>
      </c>
      <c r="DP199" s="3">
        <f t="shared" si="214"/>
        <v>0</v>
      </c>
      <c r="DQ199" s="3">
        <f t="shared" si="214"/>
        <v>0</v>
      </c>
      <c r="DR199" s="3">
        <f t="shared" si="214"/>
        <v>0</v>
      </c>
      <c r="DS199" s="3">
        <f t="shared" si="214"/>
        <v>0</v>
      </c>
      <c r="DT199" s="3">
        <f t="shared" si="214"/>
        <v>0</v>
      </c>
      <c r="DU199" s="3">
        <f t="shared" si="214"/>
        <v>0</v>
      </c>
      <c r="DV199" s="3">
        <f t="shared" si="214"/>
        <v>0</v>
      </c>
      <c r="DW199" s="3">
        <f t="shared" si="214"/>
        <v>0</v>
      </c>
      <c r="DX199" s="3">
        <f t="shared" si="214"/>
        <v>0</v>
      </c>
      <c r="DY199" s="3">
        <f t="shared" si="214"/>
        <v>0</v>
      </c>
      <c r="DZ199" s="3">
        <f t="shared" si="214"/>
        <v>0</v>
      </c>
      <c r="EA199" s="3">
        <f t="shared" si="214"/>
        <v>0</v>
      </c>
      <c r="EB199" s="3">
        <f t="shared" si="214"/>
        <v>0</v>
      </c>
      <c r="EC199" s="3">
        <f t="shared" si="214"/>
        <v>0</v>
      </c>
      <c r="ED199" s="3">
        <f t="shared" si="214"/>
        <v>0</v>
      </c>
      <c r="EE199" s="3">
        <f t="shared" si="214"/>
        <v>0</v>
      </c>
      <c r="EF199" s="3">
        <f t="shared" si="214"/>
        <v>0</v>
      </c>
      <c r="EG199" s="3">
        <f t="shared" si="214"/>
        <v>0</v>
      </c>
      <c r="EH199" s="3">
        <f t="shared" si="214"/>
        <v>0</v>
      </c>
      <c r="EI199" s="3">
        <f t="shared" si="214"/>
        <v>0</v>
      </c>
      <c r="EJ199" s="3">
        <f t="shared" si="214"/>
        <v>0</v>
      </c>
      <c r="EK199" s="3">
        <f t="shared" si="214"/>
        <v>0</v>
      </c>
      <c r="EL199" s="3">
        <f t="shared" si="214"/>
        <v>0</v>
      </c>
      <c r="EM199" s="3">
        <f t="shared" ref="EM199:FR199" si="215">EM221</f>
        <v>0</v>
      </c>
      <c r="EN199" s="3">
        <f t="shared" si="215"/>
        <v>0</v>
      </c>
      <c r="EO199" s="3">
        <f t="shared" si="215"/>
        <v>0</v>
      </c>
      <c r="EP199" s="3">
        <f t="shared" si="215"/>
        <v>0</v>
      </c>
      <c r="EQ199" s="3">
        <f t="shared" si="215"/>
        <v>0</v>
      </c>
      <c r="ER199" s="3">
        <f t="shared" si="215"/>
        <v>0</v>
      </c>
      <c r="ES199" s="3">
        <f t="shared" si="215"/>
        <v>0</v>
      </c>
      <c r="ET199" s="3">
        <f t="shared" si="215"/>
        <v>0</v>
      </c>
      <c r="EU199" s="3">
        <f t="shared" si="215"/>
        <v>0</v>
      </c>
      <c r="EV199" s="3">
        <f t="shared" si="215"/>
        <v>0</v>
      </c>
      <c r="EW199" s="3">
        <f t="shared" si="215"/>
        <v>0</v>
      </c>
      <c r="EX199" s="3">
        <f t="shared" si="215"/>
        <v>0</v>
      </c>
      <c r="EY199" s="3">
        <f t="shared" si="215"/>
        <v>0</v>
      </c>
      <c r="EZ199" s="3">
        <f t="shared" si="215"/>
        <v>0</v>
      </c>
      <c r="FA199" s="3">
        <f t="shared" si="215"/>
        <v>0</v>
      </c>
      <c r="FB199" s="3">
        <f t="shared" si="215"/>
        <v>0</v>
      </c>
      <c r="FC199" s="3">
        <f t="shared" si="215"/>
        <v>0</v>
      </c>
      <c r="FD199" s="3">
        <f t="shared" si="215"/>
        <v>0</v>
      </c>
      <c r="FE199" s="3">
        <f t="shared" si="215"/>
        <v>0</v>
      </c>
      <c r="FF199" s="3">
        <f t="shared" si="215"/>
        <v>0</v>
      </c>
      <c r="FG199" s="3">
        <f t="shared" si="215"/>
        <v>0</v>
      </c>
      <c r="FH199" s="3">
        <f t="shared" si="215"/>
        <v>0</v>
      </c>
      <c r="FI199" s="3">
        <f t="shared" si="215"/>
        <v>0</v>
      </c>
      <c r="FJ199" s="3">
        <f t="shared" si="215"/>
        <v>0</v>
      </c>
      <c r="FK199" s="3">
        <f t="shared" si="215"/>
        <v>0</v>
      </c>
      <c r="FL199" s="3">
        <f t="shared" si="215"/>
        <v>0</v>
      </c>
      <c r="FM199" s="3">
        <f t="shared" si="215"/>
        <v>0</v>
      </c>
      <c r="FN199" s="3">
        <f t="shared" si="215"/>
        <v>0</v>
      </c>
      <c r="FO199" s="3">
        <f t="shared" si="215"/>
        <v>0</v>
      </c>
      <c r="FP199" s="3">
        <f t="shared" si="215"/>
        <v>0</v>
      </c>
      <c r="FQ199" s="3">
        <f t="shared" si="215"/>
        <v>0</v>
      </c>
      <c r="FR199" s="3">
        <f t="shared" si="215"/>
        <v>0</v>
      </c>
      <c r="FS199" s="3">
        <f t="shared" ref="FS199:GX199" si="216">FS221</f>
        <v>0</v>
      </c>
      <c r="FT199" s="3">
        <f t="shared" si="216"/>
        <v>0</v>
      </c>
      <c r="FU199" s="3">
        <f t="shared" si="216"/>
        <v>0</v>
      </c>
      <c r="FV199" s="3">
        <f t="shared" si="216"/>
        <v>0</v>
      </c>
      <c r="FW199" s="3">
        <f t="shared" si="216"/>
        <v>0</v>
      </c>
      <c r="FX199" s="3">
        <f t="shared" si="216"/>
        <v>0</v>
      </c>
      <c r="FY199" s="3">
        <f t="shared" si="216"/>
        <v>0</v>
      </c>
      <c r="FZ199" s="3">
        <f t="shared" si="216"/>
        <v>0</v>
      </c>
      <c r="GA199" s="3">
        <f t="shared" si="216"/>
        <v>0</v>
      </c>
      <c r="GB199" s="3">
        <f t="shared" si="216"/>
        <v>0</v>
      </c>
      <c r="GC199" s="3">
        <f t="shared" si="216"/>
        <v>0</v>
      </c>
      <c r="GD199" s="3">
        <f t="shared" si="216"/>
        <v>0</v>
      </c>
      <c r="GE199" s="3">
        <f t="shared" si="216"/>
        <v>0</v>
      </c>
      <c r="GF199" s="3">
        <f t="shared" si="216"/>
        <v>0</v>
      </c>
      <c r="GG199" s="3">
        <f t="shared" si="216"/>
        <v>0</v>
      </c>
      <c r="GH199" s="3">
        <f t="shared" si="216"/>
        <v>0</v>
      </c>
      <c r="GI199" s="3">
        <f t="shared" si="216"/>
        <v>0</v>
      </c>
      <c r="GJ199" s="3">
        <f t="shared" si="216"/>
        <v>0</v>
      </c>
      <c r="GK199" s="3">
        <f t="shared" si="216"/>
        <v>0</v>
      </c>
      <c r="GL199" s="3">
        <f t="shared" si="216"/>
        <v>0</v>
      </c>
      <c r="GM199" s="3">
        <f t="shared" si="216"/>
        <v>0</v>
      </c>
      <c r="GN199" s="3">
        <f t="shared" si="216"/>
        <v>0</v>
      </c>
      <c r="GO199" s="3">
        <f t="shared" si="216"/>
        <v>0</v>
      </c>
      <c r="GP199" s="3">
        <f t="shared" si="216"/>
        <v>0</v>
      </c>
      <c r="GQ199" s="3">
        <f t="shared" si="216"/>
        <v>0</v>
      </c>
      <c r="GR199" s="3">
        <f t="shared" si="216"/>
        <v>0</v>
      </c>
      <c r="GS199" s="3">
        <f t="shared" si="216"/>
        <v>0</v>
      </c>
      <c r="GT199" s="3">
        <f t="shared" si="216"/>
        <v>0</v>
      </c>
      <c r="GU199" s="3">
        <f t="shared" si="216"/>
        <v>0</v>
      </c>
      <c r="GV199" s="3">
        <f t="shared" si="216"/>
        <v>0</v>
      </c>
      <c r="GW199" s="3">
        <f t="shared" si="216"/>
        <v>0</v>
      </c>
      <c r="GX199" s="3">
        <f t="shared" si="216"/>
        <v>0</v>
      </c>
    </row>
    <row r="201" spans="1:245" x14ac:dyDescent="0.2">
      <c r="A201">
        <v>17</v>
      </c>
      <c r="B201">
        <v>1</v>
      </c>
      <c r="C201">
        <f>ROW(SmtRes!A214)</f>
        <v>214</v>
      </c>
      <c r="D201">
        <f>ROW(EtalonRes!A243)</f>
        <v>243</v>
      </c>
      <c r="E201" t="s">
        <v>475</v>
      </c>
      <c r="F201" t="s">
        <v>135</v>
      </c>
      <c r="G201" t="s">
        <v>136</v>
      </c>
      <c r="H201" t="s">
        <v>40</v>
      </c>
      <c r="I201">
        <f>ROUND(18/100,9)</f>
        <v>0.18</v>
      </c>
      <c r="J201">
        <v>0</v>
      </c>
      <c r="K201">
        <f>ROUND(18/100,9)</f>
        <v>0.18</v>
      </c>
      <c r="O201">
        <f t="shared" ref="O201:O216" si="217">ROUND(CP201,2)</f>
        <v>3534.77</v>
      </c>
      <c r="P201">
        <f t="shared" ref="P201:P216" si="218">ROUND(CQ201*I201,2)</f>
        <v>0</v>
      </c>
      <c r="Q201">
        <f t="shared" ref="Q201:Q216" si="219">ROUND(CR201*I201,2)</f>
        <v>100.79</v>
      </c>
      <c r="R201">
        <f t="shared" ref="R201:R216" si="220">ROUND(CS201*I201,2)</f>
        <v>112.01</v>
      </c>
      <c r="S201">
        <f t="shared" ref="S201:S216" si="221">ROUND(CT201*I201,2)</f>
        <v>3433.98</v>
      </c>
      <c r="T201">
        <f t="shared" ref="T201:T216" si="222">ROUND(CU201*I201,2)</f>
        <v>0</v>
      </c>
      <c r="U201">
        <f t="shared" ref="U201:U216" si="223">CV201*I201</f>
        <v>12.576600000000001</v>
      </c>
      <c r="V201">
        <f t="shared" ref="V201:V216" si="224">CW201*I201</f>
        <v>0.25919999999999999</v>
      </c>
      <c r="W201">
        <f t="shared" ref="W201:W216" si="225">ROUND(CX201*I201,2)</f>
        <v>0</v>
      </c>
      <c r="X201">
        <f t="shared" ref="X201:X216" si="226">ROUND(CY201,2)</f>
        <v>3155.93</v>
      </c>
      <c r="Y201">
        <f t="shared" ref="Y201:Y216" si="227">ROUND(CZ201,2)</f>
        <v>1737.54</v>
      </c>
      <c r="AA201">
        <v>145026783</v>
      </c>
      <c r="AB201">
        <f t="shared" ref="AB201:AB216" si="228">ROUND((AC201+AD201+AF201),2)</f>
        <v>641</v>
      </c>
      <c r="AC201">
        <f t="shared" ref="AC201:AC214" si="229">ROUND((ES201),2)</f>
        <v>0</v>
      </c>
      <c r="AD201">
        <f>ROUND((((ET201)-(EU201))+AE201),2)</f>
        <v>45.01</v>
      </c>
      <c r="AE201">
        <f>ROUND((EU201),2)</f>
        <v>19.440000000000001</v>
      </c>
      <c r="AF201">
        <f>ROUND((EV201),2)</f>
        <v>595.99</v>
      </c>
      <c r="AG201">
        <f t="shared" ref="AG201:AG216" si="230">ROUND((AP201),2)</f>
        <v>0</v>
      </c>
      <c r="AH201">
        <f>(EW201)</f>
        <v>69.87</v>
      </c>
      <c r="AI201">
        <f>(EX201)</f>
        <v>1.44</v>
      </c>
      <c r="AJ201">
        <f t="shared" ref="AJ201:AJ216" si="231">(AS201)</f>
        <v>0</v>
      </c>
      <c r="AK201">
        <v>641</v>
      </c>
      <c r="AL201">
        <v>0</v>
      </c>
      <c r="AM201">
        <v>45.01</v>
      </c>
      <c r="AN201">
        <v>19.440000000000001</v>
      </c>
      <c r="AO201">
        <v>595.99</v>
      </c>
      <c r="AP201">
        <v>0</v>
      </c>
      <c r="AQ201">
        <v>69.87</v>
      </c>
      <c r="AR201">
        <v>1.44</v>
      </c>
      <c r="AS201">
        <v>0</v>
      </c>
      <c r="AT201">
        <v>89</v>
      </c>
      <c r="AU201">
        <v>49</v>
      </c>
      <c r="AV201">
        <v>1</v>
      </c>
      <c r="AW201">
        <v>1</v>
      </c>
      <c r="AZ201">
        <v>1</v>
      </c>
      <c r="BA201">
        <v>32.01</v>
      </c>
      <c r="BB201">
        <v>12.44</v>
      </c>
      <c r="BC201">
        <v>8.9</v>
      </c>
      <c r="BD201" t="s">
        <v>3</v>
      </c>
      <c r="BE201" t="s">
        <v>3</v>
      </c>
      <c r="BF201" t="s">
        <v>3</v>
      </c>
      <c r="BG201" t="s">
        <v>3</v>
      </c>
      <c r="BH201">
        <v>0</v>
      </c>
      <c r="BI201">
        <v>1</v>
      </c>
      <c r="BJ201" t="s">
        <v>137</v>
      </c>
      <c r="BM201">
        <v>57001</v>
      </c>
      <c r="BN201">
        <v>0</v>
      </c>
      <c r="BO201" t="s">
        <v>3</v>
      </c>
      <c r="BP201">
        <v>0</v>
      </c>
      <c r="BQ201">
        <v>6</v>
      </c>
      <c r="BR201">
        <v>0</v>
      </c>
      <c r="BS201">
        <v>32.01</v>
      </c>
      <c r="BT201">
        <v>1</v>
      </c>
      <c r="BU201">
        <v>1</v>
      </c>
      <c r="BV201">
        <v>1</v>
      </c>
      <c r="BW201">
        <v>1</v>
      </c>
      <c r="BX201">
        <v>1</v>
      </c>
      <c r="BY201" t="s">
        <v>3</v>
      </c>
      <c r="BZ201">
        <v>89</v>
      </c>
      <c r="CA201">
        <v>49</v>
      </c>
      <c r="CB201" t="s">
        <v>3</v>
      </c>
      <c r="CE201">
        <v>0</v>
      </c>
      <c r="CF201">
        <v>0</v>
      </c>
      <c r="CG201">
        <v>0</v>
      </c>
      <c r="CM201">
        <v>0</v>
      </c>
      <c r="CN201" t="s">
        <v>3</v>
      </c>
      <c r="CO201">
        <v>0</v>
      </c>
      <c r="CP201">
        <f t="shared" ref="CP201:CP216" si="232">(P201+Q201+S201)</f>
        <v>3534.77</v>
      </c>
      <c r="CQ201">
        <f t="shared" ref="CQ201:CQ216" si="233">AC201*BC201</f>
        <v>0</v>
      </c>
      <c r="CR201">
        <f>(((ET201)*BB201-(EU201)*BS201)+AE201*BS201)</f>
        <v>559.92439999999999</v>
      </c>
      <c r="CS201">
        <f t="shared" ref="CS201:CS216" si="234">AE201*BS201</f>
        <v>622.27440000000001</v>
      </c>
      <c r="CT201">
        <f t="shared" ref="CT201:CT216" si="235">AF201*BA201</f>
        <v>19077.639899999998</v>
      </c>
      <c r="CU201">
        <f t="shared" ref="CU201:CU216" si="236">AG201</f>
        <v>0</v>
      </c>
      <c r="CV201">
        <f t="shared" ref="CV201:CV216" si="237">AH201</f>
        <v>69.87</v>
      </c>
      <c r="CW201">
        <f t="shared" ref="CW201:CW216" si="238">AI201</f>
        <v>1.44</v>
      </c>
      <c r="CX201">
        <f t="shared" ref="CX201:CX216" si="239">AJ201</f>
        <v>0</v>
      </c>
      <c r="CY201">
        <f t="shared" ref="CY201:CY216" si="240">(((S201+R201)*AT201)/100)</f>
        <v>3155.9311000000002</v>
      </c>
      <c r="CZ201">
        <f t="shared" ref="CZ201:CZ216" si="241">(((S201+R201)*AU201)/100)</f>
        <v>1737.5351000000001</v>
      </c>
      <c r="DC201" t="s">
        <v>3</v>
      </c>
      <c r="DD201" t="s">
        <v>3</v>
      </c>
      <c r="DE201" t="s">
        <v>3</v>
      </c>
      <c r="DF201" t="s">
        <v>3</v>
      </c>
      <c r="DG201" t="s">
        <v>3</v>
      </c>
      <c r="DH201" t="s">
        <v>3</v>
      </c>
      <c r="DI201" t="s">
        <v>3</v>
      </c>
      <c r="DJ201" t="s">
        <v>3</v>
      </c>
      <c r="DK201" t="s">
        <v>3</v>
      </c>
      <c r="DL201" t="s">
        <v>3</v>
      </c>
      <c r="DM201" t="s">
        <v>3</v>
      </c>
      <c r="DN201">
        <v>0</v>
      </c>
      <c r="DO201">
        <v>0</v>
      </c>
      <c r="DP201">
        <v>1</v>
      </c>
      <c r="DQ201">
        <v>1</v>
      </c>
      <c r="DU201">
        <v>1005</v>
      </c>
      <c r="DV201" t="s">
        <v>40</v>
      </c>
      <c r="DW201" t="s">
        <v>40</v>
      </c>
      <c r="DX201">
        <v>100</v>
      </c>
      <c r="DZ201" t="s">
        <v>3</v>
      </c>
      <c r="EA201" t="s">
        <v>3</v>
      </c>
      <c r="EB201" t="s">
        <v>3</v>
      </c>
      <c r="EC201" t="s">
        <v>3</v>
      </c>
      <c r="EE201">
        <v>140625152</v>
      </c>
      <c r="EF201">
        <v>6</v>
      </c>
      <c r="EG201" t="s">
        <v>23</v>
      </c>
      <c r="EH201">
        <v>11</v>
      </c>
      <c r="EI201" t="s">
        <v>42</v>
      </c>
      <c r="EJ201">
        <v>1</v>
      </c>
      <c r="EK201">
        <v>57001</v>
      </c>
      <c r="EL201" t="s">
        <v>42</v>
      </c>
      <c r="EM201" t="s">
        <v>43</v>
      </c>
      <c r="EO201" t="s">
        <v>3</v>
      </c>
      <c r="EQ201">
        <v>0</v>
      </c>
      <c r="ER201">
        <v>641</v>
      </c>
      <c r="ES201">
        <v>0</v>
      </c>
      <c r="ET201">
        <v>45.01</v>
      </c>
      <c r="EU201">
        <v>19.440000000000001</v>
      </c>
      <c r="EV201">
        <v>595.99</v>
      </c>
      <c r="EW201">
        <v>69.87</v>
      </c>
      <c r="EX201">
        <v>1.44</v>
      </c>
      <c r="EY201">
        <v>0</v>
      </c>
      <c r="FQ201">
        <v>0</v>
      </c>
      <c r="FR201">
        <f t="shared" ref="FR201:FR219" si="242">ROUND(IF(BI201=3,GM201,0),2)</f>
        <v>0</v>
      </c>
      <c r="FS201">
        <v>0</v>
      </c>
      <c r="FX201">
        <v>89</v>
      </c>
      <c r="FY201">
        <v>49</v>
      </c>
      <c r="GA201" t="s">
        <v>3</v>
      </c>
      <c r="GD201">
        <v>1</v>
      </c>
      <c r="GF201">
        <v>913237570</v>
      </c>
      <c r="GG201">
        <v>2</v>
      </c>
      <c r="GH201">
        <v>1</v>
      </c>
      <c r="GI201">
        <v>4</v>
      </c>
      <c r="GJ201">
        <v>0</v>
      </c>
      <c r="GK201">
        <v>0</v>
      </c>
      <c r="GL201">
        <f t="shared" ref="GL201:GL219" si="243">ROUND(IF(AND(BH201=3,BI201=3,FS201&lt;&gt;0),P201,0),2)</f>
        <v>0</v>
      </c>
      <c r="GM201">
        <f t="shared" ref="GM201:GM216" si="244">ROUND(O201+X201+Y201,2)+GX201</f>
        <v>8428.24</v>
      </c>
      <c r="GN201">
        <f t="shared" ref="GN201:GN216" si="245">IF(OR(BI201=0,BI201=1),ROUND(O201+X201+Y201,2),0)</f>
        <v>8428.24</v>
      </c>
      <c r="GO201">
        <f t="shared" ref="GO201:GO216" si="246">IF(BI201=2,ROUND(O201+X201+Y201,2),0)</f>
        <v>0</v>
      </c>
      <c r="GP201">
        <f t="shared" ref="GP201:GP216" si="247">IF(BI201=4,ROUND(O201+X201+Y201,2)+GX201,0)</f>
        <v>0</v>
      </c>
      <c r="GR201">
        <v>0</v>
      </c>
      <c r="GS201">
        <v>3</v>
      </c>
      <c r="GT201">
        <v>0</v>
      </c>
      <c r="GU201" t="s">
        <v>3</v>
      </c>
      <c r="GV201">
        <f t="shared" ref="GV201:GV216" si="248">ROUND((GT201),2)</f>
        <v>0</v>
      </c>
      <c r="GW201">
        <v>1</v>
      </c>
      <c r="GX201">
        <f t="shared" ref="GX201:GX216" si="249">ROUND(HC201*I201,2)</f>
        <v>0</v>
      </c>
      <c r="HA201">
        <v>0</v>
      </c>
      <c r="HB201">
        <v>0</v>
      </c>
      <c r="HC201">
        <f t="shared" ref="HC201:HC216" si="250">GV201*GW201</f>
        <v>0</v>
      </c>
      <c r="HE201" t="s">
        <v>3</v>
      </c>
      <c r="HF201" t="s">
        <v>3</v>
      </c>
      <c r="HM201" t="s">
        <v>3</v>
      </c>
      <c r="HN201" t="s">
        <v>44</v>
      </c>
      <c r="HO201" t="s">
        <v>45</v>
      </c>
      <c r="HP201" t="s">
        <v>42</v>
      </c>
      <c r="HQ201" t="s">
        <v>42</v>
      </c>
      <c r="IK201">
        <v>0</v>
      </c>
    </row>
    <row r="202" spans="1:245" x14ac:dyDescent="0.2">
      <c r="A202">
        <v>18</v>
      </c>
      <c r="B202">
        <v>1</v>
      </c>
      <c r="C202">
        <v>214</v>
      </c>
      <c r="E202" t="s">
        <v>476</v>
      </c>
      <c r="F202" t="s">
        <v>47</v>
      </c>
      <c r="G202" t="s">
        <v>48</v>
      </c>
      <c r="H202" t="s">
        <v>49</v>
      </c>
      <c r="I202">
        <f>I201*J202</f>
        <v>0.93599999999999994</v>
      </c>
      <c r="J202">
        <v>5.2</v>
      </c>
      <c r="K202">
        <v>5.2</v>
      </c>
      <c r="O202">
        <f t="shared" si="217"/>
        <v>0</v>
      </c>
      <c r="P202">
        <f t="shared" si="218"/>
        <v>0</v>
      </c>
      <c r="Q202">
        <f t="shared" si="219"/>
        <v>0</v>
      </c>
      <c r="R202">
        <f t="shared" si="220"/>
        <v>0</v>
      </c>
      <c r="S202">
        <f t="shared" si="221"/>
        <v>0</v>
      </c>
      <c r="T202">
        <f t="shared" si="222"/>
        <v>0</v>
      </c>
      <c r="U202">
        <f t="shared" si="223"/>
        <v>0</v>
      </c>
      <c r="V202">
        <f t="shared" si="224"/>
        <v>0</v>
      </c>
      <c r="W202">
        <f t="shared" si="225"/>
        <v>0</v>
      </c>
      <c r="X202">
        <f t="shared" si="226"/>
        <v>0</v>
      </c>
      <c r="Y202">
        <f t="shared" si="227"/>
        <v>0</v>
      </c>
      <c r="AA202">
        <v>145026783</v>
      </c>
      <c r="AB202">
        <f t="shared" si="228"/>
        <v>0</v>
      </c>
      <c r="AC202">
        <f t="shared" si="229"/>
        <v>0</v>
      </c>
      <c r="AD202">
        <f>ROUND((((ET202)-(EU202))+AE202),2)</f>
        <v>0</v>
      </c>
      <c r="AE202">
        <f>ROUND((EU202),2)</f>
        <v>0</v>
      </c>
      <c r="AF202">
        <f>ROUND((EV202),2)</f>
        <v>0</v>
      </c>
      <c r="AG202">
        <f t="shared" si="230"/>
        <v>0</v>
      </c>
      <c r="AH202">
        <f>(EW202)</f>
        <v>0</v>
      </c>
      <c r="AI202">
        <f>(EX202)</f>
        <v>0</v>
      </c>
      <c r="AJ202">
        <f t="shared" si="231"/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89</v>
      </c>
      <c r="AU202">
        <v>49</v>
      </c>
      <c r="AV202">
        <v>1</v>
      </c>
      <c r="AW202">
        <v>1</v>
      </c>
      <c r="AZ202">
        <v>1</v>
      </c>
      <c r="BA202">
        <v>1</v>
      </c>
      <c r="BB202">
        <v>1</v>
      </c>
      <c r="BC202">
        <v>8.9</v>
      </c>
      <c r="BD202" t="s">
        <v>3</v>
      </c>
      <c r="BE202" t="s">
        <v>3</v>
      </c>
      <c r="BF202" t="s">
        <v>3</v>
      </c>
      <c r="BG202" t="s">
        <v>3</v>
      </c>
      <c r="BH202">
        <v>3</v>
      </c>
      <c r="BI202">
        <v>1</v>
      </c>
      <c r="BJ202" t="s">
        <v>3</v>
      </c>
      <c r="BM202">
        <v>57001</v>
      </c>
      <c r="BN202">
        <v>0</v>
      </c>
      <c r="BO202" t="s">
        <v>3</v>
      </c>
      <c r="BP202">
        <v>0</v>
      </c>
      <c r="BQ202">
        <v>6</v>
      </c>
      <c r="BR202">
        <v>0</v>
      </c>
      <c r="BS202">
        <v>1</v>
      </c>
      <c r="BT202">
        <v>1</v>
      </c>
      <c r="BU202">
        <v>1</v>
      </c>
      <c r="BV202">
        <v>1</v>
      </c>
      <c r="BW202">
        <v>1</v>
      </c>
      <c r="BX202">
        <v>1</v>
      </c>
      <c r="BY202" t="s">
        <v>3</v>
      </c>
      <c r="BZ202">
        <v>89</v>
      </c>
      <c r="CA202">
        <v>49</v>
      </c>
      <c r="CB202" t="s">
        <v>3</v>
      </c>
      <c r="CE202">
        <v>0</v>
      </c>
      <c r="CF202">
        <v>0</v>
      </c>
      <c r="CG202">
        <v>0</v>
      </c>
      <c r="CM202">
        <v>0</v>
      </c>
      <c r="CN202" t="s">
        <v>3</v>
      </c>
      <c r="CO202">
        <v>0</v>
      </c>
      <c r="CP202">
        <f t="shared" si="232"/>
        <v>0</v>
      </c>
      <c r="CQ202">
        <f t="shared" si="233"/>
        <v>0</v>
      </c>
      <c r="CR202">
        <f>(((ET202)*BB202-(EU202)*BS202)+AE202*BS202)</f>
        <v>0</v>
      </c>
      <c r="CS202">
        <f t="shared" si="234"/>
        <v>0</v>
      </c>
      <c r="CT202">
        <f t="shared" si="235"/>
        <v>0</v>
      </c>
      <c r="CU202">
        <f t="shared" si="236"/>
        <v>0</v>
      </c>
      <c r="CV202">
        <f t="shared" si="237"/>
        <v>0</v>
      </c>
      <c r="CW202">
        <f t="shared" si="238"/>
        <v>0</v>
      </c>
      <c r="CX202">
        <f t="shared" si="239"/>
        <v>0</v>
      </c>
      <c r="CY202">
        <f t="shared" si="240"/>
        <v>0</v>
      </c>
      <c r="CZ202">
        <f t="shared" si="241"/>
        <v>0</v>
      </c>
      <c r="DC202" t="s">
        <v>3</v>
      </c>
      <c r="DD202" t="s">
        <v>3</v>
      </c>
      <c r="DE202" t="s">
        <v>3</v>
      </c>
      <c r="DF202" t="s">
        <v>3</v>
      </c>
      <c r="DG202" t="s">
        <v>3</v>
      </c>
      <c r="DH202" t="s">
        <v>3</v>
      </c>
      <c r="DI202" t="s">
        <v>3</v>
      </c>
      <c r="DJ202" t="s">
        <v>3</v>
      </c>
      <c r="DK202" t="s">
        <v>3</v>
      </c>
      <c r="DL202" t="s">
        <v>3</v>
      </c>
      <c r="DM202" t="s">
        <v>3</v>
      </c>
      <c r="DN202">
        <v>0</v>
      </c>
      <c r="DO202">
        <v>0</v>
      </c>
      <c r="DP202">
        <v>1</v>
      </c>
      <c r="DQ202">
        <v>1</v>
      </c>
      <c r="DU202">
        <v>1009</v>
      </c>
      <c r="DV202" t="s">
        <v>49</v>
      </c>
      <c r="DW202" t="s">
        <v>49</v>
      </c>
      <c r="DX202">
        <v>1000</v>
      </c>
      <c r="DZ202" t="s">
        <v>3</v>
      </c>
      <c r="EA202" t="s">
        <v>3</v>
      </c>
      <c r="EB202" t="s">
        <v>3</v>
      </c>
      <c r="EC202" t="s">
        <v>3</v>
      </c>
      <c r="EE202">
        <v>140625152</v>
      </c>
      <c r="EF202">
        <v>6</v>
      </c>
      <c r="EG202" t="s">
        <v>23</v>
      </c>
      <c r="EH202">
        <v>11</v>
      </c>
      <c r="EI202" t="s">
        <v>42</v>
      </c>
      <c r="EJ202">
        <v>1</v>
      </c>
      <c r="EK202">
        <v>57001</v>
      </c>
      <c r="EL202" t="s">
        <v>42</v>
      </c>
      <c r="EM202" t="s">
        <v>43</v>
      </c>
      <c r="EO202" t="s">
        <v>3</v>
      </c>
      <c r="EQ202">
        <v>0</v>
      </c>
      <c r="ER202">
        <v>0</v>
      </c>
      <c r="ES202">
        <v>0</v>
      </c>
      <c r="ET202">
        <v>0</v>
      </c>
      <c r="EU202">
        <v>0</v>
      </c>
      <c r="EV202">
        <v>0</v>
      </c>
      <c r="EW202">
        <v>0</v>
      </c>
      <c r="EX202">
        <v>0</v>
      </c>
      <c r="FQ202">
        <v>0</v>
      </c>
      <c r="FR202">
        <f t="shared" si="242"/>
        <v>0</v>
      </c>
      <c r="FS202">
        <v>0</v>
      </c>
      <c r="FX202">
        <v>89</v>
      </c>
      <c r="FY202">
        <v>49</v>
      </c>
      <c r="GA202" t="s">
        <v>3</v>
      </c>
      <c r="GD202">
        <v>1</v>
      </c>
      <c r="GF202">
        <v>2102561428</v>
      </c>
      <c r="GG202">
        <v>2</v>
      </c>
      <c r="GH202">
        <v>1</v>
      </c>
      <c r="GI202">
        <v>4</v>
      </c>
      <c r="GJ202">
        <v>0</v>
      </c>
      <c r="GK202">
        <v>0</v>
      </c>
      <c r="GL202">
        <f t="shared" si="243"/>
        <v>0</v>
      </c>
      <c r="GM202">
        <f t="shared" si="244"/>
        <v>0</v>
      </c>
      <c r="GN202">
        <f t="shared" si="245"/>
        <v>0</v>
      </c>
      <c r="GO202">
        <f t="shared" si="246"/>
        <v>0</v>
      </c>
      <c r="GP202">
        <f t="shared" si="247"/>
        <v>0</v>
      </c>
      <c r="GR202">
        <v>0</v>
      </c>
      <c r="GS202">
        <v>3</v>
      </c>
      <c r="GT202">
        <v>0</v>
      </c>
      <c r="GU202" t="s">
        <v>3</v>
      </c>
      <c r="GV202">
        <f t="shared" si="248"/>
        <v>0</v>
      </c>
      <c r="GW202">
        <v>1</v>
      </c>
      <c r="GX202">
        <f t="shared" si="249"/>
        <v>0</v>
      </c>
      <c r="HA202">
        <v>0</v>
      </c>
      <c r="HB202">
        <v>0</v>
      </c>
      <c r="HC202">
        <f t="shared" si="250"/>
        <v>0</v>
      </c>
      <c r="HE202" t="s">
        <v>3</v>
      </c>
      <c r="HF202" t="s">
        <v>3</v>
      </c>
      <c r="HM202" t="s">
        <v>3</v>
      </c>
      <c r="HN202" t="s">
        <v>44</v>
      </c>
      <c r="HO202" t="s">
        <v>45</v>
      </c>
      <c r="HP202" t="s">
        <v>42</v>
      </c>
      <c r="HQ202" t="s">
        <v>42</v>
      </c>
      <c r="IK202">
        <v>0</v>
      </c>
    </row>
    <row r="203" spans="1:245" x14ac:dyDescent="0.2">
      <c r="A203">
        <v>17</v>
      </c>
      <c r="B203">
        <v>1</v>
      </c>
      <c r="C203">
        <f>ROW(SmtRes!A221)</f>
        <v>221</v>
      </c>
      <c r="D203">
        <f>ROW(EtalonRes!A251)</f>
        <v>251</v>
      </c>
      <c r="E203" t="s">
        <v>477</v>
      </c>
      <c r="F203" t="s">
        <v>145</v>
      </c>
      <c r="G203" t="s">
        <v>146</v>
      </c>
      <c r="H203" t="s">
        <v>40</v>
      </c>
      <c r="I203">
        <f>ROUND(18/100,9)</f>
        <v>0.18</v>
      </c>
      <c r="J203">
        <v>0</v>
      </c>
      <c r="K203">
        <f>ROUND(18/100,9)</f>
        <v>0.18</v>
      </c>
      <c r="O203">
        <f t="shared" si="217"/>
        <v>289.37</v>
      </c>
      <c r="P203">
        <f t="shared" si="218"/>
        <v>2.95</v>
      </c>
      <c r="Q203">
        <f t="shared" si="219"/>
        <v>62</v>
      </c>
      <c r="R203">
        <f t="shared" si="220"/>
        <v>4.21</v>
      </c>
      <c r="S203">
        <f t="shared" si="221"/>
        <v>224.42</v>
      </c>
      <c r="T203">
        <f t="shared" si="222"/>
        <v>0</v>
      </c>
      <c r="U203">
        <f t="shared" si="223"/>
        <v>0.76383000000000001</v>
      </c>
      <c r="V203">
        <f t="shared" si="224"/>
        <v>1.125E-2</v>
      </c>
      <c r="W203">
        <f t="shared" si="225"/>
        <v>0</v>
      </c>
      <c r="X203">
        <f t="shared" si="226"/>
        <v>228.63</v>
      </c>
      <c r="Y203">
        <f t="shared" si="227"/>
        <v>95.22</v>
      </c>
      <c r="AA203">
        <v>145026783</v>
      </c>
      <c r="AB203">
        <f t="shared" si="228"/>
        <v>68.47</v>
      </c>
      <c r="AC203">
        <f t="shared" si="229"/>
        <v>1.84</v>
      </c>
      <c r="AD203">
        <f>ROUND(((((ET203*1.25))-((EU203*1.25)))+AE203),2)</f>
        <v>27.68</v>
      </c>
      <c r="AE203">
        <f>ROUND(((EU203*1.25)),2)</f>
        <v>0.73</v>
      </c>
      <c r="AF203">
        <f>ROUND(((EV203*1.15)),2)</f>
        <v>38.950000000000003</v>
      </c>
      <c r="AG203">
        <f t="shared" si="230"/>
        <v>0</v>
      </c>
      <c r="AH203">
        <f>((EW203*1.15))</f>
        <v>4.2435</v>
      </c>
      <c r="AI203">
        <f>((EX203*1.25))</f>
        <v>6.25E-2</v>
      </c>
      <c r="AJ203">
        <f t="shared" si="231"/>
        <v>0</v>
      </c>
      <c r="AK203">
        <v>57.85</v>
      </c>
      <c r="AL203">
        <v>1.84</v>
      </c>
      <c r="AM203">
        <v>22.14</v>
      </c>
      <c r="AN203">
        <v>0.57999999999999996</v>
      </c>
      <c r="AO203">
        <v>33.869999999999997</v>
      </c>
      <c r="AP203">
        <v>0</v>
      </c>
      <c r="AQ203">
        <v>3.69</v>
      </c>
      <c r="AR203">
        <v>0.05</v>
      </c>
      <c r="AS203">
        <v>0</v>
      </c>
      <c r="AT203">
        <v>100</v>
      </c>
      <c r="AU203">
        <v>41.65</v>
      </c>
      <c r="AV203">
        <v>1</v>
      </c>
      <c r="AW203">
        <v>1</v>
      </c>
      <c r="AZ203">
        <v>1</v>
      </c>
      <c r="BA203">
        <v>32.01</v>
      </c>
      <c r="BB203">
        <v>12.44</v>
      </c>
      <c r="BC203">
        <v>8.9</v>
      </c>
      <c r="BD203" t="s">
        <v>3</v>
      </c>
      <c r="BE203" t="s">
        <v>3</v>
      </c>
      <c r="BF203" t="s">
        <v>3</v>
      </c>
      <c r="BG203" t="s">
        <v>3</v>
      </c>
      <c r="BH203">
        <v>0</v>
      </c>
      <c r="BI203">
        <v>1</v>
      </c>
      <c r="BJ203" t="s">
        <v>147</v>
      </c>
      <c r="BM203">
        <v>15001</v>
      </c>
      <c r="BN203">
        <v>0</v>
      </c>
      <c r="BO203" t="s">
        <v>3</v>
      </c>
      <c r="BP203">
        <v>0</v>
      </c>
      <c r="BQ203">
        <v>2</v>
      </c>
      <c r="BR203">
        <v>0</v>
      </c>
      <c r="BS203">
        <v>32.01</v>
      </c>
      <c r="BT203">
        <v>1</v>
      </c>
      <c r="BU203">
        <v>1</v>
      </c>
      <c r="BV203">
        <v>1</v>
      </c>
      <c r="BW203">
        <v>1</v>
      </c>
      <c r="BX203">
        <v>1</v>
      </c>
      <c r="BY203" t="s">
        <v>3</v>
      </c>
      <c r="BZ203">
        <v>100</v>
      </c>
      <c r="CA203">
        <v>49</v>
      </c>
      <c r="CB203" t="s">
        <v>3</v>
      </c>
      <c r="CE203">
        <v>0</v>
      </c>
      <c r="CF203">
        <v>0</v>
      </c>
      <c r="CG203">
        <v>0</v>
      </c>
      <c r="CM203">
        <v>0</v>
      </c>
      <c r="CN203" t="s">
        <v>863</v>
      </c>
      <c r="CO203">
        <v>0</v>
      </c>
      <c r="CP203">
        <f t="shared" si="232"/>
        <v>289.37</v>
      </c>
      <c r="CQ203">
        <f t="shared" si="233"/>
        <v>16.376000000000001</v>
      </c>
      <c r="CR203">
        <f>((((ET203*1.25))*BB203-((EU203*1.25))*BS203)+AE203*BS203)</f>
        <v>344.43705</v>
      </c>
      <c r="CS203">
        <f t="shared" si="234"/>
        <v>23.367299999999997</v>
      </c>
      <c r="CT203">
        <f t="shared" si="235"/>
        <v>1246.7895000000001</v>
      </c>
      <c r="CU203">
        <f t="shared" si="236"/>
        <v>0</v>
      </c>
      <c r="CV203">
        <f t="shared" si="237"/>
        <v>4.2435</v>
      </c>
      <c r="CW203">
        <f t="shared" si="238"/>
        <v>6.25E-2</v>
      </c>
      <c r="CX203">
        <f t="shared" si="239"/>
        <v>0</v>
      </c>
      <c r="CY203">
        <f t="shared" si="240"/>
        <v>228.63</v>
      </c>
      <c r="CZ203">
        <f t="shared" si="241"/>
        <v>95.224394999999987</v>
      </c>
      <c r="DC203" t="s">
        <v>3</v>
      </c>
      <c r="DD203" t="s">
        <v>3</v>
      </c>
      <c r="DE203" t="s">
        <v>148</v>
      </c>
      <c r="DF203" t="s">
        <v>148</v>
      </c>
      <c r="DG203" t="s">
        <v>149</v>
      </c>
      <c r="DH203" t="s">
        <v>3</v>
      </c>
      <c r="DI203" t="s">
        <v>149</v>
      </c>
      <c r="DJ203" t="s">
        <v>148</v>
      </c>
      <c r="DK203" t="s">
        <v>3</v>
      </c>
      <c r="DL203" t="s">
        <v>3</v>
      </c>
      <c r="DM203" t="s">
        <v>150</v>
      </c>
      <c r="DN203">
        <v>0</v>
      </c>
      <c r="DO203">
        <v>0</v>
      </c>
      <c r="DP203">
        <v>1</v>
      </c>
      <c r="DQ203">
        <v>1</v>
      </c>
      <c r="DU203">
        <v>1005</v>
      </c>
      <c r="DV203" t="s">
        <v>40</v>
      </c>
      <c r="DW203" t="s">
        <v>40</v>
      </c>
      <c r="DX203">
        <v>100</v>
      </c>
      <c r="DZ203" t="s">
        <v>3</v>
      </c>
      <c r="EA203" t="s">
        <v>3</v>
      </c>
      <c r="EB203" t="s">
        <v>3</v>
      </c>
      <c r="EC203" t="s">
        <v>3</v>
      </c>
      <c r="EE203">
        <v>140625061</v>
      </c>
      <c r="EF203">
        <v>2</v>
      </c>
      <c r="EG203" t="s">
        <v>95</v>
      </c>
      <c r="EH203">
        <v>15</v>
      </c>
      <c r="EI203" t="s">
        <v>105</v>
      </c>
      <c r="EJ203">
        <v>1</v>
      </c>
      <c r="EK203">
        <v>15001</v>
      </c>
      <c r="EL203" t="s">
        <v>105</v>
      </c>
      <c r="EM203" t="s">
        <v>106</v>
      </c>
      <c r="EO203" t="s">
        <v>151</v>
      </c>
      <c r="EQ203">
        <v>0</v>
      </c>
      <c r="ER203">
        <v>57.85</v>
      </c>
      <c r="ES203">
        <v>1.84</v>
      </c>
      <c r="ET203">
        <v>22.14</v>
      </c>
      <c r="EU203">
        <v>0.57999999999999996</v>
      </c>
      <c r="EV203">
        <v>33.869999999999997</v>
      </c>
      <c r="EW203">
        <v>3.69</v>
      </c>
      <c r="EX203">
        <v>0.05</v>
      </c>
      <c r="EY203">
        <v>0</v>
      </c>
      <c r="FQ203">
        <v>0</v>
      </c>
      <c r="FR203">
        <f t="shared" si="242"/>
        <v>0</v>
      </c>
      <c r="FS203">
        <v>0</v>
      </c>
      <c r="FX203">
        <v>100</v>
      </c>
      <c r="FY203">
        <v>41.65</v>
      </c>
      <c r="GA203" t="s">
        <v>3</v>
      </c>
      <c r="GD203">
        <v>1</v>
      </c>
      <c r="GF203">
        <v>2114869218</v>
      </c>
      <c r="GG203">
        <v>2</v>
      </c>
      <c r="GH203">
        <v>1</v>
      </c>
      <c r="GI203">
        <v>4</v>
      </c>
      <c r="GJ203">
        <v>0</v>
      </c>
      <c r="GK203">
        <v>0</v>
      </c>
      <c r="GL203">
        <f t="shared" si="243"/>
        <v>0</v>
      </c>
      <c r="GM203">
        <f t="shared" si="244"/>
        <v>613.22</v>
      </c>
      <c r="GN203">
        <f t="shared" si="245"/>
        <v>613.22</v>
      </c>
      <c r="GO203">
        <f t="shared" si="246"/>
        <v>0</v>
      </c>
      <c r="GP203">
        <f t="shared" si="247"/>
        <v>0</v>
      </c>
      <c r="GR203">
        <v>0</v>
      </c>
      <c r="GS203">
        <v>3</v>
      </c>
      <c r="GT203">
        <v>0</v>
      </c>
      <c r="GU203" t="s">
        <v>3</v>
      </c>
      <c r="GV203">
        <f t="shared" si="248"/>
        <v>0</v>
      </c>
      <c r="GW203">
        <v>1</v>
      </c>
      <c r="GX203">
        <f t="shared" si="249"/>
        <v>0</v>
      </c>
      <c r="HA203">
        <v>0</v>
      </c>
      <c r="HB203">
        <v>0</v>
      </c>
      <c r="HC203">
        <f t="shared" si="250"/>
        <v>0</v>
      </c>
      <c r="HE203" t="s">
        <v>3</v>
      </c>
      <c r="HF203" t="s">
        <v>3</v>
      </c>
      <c r="HM203" t="s">
        <v>3</v>
      </c>
      <c r="HN203" t="s">
        <v>107</v>
      </c>
      <c r="HO203" t="s">
        <v>108</v>
      </c>
      <c r="HP203" t="s">
        <v>105</v>
      </c>
      <c r="HQ203" t="s">
        <v>105</v>
      </c>
      <c r="IK203">
        <v>0</v>
      </c>
    </row>
    <row r="204" spans="1:245" x14ac:dyDescent="0.2">
      <c r="A204">
        <v>17</v>
      </c>
      <c r="B204">
        <v>1</v>
      </c>
      <c r="E204" t="s">
        <v>478</v>
      </c>
      <c r="F204" t="s">
        <v>29</v>
      </c>
      <c r="G204" t="s">
        <v>153</v>
      </c>
      <c r="H204" t="s">
        <v>154</v>
      </c>
      <c r="I204">
        <f>ROUND(I203*13.8,9)</f>
        <v>2.484</v>
      </c>
      <c r="J204">
        <v>0</v>
      </c>
      <c r="K204">
        <f>ROUND(I203*13.8,9)</f>
        <v>2.484</v>
      </c>
      <c r="O204">
        <f t="shared" si="217"/>
        <v>199.85</v>
      </c>
      <c r="P204">
        <f t="shared" si="218"/>
        <v>199.85</v>
      </c>
      <c r="Q204">
        <f t="shared" si="219"/>
        <v>0</v>
      </c>
      <c r="R204">
        <f t="shared" si="220"/>
        <v>0</v>
      </c>
      <c r="S204">
        <f t="shared" si="221"/>
        <v>0</v>
      </c>
      <c r="T204">
        <f t="shared" si="222"/>
        <v>0</v>
      </c>
      <c r="U204">
        <f t="shared" si="223"/>
        <v>0</v>
      </c>
      <c r="V204">
        <f t="shared" si="224"/>
        <v>0</v>
      </c>
      <c r="W204">
        <f t="shared" si="225"/>
        <v>0</v>
      </c>
      <c r="X204">
        <f t="shared" si="226"/>
        <v>0</v>
      </c>
      <c r="Y204">
        <f t="shared" si="227"/>
        <v>0</v>
      </c>
      <c r="AA204">
        <v>145026783</v>
      </c>
      <c r="AB204">
        <f t="shared" si="228"/>
        <v>9.0399999999999991</v>
      </c>
      <c r="AC204">
        <f t="shared" si="229"/>
        <v>9.0399999999999991</v>
      </c>
      <c r="AD204">
        <f>ROUND((((ET204)-(EU204))+AE204),2)</f>
        <v>0</v>
      </c>
      <c r="AE204">
        <f>ROUND((EU204),2)</f>
        <v>0</v>
      </c>
      <c r="AF204">
        <f>ROUND((EV204),2)</f>
        <v>0</v>
      </c>
      <c r="AG204">
        <f t="shared" si="230"/>
        <v>0</v>
      </c>
      <c r="AH204">
        <f>(EW204)</f>
        <v>0</v>
      </c>
      <c r="AI204">
        <f>(EX204)</f>
        <v>0</v>
      </c>
      <c r="AJ204">
        <f t="shared" si="231"/>
        <v>0</v>
      </c>
      <c r="AK204">
        <v>9.0399999999999991</v>
      </c>
      <c r="AL204">
        <v>9.0399999999999991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1</v>
      </c>
      <c r="AW204">
        <v>1</v>
      </c>
      <c r="AZ204">
        <v>1</v>
      </c>
      <c r="BA204">
        <v>1</v>
      </c>
      <c r="BB204">
        <v>1</v>
      </c>
      <c r="BC204">
        <v>8.9</v>
      </c>
      <c r="BD204" t="s">
        <v>3</v>
      </c>
      <c r="BE204" t="s">
        <v>3</v>
      </c>
      <c r="BF204" t="s">
        <v>3</v>
      </c>
      <c r="BG204" t="s">
        <v>3</v>
      </c>
      <c r="BH204">
        <v>3</v>
      </c>
      <c r="BI204">
        <v>1</v>
      </c>
      <c r="BJ204" t="s">
        <v>3</v>
      </c>
      <c r="BM204">
        <v>1100</v>
      </c>
      <c r="BN204">
        <v>0</v>
      </c>
      <c r="BO204" t="s">
        <v>3</v>
      </c>
      <c r="BP204">
        <v>0</v>
      </c>
      <c r="BQ204">
        <v>8</v>
      </c>
      <c r="BR204">
        <v>0</v>
      </c>
      <c r="BS204">
        <v>1</v>
      </c>
      <c r="BT204">
        <v>1</v>
      </c>
      <c r="BU204">
        <v>1</v>
      </c>
      <c r="BV204">
        <v>1</v>
      </c>
      <c r="BW204">
        <v>1</v>
      </c>
      <c r="BX204">
        <v>1</v>
      </c>
      <c r="BY204" t="s">
        <v>3</v>
      </c>
      <c r="BZ204">
        <v>0</v>
      </c>
      <c r="CA204">
        <v>0</v>
      </c>
      <c r="CB204" t="s">
        <v>3</v>
      </c>
      <c r="CE204">
        <v>0</v>
      </c>
      <c r="CF204">
        <v>0</v>
      </c>
      <c r="CG204">
        <v>0</v>
      </c>
      <c r="CM204">
        <v>0</v>
      </c>
      <c r="CN204" t="s">
        <v>3</v>
      </c>
      <c r="CO204">
        <v>0</v>
      </c>
      <c r="CP204">
        <f t="shared" si="232"/>
        <v>199.85</v>
      </c>
      <c r="CQ204">
        <f t="shared" si="233"/>
        <v>80.455999999999989</v>
      </c>
      <c r="CR204">
        <f>(((ET204)*BB204-(EU204)*BS204)+AE204*BS204)</f>
        <v>0</v>
      </c>
      <c r="CS204">
        <f t="shared" si="234"/>
        <v>0</v>
      </c>
      <c r="CT204">
        <f t="shared" si="235"/>
        <v>0</v>
      </c>
      <c r="CU204">
        <f t="shared" si="236"/>
        <v>0</v>
      </c>
      <c r="CV204">
        <f t="shared" si="237"/>
        <v>0</v>
      </c>
      <c r="CW204">
        <f t="shared" si="238"/>
        <v>0</v>
      </c>
      <c r="CX204">
        <f t="shared" si="239"/>
        <v>0</v>
      </c>
      <c r="CY204">
        <f t="shared" si="240"/>
        <v>0</v>
      </c>
      <c r="CZ204">
        <f t="shared" si="241"/>
        <v>0</v>
      </c>
      <c r="DC204" t="s">
        <v>3</v>
      </c>
      <c r="DD204" t="s">
        <v>3</v>
      </c>
      <c r="DE204" t="s">
        <v>3</v>
      </c>
      <c r="DF204" t="s">
        <v>3</v>
      </c>
      <c r="DG204" t="s">
        <v>3</v>
      </c>
      <c r="DH204" t="s">
        <v>3</v>
      </c>
      <c r="DI204" t="s">
        <v>3</v>
      </c>
      <c r="DJ204" t="s">
        <v>3</v>
      </c>
      <c r="DK204" t="s">
        <v>3</v>
      </c>
      <c r="DL204" t="s">
        <v>3</v>
      </c>
      <c r="DM204" t="s">
        <v>3</v>
      </c>
      <c r="DN204">
        <v>0</v>
      </c>
      <c r="DO204">
        <v>0</v>
      </c>
      <c r="DP204">
        <v>1</v>
      </c>
      <c r="DQ204">
        <v>1</v>
      </c>
      <c r="DU204">
        <v>1009</v>
      </c>
      <c r="DV204" t="s">
        <v>154</v>
      </c>
      <c r="DW204" t="s">
        <v>154</v>
      </c>
      <c r="DX204">
        <v>1</v>
      </c>
      <c r="DZ204" t="s">
        <v>3</v>
      </c>
      <c r="EA204" t="s">
        <v>3</v>
      </c>
      <c r="EB204" t="s">
        <v>3</v>
      </c>
      <c r="EC204" t="s">
        <v>3</v>
      </c>
      <c r="EE204">
        <v>140625274</v>
      </c>
      <c r="EF204">
        <v>8</v>
      </c>
      <c r="EG204" t="s">
        <v>32</v>
      </c>
      <c r="EH204">
        <v>0</v>
      </c>
      <c r="EI204" t="s">
        <v>3</v>
      </c>
      <c r="EJ204">
        <v>1</v>
      </c>
      <c r="EK204">
        <v>1100</v>
      </c>
      <c r="EL204" t="s">
        <v>33</v>
      </c>
      <c r="EM204" t="s">
        <v>34</v>
      </c>
      <c r="EO204" t="s">
        <v>3</v>
      </c>
      <c r="EQ204">
        <v>0</v>
      </c>
      <c r="ER204">
        <v>9.0399999999999991</v>
      </c>
      <c r="ES204">
        <v>9.0399999999999991</v>
      </c>
      <c r="ET204">
        <v>0</v>
      </c>
      <c r="EU204">
        <v>0</v>
      </c>
      <c r="EV204">
        <v>0</v>
      </c>
      <c r="EW204">
        <v>0</v>
      </c>
      <c r="EX204">
        <v>0</v>
      </c>
      <c r="EY204">
        <v>0</v>
      </c>
      <c r="EZ204">
        <v>5</v>
      </c>
      <c r="FC204">
        <v>1</v>
      </c>
      <c r="FD204">
        <v>18</v>
      </c>
      <c r="FF204">
        <v>90.1</v>
      </c>
      <c r="FQ204">
        <v>0</v>
      </c>
      <c r="FR204">
        <f t="shared" si="242"/>
        <v>0</v>
      </c>
      <c r="FS204">
        <v>0</v>
      </c>
      <c r="FX204">
        <v>0</v>
      </c>
      <c r="FY204">
        <v>0</v>
      </c>
      <c r="GA204" t="s">
        <v>219</v>
      </c>
      <c r="GD204">
        <v>1</v>
      </c>
      <c r="GF204">
        <v>-752850908</v>
      </c>
      <c r="GG204">
        <v>2</v>
      </c>
      <c r="GH204">
        <v>3</v>
      </c>
      <c r="GI204">
        <v>4</v>
      </c>
      <c r="GJ204">
        <v>0</v>
      </c>
      <c r="GK204">
        <v>0</v>
      </c>
      <c r="GL204">
        <f t="shared" si="243"/>
        <v>0</v>
      </c>
      <c r="GM204">
        <f t="shared" si="244"/>
        <v>199.85</v>
      </c>
      <c r="GN204">
        <f t="shared" si="245"/>
        <v>199.85</v>
      </c>
      <c r="GO204">
        <f t="shared" si="246"/>
        <v>0</v>
      </c>
      <c r="GP204">
        <f t="shared" si="247"/>
        <v>0</v>
      </c>
      <c r="GR204">
        <v>1</v>
      </c>
      <c r="GS204">
        <v>1</v>
      </c>
      <c r="GT204">
        <v>0</v>
      </c>
      <c r="GU204" t="s">
        <v>3</v>
      </c>
      <c r="GV204">
        <f t="shared" si="248"/>
        <v>0</v>
      </c>
      <c r="GW204">
        <v>1</v>
      </c>
      <c r="GX204">
        <f t="shared" si="249"/>
        <v>0</v>
      </c>
      <c r="HA204">
        <v>0</v>
      </c>
      <c r="HB204">
        <v>0</v>
      </c>
      <c r="HC204">
        <f t="shared" si="250"/>
        <v>0</v>
      </c>
      <c r="HE204" t="s">
        <v>36</v>
      </c>
      <c r="HF204" t="s">
        <v>28</v>
      </c>
      <c r="HM204" t="s">
        <v>3</v>
      </c>
      <c r="HN204" t="s">
        <v>3</v>
      </c>
      <c r="HO204" t="s">
        <v>3</v>
      </c>
      <c r="HP204" t="s">
        <v>3</v>
      </c>
      <c r="HQ204" t="s">
        <v>3</v>
      </c>
      <c r="IK204">
        <v>0</v>
      </c>
    </row>
    <row r="205" spans="1:245" x14ac:dyDescent="0.2">
      <c r="A205">
        <v>17</v>
      </c>
      <c r="B205">
        <v>1</v>
      </c>
      <c r="C205">
        <f>ROW(SmtRes!A232)</f>
        <v>232</v>
      </c>
      <c r="D205">
        <f>ROW(EtalonRes!A262)</f>
        <v>262</v>
      </c>
      <c r="E205" t="s">
        <v>479</v>
      </c>
      <c r="F205" t="s">
        <v>157</v>
      </c>
      <c r="G205" t="s">
        <v>158</v>
      </c>
      <c r="H205" t="s">
        <v>40</v>
      </c>
      <c r="I205">
        <f>ROUND(18/100,9)</f>
        <v>0.18</v>
      </c>
      <c r="J205">
        <v>0</v>
      </c>
      <c r="K205">
        <f>ROUND(18/100,9)</f>
        <v>0.18</v>
      </c>
      <c r="O205">
        <f t="shared" si="217"/>
        <v>19924.18</v>
      </c>
      <c r="P205">
        <f t="shared" si="218"/>
        <v>12589.96</v>
      </c>
      <c r="Q205">
        <f t="shared" si="219"/>
        <v>397.53</v>
      </c>
      <c r="R205">
        <f t="shared" si="220"/>
        <v>386.1</v>
      </c>
      <c r="S205">
        <f t="shared" si="221"/>
        <v>6936.69</v>
      </c>
      <c r="T205">
        <f t="shared" si="222"/>
        <v>0</v>
      </c>
      <c r="U205">
        <f t="shared" si="223"/>
        <v>24.794459999999997</v>
      </c>
      <c r="V205">
        <f t="shared" si="224"/>
        <v>1.0125</v>
      </c>
      <c r="W205">
        <f t="shared" si="225"/>
        <v>0</v>
      </c>
      <c r="X205">
        <f t="shared" si="226"/>
        <v>8201.52</v>
      </c>
      <c r="Y205">
        <f t="shared" si="227"/>
        <v>4045.84</v>
      </c>
      <c r="AA205">
        <v>145026783</v>
      </c>
      <c r="AB205">
        <f t="shared" si="228"/>
        <v>9240.35</v>
      </c>
      <c r="AC205">
        <f t="shared" si="229"/>
        <v>7858.9</v>
      </c>
      <c r="AD205">
        <f>ROUND(((((ET205*1.25))-((EU205*1.25)))+AE205),2)</f>
        <v>177.54</v>
      </c>
      <c r="AE205">
        <f>ROUND(((EU205*1.25)),2)</f>
        <v>67.010000000000005</v>
      </c>
      <c r="AF205">
        <f>ROUND(((EV205*1.15)),2)</f>
        <v>1203.9100000000001</v>
      </c>
      <c r="AG205">
        <f t="shared" si="230"/>
        <v>0</v>
      </c>
      <c r="AH205">
        <f>((EW205*1.15))</f>
        <v>137.74699999999999</v>
      </c>
      <c r="AI205">
        <f>((EX205*1.25))</f>
        <v>5.625</v>
      </c>
      <c r="AJ205">
        <f t="shared" si="231"/>
        <v>0</v>
      </c>
      <c r="AK205">
        <v>9047.81</v>
      </c>
      <c r="AL205">
        <v>7858.9</v>
      </c>
      <c r="AM205">
        <v>142.03</v>
      </c>
      <c r="AN205">
        <v>53.61</v>
      </c>
      <c r="AO205">
        <v>1046.8800000000001</v>
      </c>
      <c r="AP205">
        <v>0</v>
      </c>
      <c r="AQ205">
        <v>119.78</v>
      </c>
      <c r="AR205">
        <v>4.5</v>
      </c>
      <c r="AS205">
        <v>0</v>
      </c>
      <c r="AT205">
        <v>112</v>
      </c>
      <c r="AU205">
        <v>55.25</v>
      </c>
      <c r="AV205">
        <v>1</v>
      </c>
      <c r="AW205">
        <v>1</v>
      </c>
      <c r="AZ205">
        <v>1</v>
      </c>
      <c r="BA205">
        <v>32.01</v>
      </c>
      <c r="BB205">
        <v>12.44</v>
      </c>
      <c r="BC205">
        <v>8.9</v>
      </c>
      <c r="BD205" t="s">
        <v>3</v>
      </c>
      <c r="BE205" t="s">
        <v>3</v>
      </c>
      <c r="BF205" t="s">
        <v>3</v>
      </c>
      <c r="BG205" t="s">
        <v>3</v>
      </c>
      <c r="BH205">
        <v>0</v>
      </c>
      <c r="BI205">
        <v>1</v>
      </c>
      <c r="BJ205" t="s">
        <v>159</v>
      </c>
      <c r="BM205">
        <v>11001</v>
      </c>
      <c r="BN205">
        <v>0</v>
      </c>
      <c r="BO205" t="s">
        <v>3</v>
      </c>
      <c r="BP205">
        <v>0</v>
      </c>
      <c r="BQ205">
        <v>2</v>
      </c>
      <c r="BR205">
        <v>0</v>
      </c>
      <c r="BS205">
        <v>32.01</v>
      </c>
      <c r="BT205">
        <v>1</v>
      </c>
      <c r="BU205">
        <v>1</v>
      </c>
      <c r="BV205">
        <v>1</v>
      </c>
      <c r="BW205">
        <v>1</v>
      </c>
      <c r="BX205">
        <v>1</v>
      </c>
      <c r="BY205" t="s">
        <v>3</v>
      </c>
      <c r="BZ205">
        <v>112</v>
      </c>
      <c r="CA205">
        <v>65</v>
      </c>
      <c r="CB205" t="s">
        <v>3</v>
      </c>
      <c r="CE205">
        <v>0</v>
      </c>
      <c r="CF205">
        <v>0</v>
      </c>
      <c r="CG205">
        <v>0</v>
      </c>
      <c r="CM205">
        <v>0</v>
      </c>
      <c r="CN205" t="s">
        <v>160</v>
      </c>
      <c r="CO205">
        <v>0</v>
      </c>
      <c r="CP205">
        <f t="shared" si="232"/>
        <v>19924.18</v>
      </c>
      <c r="CQ205">
        <f t="shared" si="233"/>
        <v>69944.210000000006</v>
      </c>
      <c r="CR205">
        <f>((((ET205*1.25))*BB205-((EU205*1.25))*BS205)+AE205*BS205)</f>
        <v>2208.4864750000002</v>
      </c>
      <c r="CS205">
        <f t="shared" si="234"/>
        <v>2144.9901</v>
      </c>
      <c r="CT205">
        <f t="shared" si="235"/>
        <v>38537.159099999997</v>
      </c>
      <c r="CU205">
        <f t="shared" si="236"/>
        <v>0</v>
      </c>
      <c r="CV205">
        <f t="shared" si="237"/>
        <v>137.74699999999999</v>
      </c>
      <c r="CW205">
        <f t="shared" si="238"/>
        <v>5.625</v>
      </c>
      <c r="CX205">
        <f t="shared" si="239"/>
        <v>0</v>
      </c>
      <c r="CY205">
        <f t="shared" si="240"/>
        <v>8201.5247999999992</v>
      </c>
      <c r="CZ205">
        <f t="shared" si="241"/>
        <v>4045.8414750000002</v>
      </c>
      <c r="DC205" t="s">
        <v>3</v>
      </c>
      <c r="DD205" t="s">
        <v>3</v>
      </c>
      <c r="DE205" t="s">
        <v>148</v>
      </c>
      <c r="DF205" t="s">
        <v>148</v>
      </c>
      <c r="DG205" t="s">
        <v>149</v>
      </c>
      <c r="DH205" t="s">
        <v>3</v>
      </c>
      <c r="DI205" t="s">
        <v>149</v>
      </c>
      <c r="DJ205" t="s">
        <v>148</v>
      </c>
      <c r="DK205" t="s">
        <v>3</v>
      </c>
      <c r="DL205" t="s">
        <v>3</v>
      </c>
      <c r="DM205" t="s">
        <v>150</v>
      </c>
      <c r="DN205">
        <v>0</v>
      </c>
      <c r="DO205">
        <v>0</v>
      </c>
      <c r="DP205">
        <v>1</v>
      </c>
      <c r="DQ205">
        <v>1</v>
      </c>
      <c r="DU205">
        <v>1005</v>
      </c>
      <c r="DV205" t="s">
        <v>40</v>
      </c>
      <c r="DW205" t="s">
        <v>40</v>
      </c>
      <c r="DX205">
        <v>100</v>
      </c>
      <c r="DZ205" t="s">
        <v>3</v>
      </c>
      <c r="EA205" t="s">
        <v>3</v>
      </c>
      <c r="EB205" t="s">
        <v>3</v>
      </c>
      <c r="EC205" t="s">
        <v>3</v>
      </c>
      <c r="EE205">
        <v>140625030</v>
      </c>
      <c r="EF205">
        <v>2</v>
      </c>
      <c r="EG205" t="s">
        <v>95</v>
      </c>
      <c r="EH205">
        <v>11</v>
      </c>
      <c r="EI205" t="s">
        <v>42</v>
      </c>
      <c r="EJ205">
        <v>1</v>
      </c>
      <c r="EK205">
        <v>11001</v>
      </c>
      <c r="EL205" t="s">
        <v>42</v>
      </c>
      <c r="EM205" t="s">
        <v>161</v>
      </c>
      <c r="EO205" t="s">
        <v>162</v>
      </c>
      <c r="EQ205">
        <v>0</v>
      </c>
      <c r="ER205">
        <v>9047.81</v>
      </c>
      <c r="ES205">
        <v>7858.9</v>
      </c>
      <c r="ET205">
        <v>142.03</v>
      </c>
      <c r="EU205">
        <v>53.61</v>
      </c>
      <c r="EV205">
        <v>1046.8800000000001</v>
      </c>
      <c r="EW205">
        <v>119.78</v>
      </c>
      <c r="EX205">
        <v>4.5</v>
      </c>
      <c r="EY205">
        <v>0</v>
      </c>
      <c r="FQ205">
        <v>0</v>
      </c>
      <c r="FR205">
        <f t="shared" si="242"/>
        <v>0</v>
      </c>
      <c r="FS205">
        <v>0</v>
      </c>
      <c r="FX205">
        <v>112</v>
      </c>
      <c r="FY205">
        <v>55.25</v>
      </c>
      <c r="GA205" t="s">
        <v>3</v>
      </c>
      <c r="GD205">
        <v>1</v>
      </c>
      <c r="GF205">
        <v>-518158177</v>
      </c>
      <c r="GG205">
        <v>2</v>
      </c>
      <c r="GH205">
        <v>1</v>
      </c>
      <c r="GI205">
        <v>4</v>
      </c>
      <c r="GJ205">
        <v>0</v>
      </c>
      <c r="GK205">
        <v>0</v>
      </c>
      <c r="GL205">
        <f t="shared" si="243"/>
        <v>0</v>
      </c>
      <c r="GM205">
        <f t="shared" si="244"/>
        <v>32171.54</v>
      </c>
      <c r="GN205">
        <f t="shared" si="245"/>
        <v>32171.54</v>
      </c>
      <c r="GO205">
        <f t="shared" si="246"/>
        <v>0</v>
      </c>
      <c r="GP205">
        <f t="shared" si="247"/>
        <v>0</v>
      </c>
      <c r="GR205">
        <v>0</v>
      </c>
      <c r="GS205">
        <v>3</v>
      </c>
      <c r="GT205">
        <v>0</v>
      </c>
      <c r="GU205" t="s">
        <v>3</v>
      </c>
      <c r="GV205">
        <f t="shared" si="248"/>
        <v>0</v>
      </c>
      <c r="GW205">
        <v>1</v>
      </c>
      <c r="GX205">
        <f t="shared" si="249"/>
        <v>0</v>
      </c>
      <c r="HA205">
        <v>0</v>
      </c>
      <c r="HB205">
        <v>0</v>
      </c>
      <c r="HC205">
        <f t="shared" si="250"/>
        <v>0</v>
      </c>
      <c r="HE205" t="s">
        <v>3</v>
      </c>
      <c r="HF205" t="s">
        <v>3</v>
      </c>
      <c r="HM205" t="s">
        <v>3</v>
      </c>
      <c r="HN205" t="s">
        <v>163</v>
      </c>
      <c r="HO205" t="s">
        <v>164</v>
      </c>
      <c r="HP205" t="s">
        <v>42</v>
      </c>
      <c r="HQ205" t="s">
        <v>42</v>
      </c>
      <c r="IK205">
        <v>0</v>
      </c>
    </row>
    <row r="206" spans="1:245" x14ac:dyDescent="0.2">
      <c r="A206">
        <v>18</v>
      </c>
      <c r="B206">
        <v>1</v>
      </c>
      <c r="C206">
        <v>231</v>
      </c>
      <c r="E206" t="s">
        <v>480</v>
      </c>
      <c r="F206" t="s">
        <v>166</v>
      </c>
      <c r="G206" t="s">
        <v>167</v>
      </c>
      <c r="H206" t="s">
        <v>72</v>
      </c>
      <c r="I206">
        <f>I205*J206</f>
        <v>-18.36</v>
      </c>
      <c r="J206">
        <v>-102</v>
      </c>
      <c r="K206">
        <v>-102</v>
      </c>
      <c r="O206">
        <f t="shared" si="217"/>
        <v>-11078.79</v>
      </c>
      <c r="P206">
        <f t="shared" si="218"/>
        <v>-11078.79</v>
      </c>
      <c r="Q206">
        <f t="shared" si="219"/>
        <v>0</v>
      </c>
      <c r="R206">
        <f t="shared" si="220"/>
        <v>0</v>
      </c>
      <c r="S206">
        <f t="shared" si="221"/>
        <v>0</v>
      </c>
      <c r="T206">
        <f t="shared" si="222"/>
        <v>0</v>
      </c>
      <c r="U206">
        <f t="shared" si="223"/>
        <v>0</v>
      </c>
      <c r="V206">
        <f t="shared" si="224"/>
        <v>0</v>
      </c>
      <c r="W206">
        <f t="shared" si="225"/>
        <v>0</v>
      </c>
      <c r="X206">
        <f t="shared" si="226"/>
        <v>0</v>
      </c>
      <c r="Y206">
        <f t="shared" si="227"/>
        <v>0</v>
      </c>
      <c r="AA206">
        <v>145026783</v>
      </c>
      <c r="AB206">
        <f t="shared" si="228"/>
        <v>67.8</v>
      </c>
      <c r="AC206">
        <f t="shared" si="229"/>
        <v>67.8</v>
      </c>
      <c r="AD206">
        <f t="shared" ref="AD206:AD211" si="251">ROUND((((ET206)-(EU206))+AE206),2)</f>
        <v>0</v>
      </c>
      <c r="AE206">
        <f t="shared" ref="AE206:AF211" si="252">ROUND((EU206),2)</f>
        <v>0</v>
      </c>
      <c r="AF206">
        <f t="shared" si="252"/>
        <v>0</v>
      </c>
      <c r="AG206">
        <f t="shared" si="230"/>
        <v>0</v>
      </c>
      <c r="AH206">
        <f t="shared" ref="AH206:AI211" si="253">(EW206)</f>
        <v>0</v>
      </c>
      <c r="AI206">
        <f t="shared" si="253"/>
        <v>0</v>
      </c>
      <c r="AJ206">
        <f t="shared" si="231"/>
        <v>0</v>
      </c>
      <c r="AK206">
        <v>67.8</v>
      </c>
      <c r="AL206">
        <v>67.8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112</v>
      </c>
      <c r="AU206">
        <v>65</v>
      </c>
      <c r="AV206">
        <v>1</v>
      </c>
      <c r="AW206">
        <v>1</v>
      </c>
      <c r="AZ206">
        <v>1</v>
      </c>
      <c r="BA206">
        <v>1</v>
      </c>
      <c r="BB206">
        <v>1</v>
      </c>
      <c r="BC206">
        <v>8.9</v>
      </c>
      <c r="BD206" t="s">
        <v>3</v>
      </c>
      <c r="BE206" t="s">
        <v>3</v>
      </c>
      <c r="BF206" t="s">
        <v>3</v>
      </c>
      <c r="BG206" t="s">
        <v>3</v>
      </c>
      <c r="BH206">
        <v>3</v>
      </c>
      <c r="BI206">
        <v>1</v>
      </c>
      <c r="BJ206" t="s">
        <v>168</v>
      </c>
      <c r="BM206">
        <v>11001</v>
      </c>
      <c r="BN206">
        <v>0</v>
      </c>
      <c r="BO206" t="s">
        <v>3</v>
      </c>
      <c r="BP206">
        <v>0</v>
      </c>
      <c r="BQ206">
        <v>2</v>
      </c>
      <c r="BR206">
        <v>1</v>
      </c>
      <c r="BS206">
        <v>1</v>
      </c>
      <c r="BT206">
        <v>1</v>
      </c>
      <c r="BU206">
        <v>1</v>
      </c>
      <c r="BV206">
        <v>1</v>
      </c>
      <c r="BW206">
        <v>1</v>
      </c>
      <c r="BX206">
        <v>1</v>
      </c>
      <c r="BY206" t="s">
        <v>3</v>
      </c>
      <c r="BZ206">
        <v>112</v>
      </c>
      <c r="CA206">
        <v>65</v>
      </c>
      <c r="CB206" t="s">
        <v>3</v>
      </c>
      <c r="CE206">
        <v>0</v>
      </c>
      <c r="CF206">
        <v>0</v>
      </c>
      <c r="CG206">
        <v>0</v>
      </c>
      <c r="CM206">
        <v>0</v>
      </c>
      <c r="CN206" t="s">
        <v>3</v>
      </c>
      <c r="CO206">
        <v>0</v>
      </c>
      <c r="CP206">
        <f t="shared" si="232"/>
        <v>-11078.79</v>
      </c>
      <c r="CQ206">
        <f t="shared" si="233"/>
        <v>603.41999999999996</v>
      </c>
      <c r="CR206">
        <f t="shared" ref="CR206:CR211" si="254">(((ET206)*BB206-(EU206)*BS206)+AE206*BS206)</f>
        <v>0</v>
      </c>
      <c r="CS206">
        <f t="shared" si="234"/>
        <v>0</v>
      </c>
      <c r="CT206">
        <f t="shared" si="235"/>
        <v>0</v>
      </c>
      <c r="CU206">
        <f t="shared" si="236"/>
        <v>0</v>
      </c>
      <c r="CV206">
        <f t="shared" si="237"/>
        <v>0</v>
      </c>
      <c r="CW206">
        <f t="shared" si="238"/>
        <v>0</v>
      </c>
      <c r="CX206">
        <f t="shared" si="239"/>
        <v>0</v>
      </c>
      <c r="CY206">
        <f t="shared" si="240"/>
        <v>0</v>
      </c>
      <c r="CZ206">
        <f t="shared" si="241"/>
        <v>0</v>
      </c>
      <c r="DC206" t="s">
        <v>3</v>
      </c>
      <c r="DD206" t="s">
        <v>3</v>
      </c>
      <c r="DE206" t="s">
        <v>3</v>
      </c>
      <c r="DF206" t="s">
        <v>3</v>
      </c>
      <c r="DG206" t="s">
        <v>3</v>
      </c>
      <c r="DH206" t="s">
        <v>3</v>
      </c>
      <c r="DI206" t="s">
        <v>3</v>
      </c>
      <c r="DJ206" t="s">
        <v>3</v>
      </c>
      <c r="DK206" t="s">
        <v>3</v>
      </c>
      <c r="DL206" t="s">
        <v>3</v>
      </c>
      <c r="DM206" t="s">
        <v>3</v>
      </c>
      <c r="DN206">
        <v>0</v>
      </c>
      <c r="DO206">
        <v>0</v>
      </c>
      <c r="DP206">
        <v>1</v>
      </c>
      <c r="DQ206">
        <v>1</v>
      </c>
      <c r="DU206">
        <v>1005</v>
      </c>
      <c r="DV206" t="s">
        <v>72</v>
      </c>
      <c r="DW206" t="s">
        <v>72</v>
      </c>
      <c r="DX206">
        <v>1</v>
      </c>
      <c r="DZ206" t="s">
        <v>3</v>
      </c>
      <c r="EA206" t="s">
        <v>3</v>
      </c>
      <c r="EB206" t="s">
        <v>3</v>
      </c>
      <c r="EC206" t="s">
        <v>3</v>
      </c>
      <c r="EE206">
        <v>140625030</v>
      </c>
      <c r="EF206">
        <v>2</v>
      </c>
      <c r="EG206" t="s">
        <v>95</v>
      </c>
      <c r="EH206">
        <v>11</v>
      </c>
      <c r="EI206" t="s">
        <v>42</v>
      </c>
      <c r="EJ206">
        <v>1</v>
      </c>
      <c r="EK206">
        <v>11001</v>
      </c>
      <c r="EL206" t="s">
        <v>42</v>
      </c>
      <c r="EM206" t="s">
        <v>161</v>
      </c>
      <c r="EO206" t="s">
        <v>3</v>
      </c>
      <c r="EQ206">
        <v>32768</v>
      </c>
      <c r="ER206">
        <v>67.8</v>
      </c>
      <c r="ES206">
        <v>67.8</v>
      </c>
      <c r="ET206">
        <v>0</v>
      </c>
      <c r="EU206">
        <v>0</v>
      </c>
      <c r="EV206">
        <v>0</v>
      </c>
      <c r="EW206">
        <v>0</v>
      </c>
      <c r="EX206">
        <v>0</v>
      </c>
      <c r="FQ206">
        <v>0</v>
      </c>
      <c r="FR206">
        <f t="shared" si="242"/>
        <v>0</v>
      </c>
      <c r="FS206">
        <v>0</v>
      </c>
      <c r="FX206">
        <v>112</v>
      </c>
      <c r="FY206">
        <v>65</v>
      </c>
      <c r="GA206" t="s">
        <v>3</v>
      </c>
      <c r="GD206">
        <v>1</v>
      </c>
      <c r="GF206">
        <v>-581727036</v>
      </c>
      <c r="GG206">
        <v>2</v>
      </c>
      <c r="GH206">
        <v>1</v>
      </c>
      <c r="GI206">
        <v>4</v>
      </c>
      <c r="GJ206">
        <v>0</v>
      </c>
      <c r="GK206">
        <v>0</v>
      </c>
      <c r="GL206">
        <f t="shared" si="243"/>
        <v>0</v>
      </c>
      <c r="GM206">
        <f t="shared" si="244"/>
        <v>-11078.79</v>
      </c>
      <c r="GN206">
        <f t="shared" si="245"/>
        <v>-11078.79</v>
      </c>
      <c r="GO206">
        <f t="shared" si="246"/>
        <v>0</v>
      </c>
      <c r="GP206">
        <f t="shared" si="247"/>
        <v>0</v>
      </c>
      <c r="GR206">
        <v>0</v>
      </c>
      <c r="GS206">
        <v>3</v>
      </c>
      <c r="GT206">
        <v>0</v>
      </c>
      <c r="GU206" t="s">
        <v>3</v>
      </c>
      <c r="GV206">
        <f t="shared" si="248"/>
        <v>0</v>
      </c>
      <c r="GW206">
        <v>1</v>
      </c>
      <c r="GX206">
        <f t="shared" si="249"/>
        <v>0</v>
      </c>
      <c r="HA206">
        <v>0</v>
      </c>
      <c r="HB206">
        <v>0</v>
      </c>
      <c r="HC206">
        <f t="shared" si="250"/>
        <v>0</v>
      </c>
      <c r="HE206" t="s">
        <v>3</v>
      </c>
      <c r="HF206" t="s">
        <v>3</v>
      </c>
      <c r="HM206" t="s">
        <v>3</v>
      </c>
      <c r="HN206" t="s">
        <v>163</v>
      </c>
      <c r="HO206" t="s">
        <v>164</v>
      </c>
      <c r="HP206" t="s">
        <v>42</v>
      </c>
      <c r="HQ206" t="s">
        <v>42</v>
      </c>
      <c r="IK206">
        <v>0</v>
      </c>
    </row>
    <row r="207" spans="1:245" x14ac:dyDescent="0.2">
      <c r="A207">
        <v>18</v>
      </c>
      <c r="B207">
        <v>1</v>
      </c>
      <c r="C207">
        <v>230</v>
      </c>
      <c r="E207" t="s">
        <v>481</v>
      </c>
      <c r="F207" t="s">
        <v>170</v>
      </c>
      <c r="G207" t="s">
        <v>171</v>
      </c>
      <c r="H207" t="s">
        <v>49</v>
      </c>
      <c r="I207">
        <f>I205*J207</f>
        <v>-8.9999999999999993E-3</v>
      </c>
      <c r="J207">
        <v>-4.9999999999999996E-2</v>
      </c>
      <c r="K207">
        <v>-0.05</v>
      </c>
      <c r="O207">
        <f t="shared" si="217"/>
        <v>-521.69000000000005</v>
      </c>
      <c r="P207">
        <f t="shared" si="218"/>
        <v>-521.69000000000005</v>
      </c>
      <c r="Q207">
        <f t="shared" si="219"/>
        <v>0</v>
      </c>
      <c r="R207">
        <f t="shared" si="220"/>
        <v>0</v>
      </c>
      <c r="S207">
        <f t="shared" si="221"/>
        <v>0</v>
      </c>
      <c r="T207">
        <f t="shared" si="222"/>
        <v>0</v>
      </c>
      <c r="U207">
        <f t="shared" si="223"/>
        <v>0</v>
      </c>
      <c r="V207">
        <f t="shared" si="224"/>
        <v>0</v>
      </c>
      <c r="W207">
        <f t="shared" si="225"/>
        <v>0</v>
      </c>
      <c r="X207">
        <f t="shared" si="226"/>
        <v>0</v>
      </c>
      <c r="Y207">
        <f t="shared" si="227"/>
        <v>0</v>
      </c>
      <c r="AA207">
        <v>145026783</v>
      </c>
      <c r="AB207">
        <f t="shared" si="228"/>
        <v>6513</v>
      </c>
      <c r="AC207">
        <f t="shared" si="229"/>
        <v>6513</v>
      </c>
      <c r="AD207">
        <f t="shared" si="251"/>
        <v>0</v>
      </c>
      <c r="AE207">
        <f t="shared" si="252"/>
        <v>0</v>
      </c>
      <c r="AF207">
        <f t="shared" si="252"/>
        <v>0</v>
      </c>
      <c r="AG207">
        <f t="shared" si="230"/>
        <v>0</v>
      </c>
      <c r="AH207">
        <f t="shared" si="253"/>
        <v>0</v>
      </c>
      <c r="AI207">
        <f t="shared" si="253"/>
        <v>0</v>
      </c>
      <c r="AJ207">
        <f t="shared" si="231"/>
        <v>0</v>
      </c>
      <c r="AK207">
        <v>6513</v>
      </c>
      <c r="AL207">
        <v>6513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112</v>
      </c>
      <c r="AU207">
        <v>65</v>
      </c>
      <c r="AV207">
        <v>1</v>
      </c>
      <c r="AW207">
        <v>1</v>
      </c>
      <c r="AZ207">
        <v>1</v>
      </c>
      <c r="BA207">
        <v>1</v>
      </c>
      <c r="BB207">
        <v>1</v>
      </c>
      <c r="BC207">
        <v>8.9</v>
      </c>
      <c r="BD207" t="s">
        <v>3</v>
      </c>
      <c r="BE207" t="s">
        <v>3</v>
      </c>
      <c r="BF207" t="s">
        <v>3</v>
      </c>
      <c r="BG207" t="s">
        <v>3</v>
      </c>
      <c r="BH207">
        <v>3</v>
      </c>
      <c r="BI207">
        <v>1</v>
      </c>
      <c r="BJ207" t="s">
        <v>172</v>
      </c>
      <c r="BM207">
        <v>11001</v>
      </c>
      <c r="BN207">
        <v>0</v>
      </c>
      <c r="BO207" t="s">
        <v>3</v>
      </c>
      <c r="BP207">
        <v>0</v>
      </c>
      <c r="BQ207">
        <v>2</v>
      </c>
      <c r="BR207">
        <v>1</v>
      </c>
      <c r="BS207">
        <v>1</v>
      </c>
      <c r="BT207">
        <v>1</v>
      </c>
      <c r="BU207">
        <v>1</v>
      </c>
      <c r="BV207">
        <v>1</v>
      </c>
      <c r="BW207">
        <v>1</v>
      </c>
      <c r="BX207">
        <v>1</v>
      </c>
      <c r="BY207" t="s">
        <v>3</v>
      </c>
      <c r="BZ207">
        <v>112</v>
      </c>
      <c r="CA207">
        <v>65</v>
      </c>
      <c r="CB207" t="s">
        <v>3</v>
      </c>
      <c r="CE207">
        <v>0</v>
      </c>
      <c r="CF207">
        <v>0</v>
      </c>
      <c r="CG207">
        <v>0</v>
      </c>
      <c r="CM207">
        <v>0</v>
      </c>
      <c r="CN207" t="s">
        <v>3</v>
      </c>
      <c r="CO207">
        <v>0</v>
      </c>
      <c r="CP207">
        <f t="shared" si="232"/>
        <v>-521.69000000000005</v>
      </c>
      <c r="CQ207">
        <f t="shared" si="233"/>
        <v>57965.700000000004</v>
      </c>
      <c r="CR207">
        <f t="shared" si="254"/>
        <v>0</v>
      </c>
      <c r="CS207">
        <f t="shared" si="234"/>
        <v>0</v>
      </c>
      <c r="CT207">
        <f t="shared" si="235"/>
        <v>0</v>
      </c>
      <c r="CU207">
        <f t="shared" si="236"/>
        <v>0</v>
      </c>
      <c r="CV207">
        <f t="shared" si="237"/>
        <v>0</v>
      </c>
      <c r="CW207">
        <f t="shared" si="238"/>
        <v>0</v>
      </c>
      <c r="CX207">
        <f t="shared" si="239"/>
        <v>0</v>
      </c>
      <c r="CY207">
        <f t="shared" si="240"/>
        <v>0</v>
      </c>
      <c r="CZ207">
        <f t="shared" si="241"/>
        <v>0</v>
      </c>
      <c r="DC207" t="s">
        <v>3</v>
      </c>
      <c r="DD207" t="s">
        <v>3</v>
      </c>
      <c r="DE207" t="s">
        <v>3</v>
      </c>
      <c r="DF207" t="s">
        <v>3</v>
      </c>
      <c r="DG207" t="s">
        <v>3</v>
      </c>
      <c r="DH207" t="s">
        <v>3</v>
      </c>
      <c r="DI207" t="s">
        <v>3</v>
      </c>
      <c r="DJ207" t="s">
        <v>3</v>
      </c>
      <c r="DK207" t="s">
        <v>3</v>
      </c>
      <c r="DL207" t="s">
        <v>3</v>
      </c>
      <c r="DM207" t="s">
        <v>3</v>
      </c>
      <c r="DN207">
        <v>0</v>
      </c>
      <c r="DO207">
        <v>0</v>
      </c>
      <c r="DP207">
        <v>1</v>
      </c>
      <c r="DQ207">
        <v>1</v>
      </c>
      <c r="DU207">
        <v>1009</v>
      </c>
      <c r="DV207" t="s">
        <v>49</v>
      </c>
      <c r="DW207" t="s">
        <v>49</v>
      </c>
      <c r="DX207">
        <v>1000</v>
      </c>
      <c r="DZ207" t="s">
        <v>3</v>
      </c>
      <c r="EA207" t="s">
        <v>3</v>
      </c>
      <c r="EB207" t="s">
        <v>3</v>
      </c>
      <c r="EC207" t="s">
        <v>3</v>
      </c>
      <c r="EE207">
        <v>140625030</v>
      </c>
      <c r="EF207">
        <v>2</v>
      </c>
      <c r="EG207" t="s">
        <v>95</v>
      </c>
      <c r="EH207">
        <v>11</v>
      </c>
      <c r="EI207" t="s">
        <v>42</v>
      </c>
      <c r="EJ207">
        <v>1</v>
      </c>
      <c r="EK207">
        <v>11001</v>
      </c>
      <c r="EL207" t="s">
        <v>42</v>
      </c>
      <c r="EM207" t="s">
        <v>161</v>
      </c>
      <c r="EO207" t="s">
        <v>3</v>
      </c>
      <c r="EQ207">
        <v>32768</v>
      </c>
      <c r="ER207">
        <v>6513</v>
      </c>
      <c r="ES207">
        <v>6513</v>
      </c>
      <c r="ET207">
        <v>0</v>
      </c>
      <c r="EU207">
        <v>0</v>
      </c>
      <c r="EV207">
        <v>0</v>
      </c>
      <c r="EW207">
        <v>0</v>
      </c>
      <c r="EX207">
        <v>0</v>
      </c>
      <c r="FQ207">
        <v>0</v>
      </c>
      <c r="FR207">
        <f t="shared" si="242"/>
        <v>0</v>
      </c>
      <c r="FS207">
        <v>0</v>
      </c>
      <c r="FX207">
        <v>112</v>
      </c>
      <c r="FY207">
        <v>65</v>
      </c>
      <c r="GA207" t="s">
        <v>3</v>
      </c>
      <c r="GD207">
        <v>1</v>
      </c>
      <c r="GF207">
        <v>-1724628855</v>
      </c>
      <c r="GG207">
        <v>2</v>
      </c>
      <c r="GH207">
        <v>1</v>
      </c>
      <c r="GI207">
        <v>4</v>
      </c>
      <c r="GJ207">
        <v>0</v>
      </c>
      <c r="GK207">
        <v>0</v>
      </c>
      <c r="GL207">
        <f t="shared" si="243"/>
        <v>0</v>
      </c>
      <c r="GM207">
        <f t="shared" si="244"/>
        <v>-521.69000000000005</v>
      </c>
      <c r="GN207">
        <f t="shared" si="245"/>
        <v>-521.69000000000005</v>
      </c>
      <c r="GO207">
        <f t="shared" si="246"/>
        <v>0</v>
      </c>
      <c r="GP207">
        <f t="shared" si="247"/>
        <v>0</v>
      </c>
      <c r="GR207">
        <v>0</v>
      </c>
      <c r="GS207">
        <v>3</v>
      </c>
      <c r="GT207">
        <v>0</v>
      </c>
      <c r="GU207" t="s">
        <v>3</v>
      </c>
      <c r="GV207">
        <f t="shared" si="248"/>
        <v>0</v>
      </c>
      <c r="GW207">
        <v>1</v>
      </c>
      <c r="GX207">
        <f t="shared" si="249"/>
        <v>0</v>
      </c>
      <c r="HA207">
        <v>0</v>
      </c>
      <c r="HB207">
        <v>0</v>
      </c>
      <c r="HC207">
        <f t="shared" si="250"/>
        <v>0</v>
      </c>
      <c r="HE207" t="s">
        <v>3</v>
      </c>
      <c r="HF207" t="s">
        <v>3</v>
      </c>
      <c r="HM207" t="s">
        <v>3</v>
      </c>
      <c r="HN207" t="s">
        <v>163</v>
      </c>
      <c r="HO207" t="s">
        <v>164</v>
      </c>
      <c r="HP207" t="s">
        <v>42</v>
      </c>
      <c r="HQ207" t="s">
        <v>42</v>
      </c>
      <c r="IK207">
        <v>0</v>
      </c>
    </row>
    <row r="208" spans="1:245" x14ac:dyDescent="0.2">
      <c r="A208">
        <v>18</v>
      </c>
      <c r="B208">
        <v>1</v>
      </c>
      <c r="C208">
        <v>232</v>
      </c>
      <c r="E208" t="s">
        <v>482</v>
      </c>
      <c r="F208" t="s">
        <v>174</v>
      </c>
      <c r="G208" t="s">
        <v>175</v>
      </c>
      <c r="H208" t="s">
        <v>154</v>
      </c>
      <c r="I208">
        <f>I205*J208</f>
        <v>-81</v>
      </c>
      <c r="J208">
        <v>-450</v>
      </c>
      <c r="K208">
        <v>-450</v>
      </c>
      <c r="O208">
        <f t="shared" si="217"/>
        <v>-987.63</v>
      </c>
      <c r="P208">
        <f t="shared" si="218"/>
        <v>-987.63</v>
      </c>
      <c r="Q208">
        <f t="shared" si="219"/>
        <v>0</v>
      </c>
      <c r="R208">
        <f t="shared" si="220"/>
        <v>0</v>
      </c>
      <c r="S208">
        <f t="shared" si="221"/>
        <v>0</v>
      </c>
      <c r="T208">
        <f t="shared" si="222"/>
        <v>0</v>
      </c>
      <c r="U208">
        <f t="shared" si="223"/>
        <v>0</v>
      </c>
      <c r="V208">
        <f t="shared" si="224"/>
        <v>0</v>
      </c>
      <c r="W208">
        <f t="shared" si="225"/>
        <v>0</v>
      </c>
      <c r="X208">
        <f t="shared" si="226"/>
        <v>0</v>
      </c>
      <c r="Y208">
        <f t="shared" si="227"/>
        <v>0</v>
      </c>
      <c r="AA208">
        <v>145026783</v>
      </c>
      <c r="AB208">
        <f t="shared" si="228"/>
        <v>1.37</v>
      </c>
      <c r="AC208">
        <f t="shared" si="229"/>
        <v>1.37</v>
      </c>
      <c r="AD208">
        <f t="shared" si="251"/>
        <v>0</v>
      </c>
      <c r="AE208">
        <f t="shared" si="252"/>
        <v>0</v>
      </c>
      <c r="AF208">
        <f t="shared" si="252"/>
        <v>0</v>
      </c>
      <c r="AG208">
        <f t="shared" si="230"/>
        <v>0</v>
      </c>
      <c r="AH208">
        <f t="shared" si="253"/>
        <v>0</v>
      </c>
      <c r="AI208">
        <f t="shared" si="253"/>
        <v>0</v>
      </c>
      <c r="AJ208">
        <f t="shared" si="231"/>
        <v>0</v>
      </c>
      <c r="AK208">
        <v>1.37</v>
      </c>
      <c r="AL208">
        <v>1.37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112</v>
      </c>
      <c r="AU208">
        <v>65</v>
      </c>
      <c r="AV208">
        <v>1</v>
      </c>
      <c r="AW208">
        <v>1</v>
      </c>
      <c r="AZ208">
        <v>1</v>
      </c>
      <c r="BA208">
        <v>1</v>
      </c>
      <c r="BB208">
        <v>1</v>
      </c>
      <c r="BC208">
        <v>8.9</v>
      </c>
      <c r="BD208" t="s">
        <v>3</v>
      </c>
      <c r="BE208" t="s">
        <v>3</v>
      </c>
      <c r="BF208" t="s">
        <v>3</v>
      </c>
      <c r="BG208" t="s">
        <v>3</v>
      </c>
      <c r="BH208">
        <v>3</v>
      </c>
      <c r="BI208">
        <v>1</v>
      </c>
      <c r="BJ208" t="s">
        <v>176</v>
      </c>
      <c r="BM208">
        <v>11001</v>
      </c>
      <c r="BN208">
        <v>0</v>
      </c>
      <c r="BO208" t="s">
        <v>3</v>
      </c>
      <c r="BP208">
        <v>0</v>
      </c>
      <c r="BQ208">
        <v>2</v>
      </c>
      <c r="BR208">
        <v>1</v>
      </c>
      <c r="BS208">
        <v>1</v>
      </c>
      <c r="BT208">
        <v>1</v>
      </c>
      <c r="BU208">
        <v>1</v>
      </c>
      <c r="BV208">
        <v>1</v>
      </c>
      <c r="BW208">
        <v>1</v>
      </c>
      <c r="BX208">
        <v>1</v>
      </c>
      <c r="BY208" t="s">
        <v>3</v>
      </c>
      <c r="BZ208">
        <v>112</v>
      </c>
      <c r="CA208">
        <v>65</v>
      </c>
      <c r="CB208" t="s">
        <v>3</v>
      </c>
      <c r="CE208">
        <v>0</v>
      </c>
      <c r="CF208">
        <v>0</v>
      </c>
      <c r="CG208">
        <v>0</v>
      </c>
      <c r="CM208">
        <v>0</v>
      </c>
      <c r="CN208" t="s">
        <v>3</v>
      </c>
      <c r="CO208">
        <v>0</v>
      </c>
      <c r="CP208">
        <f t="shared" si="232"/>
        <v>-987.63</v>
      </c>
      <c r="CQ208">
        <f t="shared" si="233"/>
        <v>12.193000000000001</v>
      </c>
      <c r="CR208">
        <f t="shared" si="254"/>
        <v>0</v>
      </c>
      <c r="CS208">
        <f t="shared" si="234"/>
        <v>0</v>
      </c>
      <c r="CT208">
        <f t="shared" si="235"/>
        <v>0</v>
      </c>
      <c r="CU208">
        <f t="shared" si="236"/>
        <v>0</v>
      </c>
      <c r="CV208">
        <f t="shared" si="237"/>
        <v>0</v>
      </c>
      <c r="CW208">
        <f t="shared" si="238"/>
        <v>0</v>
      </c>
      <c r="CX208">
        <f t="shared" si="239"/>
        <v>0</v>
      </c>
      <c r="CY208">
        <f t="shared" si="240"/>
        <v>0</v>
      </c>
      <c r="CZ208">
        <f t="shared" si="241"/>
        <v>0</v>
      </c>
      <c r="DC208" t="s">
        <v>3</v>
      </c>
      <c r="DD208" t="s">
        <v>3</v>
      </c>
      <c r="DE208" t="s">
        <v>3</v>
      </c>
      <c r="DF208" t="s">
        <v>3</v>
      </c>
      <c r="DG208" t="s">
        <v>3</v>
      </c>
      <c r="DH208" t="s">
        <v>3</v>
      </c>
      <c r="DI208" t="s">
        <v>3</v>
      </c>
      <c r="DJ208" t="s">
        <v>3</v>
      </c>
      <c r="DK208" t="s">
        <v>3</v>
      </c>
      <c r="DL208" t="s">
        <v>3</v>
      </c>
      <c r="DM208" t="s">
        <v>3</v>
      </c>
      <c r="DN208">
        <v>0</v>
      </c>
      <c r="DO208">
        <v>0</v>
      </c>
      <c r="DP208">
        <v>1</v>
      </c>
      <c r="DQ208">
        <v>1</v>
      </c>
      <c r="DU208">
        <v>1009</v>
      </c>
      <c r="DV208" t="s">
        <v>154</v>
      </c>
      <c r="DW208" t="s">
        <v>154</v>
      </c>
      <c r="DX208">
        <v>1</v>
      </c>
      <c r="DZ208" t="s">
        <v>3</v>
      </c>
      <c r="EA208" t="s">
        <v>3</v>
      </c>
      <c r="EB208" t="s">
        <v>3</v>
      </c>
      <c r="EC208" t="s">
        <v>3</v>
      </c>
      <c r="EE208">
        <v>140625030</v>
      </c>
      <c r="EF208">
        <v>2</v>
      </c>
      <c r="EG208" t="s">
        <v>95</v>
      </c>
      <c r="EH208">
        <v>11</v>
      </c>
      <c r="EI208" t="s">
        <v>42</v>
      </c>
      <c r="EJ208">
        <v>1</v>
      </c>
      <c r="EK208">
        <v>11001</v>
      </c>
      <c r="EL208" t="s">
        <v>42</v>
      </c>
      <c r="EM208" t="s">
        <v>161</v>
      </c>
      <c r="EO208" t="s">
        <v>3</v>
      </c>
      <c r="EQ208">
        <v>32768</v>
      </c>
      <c r="ER208">
        <v>1.37</v>
      </c>
      <c r="ES208">
        <v>1.37</v>
      </c>
      <c r="ET208">
        <v>0</v>
      </c>
      <c r="EU208">
        <v>0</v>
      </c>
      <c r="EV208">
        <v>0</v>
      </c>
      <c r="EW208">
        <v>0</v>
      </c>
      <c r="EX208">
        <v>0</v>
      </c>
      <c r="FQ208">
        <v>0</v>
      </c>
      <c r="FR208">
        <f t="shared" si="242"/>
        <v>0</v>
      </c>
      <c r="FS208">
        <v>0</v>
      </c>
      <c r="FX208">
        <v>112</v>
      </c>
      <c r="FY208">
        <v>65</v>
      </c>
      <c r="GA208" t="s">
        <v>3</v>
      </c>
      <c r="GD208">
        <v>1</v>
      </c>
      <c r="GF208">
        <v>-1263215297</v>
      </c>
      <c r="GG208">
        <v>2</v>
      </c>
      <c r="GH208">
        <v>1</v>
      </c>
      <c r="GI208">
        <v>4</v>
      </c>
      <c r="GJ208">
        <v>0</v>
      </c>
      <c r="GK208">
        <v>0</v>
      </c>
      <c r="GL208">
        <f t="shared" si="243"/>
        <v>0</v>
      </c>
      <c r="GM208">
        <f t="shared" si="244"/>
        <v>-987.63</v>
      </c>
      <c r="GN208">
        <f t="shared" si="245"/>
        <v>-987.63</v>
      </c>
      <c r="GO208">
        <f t="shared" si="246"/>
        <v>0</v>
      </c>
      <c r="GP208">
        <f t="shared" si="247"/>
        <v>0</v>
      </c>
      <c r="GR208">
        <v>0</v>
      </c>
      <c r="GS208">
        <v>3</v>
      </c>
      <c r="GT208">
        <v>0</v>
      </c>
      <c r="GU208" t="s">
        <v>3</v>
      </c>
      <c r="GV208">
        <f t="shared" si="248"/>
        <v>0</v>
      </c>
      <c r="GW208">
        <v>1</v>
      </c>
      <c r="GX208">
        <f t="shared" si="249"/>
        <v>0</v>
      </c>
      <c r="HA208">
        <v>0</v>
      </c>
      <c r="HB208">
        <v>0</v>
      </c>
      <c r="HC208">
        <f t="shared" si="250"/>
        <v>0</v>
      </c>
      <c r="HE208" t="s">
        <v>3</v>
      </c>
      <c r="HF208" t="s">
        <v>3</v>
      </c>
      <c r="HM208" t="s">
        <v>3</v>
      </c>
      <c r="HN208" t="s">
        <v>163</v>
      </c>
      <c r="HO208" t="s">
        <v>164</v>
      </c>
      <c r="HP208" t="s">
        <v>42</v>
      </c>
      <c r="HQ208" t="s">
        <v>42</v>
      </c>
      <c r="IK208">
        <v>0</v>
      </c>
    </row>
    <row r="209" spans="1:245" x14ac:dyDescent="0.2">
      <c r="A209">
        <v>17</v>
      </c>
      <c r="B209">
        <v>1</v>
      </c>
      <c r="E209" t="s">
        <v>483</v>
      </c>
      <c r="F209" t="s">
        <v>29</v>
      </c>
      <c r="G209" t="s">
        <v>178</v>
      </c>
      <c r="H209" t="s">
        <v>72</v>
      </c>
      <c r="I209">
        <v>18.36</v>
      </c>
      <c r="J209">
        <v>0</v>
      </c>
      <c r="K209">
        <v>18.36</v>
      </c>
      <c r="O209">
        <f t="shared" si="217"/>
        <v>10436.61</v>
      </c>
      <c r="P209">
        <f t="shared" si="218"/>
        <v>10436.61</v>
      </c>
      <c r="Q209">
        <f t="shared" si="219"/>
        <v>0</v>
      </c>
      <c r="R209">
        <f t="shared" si="220"/>
        <v>0</v>
      </c>
      <c r="S209">
        <f t="shared" si="221"/>
        <v>0</v>
      </c>
      <c r="T209">
        <f t="shared" si="222"/>
        <v>0</v>
      </c>
      <c r="U209">
        <f t="shared" si="223"/>
        <v>0</v>
      </c>
      <c r="V209">
        <f t="shared" si="224"/>
        <v>0</v>
      </c>
      <c r="W209">
        <f t="shared" si="225"/>
        <v>0</v>
      </c>
      <c r="X209">
        <f t="shared" si="226"/>
        <v>0</v>
      </c>
      <c r="Y209">
        <f t="shared" si="227"/>
        <v>0</v>
      </c>
      <c r="AA209">
        <v>145026783</v>
      </c>
      <c r="AB209">
        <f t="shared" si="228"/>
        <v>63.87</v>
      </c>
      <c r="AC209">
        <f t="shared" si="229"/>
        <v>63.87</v>
      </c>
      <c r="AD209">
        <f t="shared" si="251"/>
        <v>0</v>
      </c>
      <c r="AE209">
        <f t="shared" si="252"/>
        <v>0</v>
      </c>
      <c r="AF209">
        <f t="shared" si="252"/>
        <v>0</v>
      </c>
      <c r="AG209">
        <f t="shared" si="230"/>
        <v>0</v>
      </c>
      <c r="AH209">
        <f t="shared" si="253"/>
        <v>0</v>
      </c>
      <c r="AI209">
        <f t="shared" si="253"/>
        <v>0</v>
      </c>
      <c r="AJ209">
        <f t="shared" si="231"/>
        <v>0</v>
      </c>
      <c r="AK209">
        <v>63.87</v>
      </c>
      <c r="AL209">
        <v>63.87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1</v>
      </c>
      <c r="AW209">
        <v>1</v>
      </c>
      <c r="AZ209">
        <v>1</v>
      </c>
      <c r="BA209">
        <v>1</v>
      </c>
      <c r="BB209">
        <v>1</v>
      </c>
      <c r="BC209">
        <v>8.9</v>
      </c>
      <c r="BD209" t="s">
        <v>3</v>
      </c>
      <c r="BE209" t="s">
        <v>3</v>
      </c>
      <c r="BF209" t="s">
        <v>3</v>
      </c>
      <c r="BG209" t="s">
        <v>3</v>
      </c>
      <c r="BH209">
        <v>3</v>
      </c>
      <c r="BI209">
        <v>1</v>
      </c>
      <c r="BJ209" t="s">
        <v>3</v>
      </c>
      <c r="BM209">
        <v>1100</v>
      </c>
      <c r="BN209">
        <v>0</v>
      </c>
      <c r="BO209" t="s">
        <v>3</v>
      </c>
      <c r="BP209">
        <v>0</v>
      </c>
      <c r="BQ209">
        <v>8</v>
      </c>
      <c r="BR209">
        <v>0</v>
      </c>
      <c r="BS209">
        <v>1</v>
      </c>
      <c r="BT209">
        <v>1</v>
      </c>
      <c r="BU209">
        <v>1</v>
      </c>
      <c r="BV209">
        <v>1</v>
      </c>
      <c r="BW209">
        <v>1</v>
      </c>
      <c r="BX209">
        <v>1</v>
      </c>
      <c r="BY209" t="s">
        <v>3</v>
      </c>
      <c r="BZ209">
        <v>0</v>
      </c>
      <c r="CA209">
        <v>0</v>
      </c>
      <c r="CB209" t="s">
        <v>3</v>
      </c>
      <c r="CE209">
        <v>0</v>
      </c>
      <c r="CF209">
        <v>0</v>
      </c>
      <c r="CG209">
        <v>0</v>
      </c>
      <c r="CM209">
        <v>0</v>
      </c>
      <c r="CN209" t="s">
        <v>3</v>
      </c>
      <c r="CO209">
        <v>0</v>
      </c>
      <c r="CP209">
        <f t="shared" si="232"/>
        <v>10436.61</v>
      </c>
      <c r="CQ209">
        <f t="shared" si="233"/>
        <v>568.44299999999998</v>
      </c>
      <c r="CR209">
        <f t="shared" si="254"/>
        <v>0</v>
      </c>
      <c r="CS209">
        <f t="shared" si="234"/>
        <v>0</v>
      </c>
      <c r="CT209">
        <f t="shared" si="235"/>
        <v>0</v>
      </c>
      <c r="CU209">
        <f t="shared" si="236"/>
        <v>0</v>
      </c>
      <c r="CV209">
        <f t="shared" si="237"/>
        <v>0</v>
      </c>
      <c r="CW209">
        <f t="shared" si="238"/>
        <v>0</v>
      </c>
      <c r="CX209">
        <f t="shared" si="239"/>
        <v>0</v>
      </c>
      <c r="CY209">
        <f t="shared" si="240"/>
        <v>0</v>
      </c>
      <c r="CZ209">
        <f t="shared" si="241"/>
        <v>0</v>
      </c>
      <c r="DC209" t="s">
        <v>3</v>
      </c>
      <c r="DD209" t="s">
        <v>3</v>
      </c>
      <c r="DE209" t="s">
        <v>3</v>
      </c>
      <c r="DF209" t="s">
        <v>3</v>
      </c>
      <c r="DG209" t="s">
        <v>3</v>
      </c>
      <c r="DH209" t="s">
        <v>3</v>
      </c>
      <c r="DI209" t="s">
        <v>3</v>
      </c>
      <c r="DJ209" t="s">
        <v>3</v>
      </c>
      <c r="DK209" t="s">
        <v>3</v>
      </c>
      <c r="DL209" t="s">
        <v>3</v>
      </c>
      <c r="DM209" t="s">
        <v>3</v>
      </c>
      <c r="DN209">
        <v>0</v>
      </c>
      <c r="DO209">
        <v>0</v>
      </c>
      <c r="DP209">
        <v>1</v>
      </c>
      <c r="DQ209">
        <v>1</v>
      </c>
      <c r="DU209">
        <v>1005</v>
      </c>
      <c r="DV209" t="s">
        <v>72</v>
      </c>
      <c r="DW209" t="s">
        <v>72</v>
      </c>
      <c r="DX209">
        <v>1</v>
      </c>
      <c r="DZ209" t="s">
        <v>3</v>
      </c>
      <c r="EA209" t="s">
        <v>3</v>
      </c>
      <c r="EB209" t="s">
        <v>3</v>
      </c>
      <c r="EC209" t="s">
        <v>3</v>
      </c>
      <c r="EE209">
        <v>140625274</v>
      </c>
      <c r="EF209">
        <v>8</v>
      </c>
      <c r="EG209" t="s">
        <v>32</v>
      </c>
      <c r="EH209">
        <v>0</v>
      </c>
      <c r="EI209" t="s">
        <v>3</v>
      </c>
      <c r="EJ209">
        <v>1</v>
      </c>
      <c r="EK209">
        <v>1100</v>
      </c>
      <c r="EL209" t="s">
        <v>33</v>
      </c>
      <c r="EM209" t="s">
        <v>34</v>
      </c>
      <c r="EO209" t="s">
        <v>3</v>
      </c>
      <c r="EQ209">
        <v>0</v>
      </c>
      <c r="ER209">
        <v>63.87</v>
      </c>
      <c r="ES209">
        <v>63.87</v>
      </c>
      <c r="ET209">
        <v>0</v>
      </c>
      <c r="EU209">
        <v>0</v>
      </c>
      <c r="EV209">
        <v>0</v>
      </c>
      <c r="EW209">
        <v>0</v>
      </c>
      <c r="EX209">
        <v>0</v>
      </c>
      <c r="EY209">
        <v>0</v>
      </c>
      <c r="EZ209">
        <v>5</v>
      </c>
      <c r="FC209">
        <v>1</v>
      </c>
      <c r="FD209">
        <v>18</v>
      </c>
      <c r="FF209">
        <v>637</v>
      </c>
      <c r="FQ209">
        <v>0</v>
      </c>
      <c r="FR209">
        <f t="shared" si="242"/>
        <v>0</v>
      </c>
      <c r="FS209">
        <v>0</v>
      </c>
      <c r="FX209">
        <v>0</v>
      </c>
      <c r="FY209">
        <v>0</v>
      </c>
      <c r="GA209" t="s">
        <v>179</v>
      </c>
      <c r="GD209">
        <v>1</v>
      </c>
      <c r="GF209">
        <v>1483509074</v>
      </c>
      <c r="GG209">
        <v>2</v>
      </c>
      <c r="GH209">
        <v>3</v>
      </c>
      <c r="GI209">
        <v>4</v>
      </c>
      <c r="GJ209">
        <v>0</v>
      </c>
      <c r="GK209">
        <v>0</v>
      </c>
      <c r="GL209">
        <f t="shared" si="243"/>
        <v>0</v>
      </c>
      <c r="GM209">
        <f t="shared" si="244"/>
        <v>10436.61</v>
      </c>
      <c r="GN209">
        <f t="shared" si="245"/>
        <v>10436.61</v>
      </c>
      <c r="GO209">
        <f t="shared" si="246"/>
        <v>0</v>
      </c>
      <c r="GP209">
        <f t="shared" si="247"/>
        <v>0</v>
      </c>
      <c r="GR209">
        <v>1</v>
      </c>
      <c r="GS209">
        <v>1</v>
      </c>
      <c r="GT209">
        <v>0</v>
      </c>
      <c r="GU209" t="s">
        <v>3</v>
      </c>
      <c r="GV209">
        <f t="shared" si="248"/>
        <v>0</v>
      </c>
      <c r="GW209">
        <v>1</v>
      </c>
      <c r="GX209">
        <f t="shared" si="249"/>
        <v>0</v>
      </c>
      <c r="HA209">
        <v>0</v>
      </c>
      <c r="HB209">
        <v>0</v>
      </c>
      <c r="HC209">
        <f t="shared" si="250"/>
        <v>0</v>
      </c>
      <c r="HE209" t="s">
        <v>36</v>
      </c>
      <c r="HF209" t="s">
        <v>28</v>
      </c>
      <c r="HM209" t="s">
        <v>3</v>
      </c>
      <c r="HN209" t="s">
        <v>3</v>
      </c>
      <c r="HO209" t="s">
        <v>3</v>
      </c>
      <c r="HP209" t="s">
        <v>3</v>
      </c>
      <c r="HQ209" t="s">
        <v>3</v>
      </c>
      <c r="IK209">
        <v>0</v>
      </c>
    </row>
    <row r="210" spans="1:245" x14ac:dyDescent="0.2">
      <c r="A210">
        <v>17</v>
      </c>
      <c r="B210">
        <v>1</v>
      </c>
      <c r="E210" t="s">
        <v>484</v>
      </c>
      <c r="F210" t="s">
        <v>29</v>
      </c>
      <c r="G210" t="s">
        <v>181</v>
      </c>
      <c r="H210" t="s">
        <v>154</v>
      </c>
      <c r="I210">
        <v>81</v>
      </c>
      <c r="J210">
        <v>0</v>
      </c>
      <c r="K210">
        <v>81</v>
      </c>
      <c r="O210">
        <f t="shared" si="217"/>
        <v>1564.35</v>
      </c>
      <c r="P210">
        <f t="shared" si="218"/>
        <v>1564.35</v>
      </c>
      <c r="Q210">
        <f t="shared" si="219"/>
        <v>0</v>
      </c>
      <c r="R210">
        <f t="shared" si="220"/>
        <v>0</v>
      </c>
      <c r="S210">
        <f t="shared" si="221"/>
        <v>0</v>
      </c>
      <c r="T210">
        <f t="shared" si="222"/>
        <v>0</v>
      </c>
      <c r="U210">
        <f t="shared" si="223"/>
        <v>0</v>
      </c>
      <c r="V210">
        <f t="shared" si="224"/>
        <v>0</v>
      </c>
      <c r="W210">
        <f t="shared" si="225"/>
        <v>0</v>
      </c>
      <c r="X210">
        <f t="shared" si="226"/>
        <v>0</v>
      </c>
      <c r="Y210">
        <f t="shared" si="227"/>
        <v>0</v>
      </c>
      <c r="AA210">
        <v>145026783</v>
      </c>
      <c r="AB210">
        <f t="shared" si="228"/>
        <v>2.17</v>
      </c>
      <c r="AC210">
        <f t="shared" si="229"/>
        <v>2.17</v>
      </c>
      <c r="AD210">
        <f t="shared" si="251"/>
        <v>0</v>
      </c>
      <c r="AE210">
        <f t="shared" si="252"/>
        <v>0</v>
      </c>
      <c r="AF210">
        <f t="shared" si="252"/>
        <v>0</v>
      </c>
      <c r="AG210">
        <f t="shared" si="230"/>
        <v>0</v>
      </c>
      <c r="AH210">
        <f t="shared" si="253"/>
        <v>0</v>
      </c>
      <c r="AI210">
        <f t="shared" si="253"/>
        <v>0</v>
      </c>
      <c r="AJ210">
        <f t="shared" si="231"/>
        <v>0</v>
      </c>
      <c r="AK210">
        <v>2.17</v>
      </c>
      <c r="AL210">
        <v>2.17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1</v>
      </c>
      <c r="AW210">
        <v>1</v>
      </c>
      <c r="AZ210">
        <v>1</v>
      </c>
      <c r="BA210">
        <v>1</v>
      </c>
      <c r="BB210">
        <v>1</v>
      </c>
      <c r="BC210">
        <v>8.9</v>
      </c>
      <c r="BD210" t="s">
        <v>3</v>
      </c>
      <c r="BE210" t="s">
        <v>3</v>
      </c>
      <c r="BF210" t="s">
        <v>3</v>
      </c>
      <c r="BG210" t="s">
        <v>3</v>
      </c>
      <c r="BH210">
        <v>3</v>
      </c>
      <c r="BI210">
        <v>1</v>
      </c>
      <c r="BJ210" t="s">
        <v>3</v>
      </c>
      <c r="BM210">
        <v>1100</v>
      </c>
      <c r="BN210">
        <v>0</v>
      </c>
      <c r="BO210" t="s">
        <v>3</v>
      </c>
      <c r="BP210">
        <v>0</v>
      </c>
      <c r="BQ210">
        <v>8</v>
      </c>
      <c r="BR210">
        <v>0</v>
      </c>
      <c r="BS210">
        <v>1</v>
      </c>
      <c r="BT210">
        <v>1</v>
      </c>
      <c r="BU210">
        <v>1</v>
      </c>
      <c r="BV210">
        <v>1</v>
      </c>
      <c r="BW210">
        <v>1</v>
      </c>
      <c r="BX210">
        <v>1</v>
      </c>
      <c r="BY210" t="s">
        <v>3</v>
      </c>
      <c r="BZ210">
        <v>0</v>
      </c>
      <c r="CA210">
        <v>0</v>
      </c>
      <c r="CB210" t="s">
        <v>3</v>
      </c>
      <c r="CE210">
        <v>0</v>
      </c>
      <c r="CF210">
        <v>0</v>
      </c>
      <c r="CG210">
        <v>0</v>
      </c>
      <c r="CM210">
        <v>0</v>
      </c>
      <c r="CN210" t="s">
        <v>3</v>
      </c>
      <c r="CO210">
        <v>0</v>
      </c>
      <c r="CP210">
        <f t="shared" si="232"/>
        <v>1564.35</v>
      </c>
      <c r="CQ210">
        <f t="shared" si="233"/>
        <v>19.312999999999999</v>
      </c>
      <c r="CR210">
        <f t="shared" si="254"/>
        <v>0</v>
      </c>
      <c r="CS210">
        <f t="shared" si="234"/>
        <v>0</v>
      </c>
      <c r="CT210">
        <f t="shared" si="235"/>
        <v>0</v>
      </c>
      <c r="CU210">
        <f t="shared" si="236"/>
        <v>0</v>
      </c>
      <c r="CV210">
        <f t="shared" si="237"/>
        <v>0</v>
      </c>
      <c r="CW210">
        <f t="shared" si="238"/>
        <v>0</v>
      </c>
      <c r="CX210">
        <f t="shared" si="239"/>
        <v>0</v>
      </c>
      <c r="CY210">
        <f t="shared" si="240"/>
        <v>0</v>
      </c>
      <c r="CZ210">
        <f t="shared" si="241"/>
        <v>0</v>
      </c>
      <c r="DC210" t="s">
        <v>3</v>
      </c>
      <c r="DD210" t="s">
        <v>3</v>
      </c>
      <c r="DE210" t="s">
        <v>3</v>
      </c>
      <c r="DF210" t="s">
        <v>3</v>
      </c>
      <c r="DG210" t="s">
        <v>3</v>
      </c>
      <c r="DH210" t="s">
        <v>3</v>
      </c>
      <c r="DI210" t="s">
        <v>3</v>
      </c>
      <c r="DJ210" t="s">
        <v>3</v>
      </c>
      <c r="DK210" t="s">
        <v>3</v>
      </c>
      <c r="DL210" t="s">
        <v>3</v>
      </c>
      <c r="DM210" t="s">
        <v>3</v>
      </c>
      <c r="DN210">
        <v>0</v>
      </c>
      <c r="DO210">
        <v>0</v>
      </c>
      <c r="DP210">
        <v>1</v>
      </c>
      <c r="DQ210">
        <v>1</v>
      </c>
      <c r="DU210">
        <v>1009</v>
      </c>
      <c r="DV210" t="s">
        <v>154</v>
      </c>
      <c r="DW210" t="s">
        <v>154</v>
      </c>
      <c r="DX210">
        <v>1</v>
      </c>
      <c r="DZ210" t="s">
        <v>3</v>
      </c>
      <c r="EA210" t="s">
        <v>3</v>
      </c>
      <c r="EB210" t="s">
        <v>3</v>
      </c>
      <c r="EC210" t="s">
        <v>3</v>
      </c>
      <c r="EE210">
        <v>140625274</v>
      </c>
      <c r="EF210">
        <v>8</v>
      </c>
      <c r="EG210" t="s">
        <v>32</v>
      </c>
      <c r="EH210">
        <v>0</v>
      </c>
      <c r="EI210" t="s">
        <v>3</v>
      </c>
      <c r="EJ210">
        <v>1</v>
      </c>
      <c r="EK210">
        <v>1100</v>
      </c>
      <c r="EL210" t="s">
        <v>33</v>
      </c>
      <c r="EM210" t="s">
        <v>34</v>
      </c>
      <c r="EO210" t="s">
        <v>3</v>
      </c>
      <c r="EQ210">
        <v>0</v>
      </c>
      <c r="ER210">
        <v>2.17</v>
      </c>
      <c r="ES210">
        <v>2.17</v>
      </c>
      <c r="ET210">
        <v>0</v>
      </c>
      <c r="EU210">
        <v>0</v>
      </c>
      <c r="EV210">
        <v>0</v>
      </c>
      <c r="EW210">
        <v>0</v>
      </c>
      <c r="EX210">
        <v>0</v>
      </c>
      <c r="EY210">
        <v>0</v>
      </c>
      <c r="EZ210">
        <v>5</v>
      </c>
      <c r="FC210">
        <v>1</v>
      </c>
      <c r="FD210">
        <v>18</v>
      </c>
      <c r="FF210">
        <v>21.64</v>
      </c>
      <c r="FQ210">
        <v>0</v>
      </c>
      <c r="FR210">
        <f t="shared" si="242"/>
        <v>0</v>
      </c>
      <c r="FS210">
        <v>0</v>
      </c>
      <c r="FX210">
        <v>0</v>
      </c>
      <c r="FY210">
        <v>0</v>
      </c>
      <c r="GA210" t="s">
        <v>182</v>
      </c>
      <c r="GD210">
        <v>1</v>
      </c>
      <c r="GF210">
        <v>-707210353</v>
      </c>
      <c r="GG210">
        <v>2</v>
      </c>
      <c r="GH210">
        <v>3</v>
      </c>
      <c r="GI210">
        <v>4</v>
      </c>
      <c r="GJ210">
        <v>0</v>
      </c>
      <c r="GK210">
        <v>0</v>
      </c>
      <c r="GL210">
        <f t="shared" si="243"/>
        <v>0</v>
      </c>
      <c r="GM210">
        <f t="shared" si="244"/>
        <v>1564.35</v>
      </c>
      <c r="GN210">
        <f t="shared" si="245"/>
        <v>1564.35</v>
      </c>
      <c r="GO210">
        <f t="shared" si="246"/>
        <v>0</v>
      </c>
      <c r="GP210">
        <f t="shared" si="247"/>
        <v>0</v>
      </c>
      <c r="GR210">
        <v>1</v>
      </c>
      <c r="GS210">
        <v>1</v>
      </c>
      <c r="GT210">
        <v>0</v>
      </c>
      <c r="GU210" t="s">
        <v>3</v>
      </c>
      <c r="GV210">
        <f t="shared" si="248"/>
        <v>0</v>
      </c>
      <c r="GW210">
        <v>1</v>
      </c>
      <c r="GX210">
        <f t="shared" si="249"/>
        <v>0</v>
      </c>
      <c r="HA210">
        <v>0</v>
      </c>
      <c r="HB210">
        <v>0</v>
      </c>
      <c r="HC210">
        <f t="shared" si="250"/>
        <v>0</v>
      </c>
      <c r="HE210" t="s">
        <v>36</v>
      </c>
      <c r="HF210" t="s">
        <v>28</v>
      </c>
      <c r="HM210" t="s">
        <v>3</v>
      </c>
      <c r="HN210" t="s">
        <v>3</v>
      </c>
      <c r="HO210" t="s">
        <v>3</v>
      </c>
      <c r="HP210" t="s">
        <v>3</v>
      </c>
      <c r="HQ210" t="s">
        <v>3</v>
      </c>
      <c r="IK210">
        <v>0</v>
      </c>
    </row>
    <row r="211" spans="1:245" x14ac:dyDescent="0.2">
      <c r="A211">
        <v>17</v>
      </c>
      <c r="B211">
        <v>1</v>
      </c>
      <c r="E211" t="s">
        <v>485</v>
      </c>
      <c r="F211" t="s">
        <v>29</v>
      </c>
      <c r="G211" t="s">
        <v>184</v>
      </c>
      <c r="H211" t="s">
        <v>154</v>
      </c>
      <c r="I211">
        <v>9</v>
      </c>
      <c r="J211">
        <v>0</v>
      </c>
      <c r="K211">
        <v>9</v>
      </c>
      <c r="O211">
        <f t="shared" si="217"/>
        <v>1084.55</v>
      </c>
      <c r="P211">
        <f t="shared" si="218"/>
        <v>1084.55</v>
      </c>
      <c r="Q211">
        <f t="shared" si="219"/>
        <v>0</v>
      </c>
      <c r="R211">
        <f t="shared" si="220"/>
        <v>0</v>
      </c>
      <c r="S211">
        <f t="shared" si="221"/>
        <v>0</v>
      </c>
      <c r="T211">
        <f t="shared" si="222"/>
        <v>0</v>
      </c>
      <c r="U211">
        <f t="shared" si="223"/>
        <v>0</v>
      </c>
      <c r="V211">
        <f t="shared" si="224"/>
        <v>0</v>
      </c>
      <c r="W211">
        <f t="shared" si="225"/>
        <v>0</v>
      </c>
      <c r="X211">
        <f t="shared" si="226"/>
        <v>0</v>
      </c>
      <c r="Y211">
        <f t="shared" si="227"/>
        <v>0</v>
      </c>
      <c r="AA211">
        <v>145026783</v>
      </c>
      <c r="AB211">
        <f t="shared" si="228"/>
        <v>13.54</v>
      </c>
      <c r="AC211">
        <f t="shared" si="229"/>
        <v>13.54</v>
      </c>
      <c r="AD211">
        <f t="shared" si="251"/>
        <v>0</v>
      </c>
      <c r="AE211">
        <f t="shared" si="252"/>
        <v>0</v>
      </c>
      <c r="AF211">
        <f t="shared" si="252"/>
        <v>0</v>
      </c>
      <c r="AG211">
        <f t="shared" si="230"/>
        <v>0</v>
      </c>
      <c r="AH211">
        <f t="shared" si="253"/>
        <v>0</v>
      </c>
      <c r="AI211">
        <f t="shared" si="253"/>
        <v>0</v>
      </c>
      <c r="AJ211">
        <f t="shared" si="231"/>
        <v>0</v>
      </c>
      <c r="AK211">
        <v>13.540000000000001</v>
      </c>
      <c r="AL211">
        <v>13.540000000000001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1</v>
      </c>
      <c r="AW211">
        <v>1</v>
      </c>
      <c r="AZ211">
        <v>1</v>
      </c>
      <c r="BA211">
        <v>1</v>
      </c>
      <c r="BB211">
        <v>1</v>
      </c>
      <c r="BC211">
        <v>8.9</v>
      </c>
      <c r="BD211" t="s">
        <v>3</v>
      </c>
      <c r="BE211" t="s">
        <v>3</v>
      </c>
      <c r="BF211" t="s">
        <v>3</v>
      </c>
      <c r="BG211" t="s">
        <v>3</v>
      </c>
      <c r="BH211">
        <v>3</v>
      </c>
      <c r="BI211">
        <v>1</v>
      </c>
      <c r="BJ211" t="s">
        <v>3</v>
      </c>
      <c r="BM211">
        <v>1100</v>
      </c>
      <c r="BN211">
        <v>0</v>
      </c>
      <c r="BO211" t="s">
        <v>3</v>
      </c>
      <c r="BP211">
        <v>0</v>
      </c>
      <c r="BQ211">
        <v>8</v>
      </c>
      <c r="BR211">
        <v>0</v>
      </c>
      <c r="BS211">
        <v>1</v>
      </c>
      <c r="BT211">
        <v>1</v>
      </c>
      <c r="BU211">
        <v>1</v>
      </c>
      <c r="BV211">
        <v>1</v>
      </c>
      <c r="BW211">
        <v>1</v>
      </c>
      <c r="BX211">
        <v>1</v>
      </c>
      <c r="BY211" t="s">
        <v>3</v>
      </c>
      <c r="BZ211">
        <v>0</v>
      </c>
      <c r="CA211">
        <v>0</v>
      </c>
      <c r="CB211" t="s">
        <v>3</v>
      </c>
      <c r="CE211">
        <v>0</v>
      </c>
      <c r="CF211">
        <v>0</v>
      </c>
      <c r="CG211">
        <v>0</v>
      </c>
      <c r="CM211">
        <v>0</v>
      </c>
      <c r="CN211" t="s">
        <v>3</v>
      </c>
      <c r="CO211">
        <v>0</v>
      </c>
      <c r="CP211">
        <f t="shared" si="232"/>
        <v>1084.55</v>
      </c>
      <c r="CQ211">
        <f t="shared" si="233"/>
        <v>120.506</v>
      </c>
      <c r="CR211">
        <f t="shared" si="254"/>
        <v>0</v>
      </c>
      <c r="CS211">
        <f t="shared" si="234"/>
        <v>0</v>
      </c>
      <c r="CT211">
        <f t="shared" si="235"/>
        <v>0</v>
      </c>
      <c r="CU211">
        <f t="shared" si="236"/>
        <v>0</v>
      </c>
      <c r="CV211">
        <f t="shared" si="237"/>
        <v>0</v>
      </c>
      <c r="CW211">
        <f t="shared" si="238"/>
        <v>0</v>
      </c>
      <c r="CX211">
        <f t="shared" si="239"/>
        <v>0</v>
      </c>
      <c r="CY211">
        <f t="shared" si="240"/>
        <v>0</v>
      </c>
      <c r="CZ211">
        <f t="shared" si="241"/>
        <v>0</v>
      </c>
      <c r="DC211" t="s">
        <v>3</v>
      </c>
      <c r="DD211" t="s">
        <v>3</v>
      </c>
      <c r="DE211" t="s">
        <v>3</v>
      </c>
      <c r="DF211" t="s">
        <v>3</v>
      </c>
      <c r="DG211" t="s">
        <v>3</v>
      </c>
      <c r="DH211" t="s">
        <v>3</v>
      </c>
      <c r="DI211" t="s">
        <v>3</v>
      </c>
      <c r="DJ211" t="s">
        <v>3</v>
      </c>
      <c r="DK211" t="s">
        <v>3</v>
      </c>
      <c r="DL211" t="s">
        <v>3</v>
      </c>
      <c r="DM211" t="s">
        <v>3</v>
      </c>
      <c r="DN211">
        <v>0</v>
      </c>
      <c r="DO211">
        <v>0</v>
      </c>
      <c r="DP211">
        <v>1</v>
      </c>
      <c r="DQ211">
        <v>1</v>
      </c>
      <c r="DU211">
        <v>1009</v>
      </c>
      <c r="DV211" t="s">
        <v>154</v>
      </c>
      <c r="DW211" t="s">
        <v>154</v>
      </c>
      <c r="DX211">
        <v>1</v>
      </c>
      <c r="DZ211" t="s">
        <v>3</v>
      </c>
      <c r="EA211" t="s">
        <v>3</v>
      </c>
      <c r="EB211" t="s">
        <v>3</v>
      </c>
      <c r="EC211" t="s">
        <v>3</v>
      </c>
      <c r="EE211">
        <v>140625274</v>
      </c>
      <c r="EF211">
        <v>8</v>
      </c>
      <c r="EG211" t="s">
        <v>32</v>
      </c>
      <c r="EH211">
        <v>0</v>
      </c>
      <c r="EI211" t="s">
        <v>3</v>
      </c>
      <c r="EJ211">
        <v>1</v>
      </c>
      <c r="EK211">
        <v>1100</v>
      </c>
      <c r="EL211" t="s">
        <v>33</v>
      </c>
      <c r="EM211" t="s">
        <v>34</v>
      </c>
      <c r="EO211" t="s">
        <v>3</v>
      </c>
      <c r="EQ211">
        <v>0</v>
      </c>
      <c r="ER211">
        <v>13.540000000000001</v>
      </c>
      <c r="ES211">
        <v>13.540000000000001</v>
      </c>
      <c r="ET211">
        <v>0</v>
      </c>
      <c r="EU211">
        <v>0</v>
      </c>
      <c r="EV211">
        <v>0</v>
      </c>
      <c r="EW211">
        <v>0</v>
      </c>
      <c r="EX211">
        <v>0</v>
      </c>
      <c r="EY211">
        <v>0</v>
      </c>
      <c r="EZ211">
        <v>5</v>
      </c>
      <c r="FC211">
        <v>1</v>
      </c>
      <c r="FD211">
        <v>18</v>
      </c>
      <c r="FF211">
        <v>135</v>
      </c>
      <c r="FQ211">
        <v>0</v>
      </c>
      <c r="FR211">
        <f t="shared" si="242"/>
        <v>0</v>
      </c>
      <c r="FS211">
        <v>0</v>
      </c>
      <c r="FX211">
        <v>0</v>
      </c>
      <c r="FY211">
        <v>0</v>
      </c>
      <c r="GA211" t="s">
        <v>185</v>
      </c>
      <c r="GD211">
        <v>1</v>
      </c>
      <c r="GF211">
        <v>-1854833190</v>
      </c>
      <c r="GG211">
        <v>2</v>
      </c>
      <c r="GH211">
        <v>3</v>
      </c>
      <c r="GI211">
        <v>4</v>
      </c>
      <c r="GJ211">
        <v>0</v>
      </c>
      <c r="GK211">
        <v>0</v>
      </c>
      <c r="GL211">
        <f t="shared" si="243"/>
        <v>0</v>
      </c>
      <c r="GM211">
        <f t="shared" si="244"/>
        <v>1084.55</v>
      </c>
      <c r="GN211">
        <f t="shared" si="245"/>
        <v>1084.55</v>
      </c>
      <c r="GO211">
        <f t="shared" si="246"/>
        <v>0</v>
      </c>
      <c r="GP211">
        <f t="shared" si="247"/>
        <v>0</v>
      </c>
      <c r="GR211">
        <v>1</v>
      </c>
      <c r="GS211">
        <v>1</v>
      </c>
      <c r="GT211">
        <v>0</v>
      </c>
      <c r="GU211" t="s">
        <v>3</v>
      </c>
      <c r="GV211">
        <f t="shared" si="248"/>
        <v>0</v>
      </c>
      <c r="GW211">
        <v>1</v>
      </c>
      <c r="GX211">
        <f t="shared" si="249"/>
        <v>0</v>
      </c>
      <c r="HA211">
        <v>0</v>
      </c>
      <c r="HB211">
        <v>0</v>
      </c>
      <c r="HC211">
        <f t="shared" si="250"/>
        <v>0</v>
      </c>
      <c r="HE211" t="s">
        <v>36</v>
      </c>
      <c r="HF211" t="s">
        <v>28</v>
      </c>
      <c r="HM211" t="s">
        <v>3</v>
      </c>
      <c r="HN211" t="s">
        <v>3</v>
      </c>
      <c r="HO211" t="s">
        <v>3</v>
      </c>
      <c r="HP211" t="s">
        <v>3</v>
      </c>
      <c r="HQ211" t="s">
        <v>3</v>
      </c>
      <c r="IK211">
        <v>0</v>
      </c>
    </row>
    <row r="212" spans="1:245" x14ac:dyDescent="0.2">
      <c r="A212">
        <v>17</v>
      </c>
      <c r="B212">
        <v>1</v>
      </c>
      <c r="C212">
        <f>ROW(SmtRes!A234)</f>
        <v>234</v>
      </c>
      <c r="D212">
        <f>ROW(EtalonRes!A265)</f>
        <v>265</v>
      </c>
      <c r="E212" t="s">
        <v>486</v>
      </c>
      <c r="F212" t="s">
        <v>487</v>
      </c>
      <c r="G212" t="s">
        <v>488</v>
      </c>
      <c r="H212" t="s">
        <v>53</v>
      </c>
      <c r="I212">
        <f>ROUND(24/100,9)</f>
        <v>0.24</v>
      </c>
      <c r="J212">
        <v>0</v>
      </c>
      <c r="K212">
        <f>ROUND(24/100,9)</f>
        <v>0.24</v>
      </c>
      <c r="O212">
        <f t="shared" si="217"/>
        <v>1425.73</v>
      </c>
      <c r="P212">
        <f t="shared" si="218"/>
        <v>171.73</v>
      </c>
      <c r="Q212">
        <f t="shared" si="219"/>
        <v>0</v>
      </c>
      <c r="R212">
        <f t="shared" si="220"/>
        <v>0</v>
      </c>
      <c r="S212">
        <f t="shared" si="221"/>
        <v>1254</v>
      </c>
      <c r="T212">
        <f t="shared" si="222"/>
        <v>0</v>
      </c>
      <c r="U212">
        <f t="shared" si="223"/>
        <v>4.5926399999999994</v>
      </c>
      <c r="V212">
        <f t="shared" si="224"/>
        <v>0</v>
      </c>
      <c r="W212">
        <f t="shared" si="225"/>
        <v>0</v>
      </c>
      <c r="X212">
        <f t="shared" si="226"/>
        <v>1404.48</v>
      </c>
      <c r="Y212">
        <f t="shared" si="227"/>
        <v>692.84</v>
      </c>
      <c r="AA212">
        <v>145026783</v>
      </c>
      <c r="AB212">
        <f t="shared" si="228"/>
        <v>243.63</v>
      </c>
      <c r="AC212">
        <f t="shared" si="229"/>
        <v>80.400000000000006</v>
      </c>
      <c r="AD212">
        <f>ROUND(((((ET212*1.25))-((EU212*1.25)))+AE212),2)</f>
        <v>0</v>
      </c>
      <c r="AE212">
        <f>ROUND(((EU212*1.25)),2)</f>
        <v>0</v>
      </c>
      <c r="AF212">
        <f>ROUND(((EV212*1.15)),2)</f>
        <v>163.22999999999999</v>
      </c>
      <c r="AG212">
        <f t="shared" si="230"/>
        <v>0</v>
      </c>
      <c r="AH212">
        <f>((EW212*1.15))</f>
        <v>19.135999999999999</v>
      </c>
      <c r="AI212">
        <f>((EX212*1.25))</f>
        <v>0</v>
      </c>
      <c r="AJ212">
        <f t="shared" si="231"/>
        <v>0</v>
      </c>
      <c r="AK212">
        <v>222.34</v>
      </c>
      <c r="AL212">
        <v>80.400000000000006</v>
      </c>
      <c r="AM212">
        <v>0</v>
      </c>
      <c r="AN212">
        <v>0</v>
      </c>
      <c r="AO212">
        <v>141.94</v>
      </c>
      <c r="AP212">
        <v>0</v>
      </c>
      <c r="AQ212">
        <v>16.64</v>
      </c>
      <c r="AR212">
        <v>0</v>
      </c>
      <c r="AS212">
        <v>0</v>
      </c>
      <c r="AT212">
        <v>112</v>
      </c>
      <c r="AU212">
        <v>55.25</v>
      </c>
      <c r="AV212">
        <v>1</v>
      </c>
      <c r="AW212">
        <v>1</v>
      </c>
      <c r="AZ212">
        <v>1</v>
      </c>
      <c r="BA212">
        <v>32.01</v>
      </c>
      <c r="BB212">
        <v>12.44</v>
      </c>
      <c r="BC212">
        <v>8.9</v>
      </c>
      <c r="BD212" t="s">
        <v>3</v>
      </c>
      <c r="BE212" t="s">
        <v>3</v>
      </c>
      <c r="BF212" t="s">
        <v>3</v>
      </c>
      <c r="BG212" t="s">
        <v>3</v>
      </c>
      <c r="BH212">
        <v>0</v>
      </c>
      <c r="BI212">
        <v>1</v>
      </c>
      <c r="BJ212" t="s">
        <v>489</v>
      </c>
      <c r="BM212">
        <v>11001</v>
      </c>
      <c r="BN212">
        <v>0</v>
      </c>
      <c r="BO212" t="s">
        <v>3</v>
      </c>
      <c r="BP212">
        <v>0</v>
      </c>
      <c r="BQ212">
        <v>2</v>
      </c>
      <c r="BR212">
        <v>0</v>
      </c>
      <c r="BS212">
        <v>32.01</v>
      </c>
      <c r="BT212">
        <v>1</v>
      </c>
      <c r="BU212">
        <v>1</v>
      </c>
      <c r="BV212">
        <v>1</v>
      </c>
      <c r="BW212">
        <v>1</v>
      </c>
      <c r="BX212">
        <v>1</v>
      </c>
      <c r="BY212" t="s">
        <v>3</v>
      </c>
      <c r="BZ212">
        <v>112</v>
      </c>
      <c r="CA212">
        <v>65</v>
      </c>
      <c r="CB212" t="s">
        <v>3</v>
      </c>
      <c r="CE212">
        <v>0</v>
      </c>
      <c r="CF212">
        <v>0</v>
      </c>
      <c r="CG212">
        <v>0</v>
      </c>
      <c r="CM212">
        <v>0</v>
      </c>
      <c r="CN212" t="s">
        <v>160</v>
      </c>
      <c r="CO212">
        <v>0</v>
      </c>
      <c r="CP212">
        <f t="shared" si="232"/>
        <v>1425.73</v>
      </c>
      <c r="CQ212">
        <f t="shared" si="233"/>
        <v>715.56000000000006</v>
      </c>
      <c r="CR212">
        <f>((((ET212*1.25))*BB212-((EU212*1.25))*BS212)+AE212*BS212)</f>
        <v>0</v>
      </c>
      <c r="CS212">
        <f t="shared" si="234"/>
        <v>0</v>
      </c>
      <c r="CT212">
        <f t="shared" si="235"/>
        <v>5224.992299999999</v>
      </c>
      <c r="CU212">
        <f t="shared" si="236"/>
        <v>0</v>
      </c>
      <c r="CV212">
        <f t="shared" si="237"/>
        <v>19.135999999999999</v>
      </c>
      <c r="CW212">
        <f t="shared" si="238"/>
        <v>0</v>
      </c>
      <c r="CX212">
        <f t="shared" si="239"/>
        <v>0</v>
      </c>
      <c r="CY212">
        <f t="shared" si="240"/>
        <v>1404.48</v>
      </c>
      <c r="CZ212">
        <f t="shared" si="241"/>
        <v>692.83500000000004</v>
      </c>
      <c r="DC212" t="s">
        <v>3</v>
      </c>
      <c r="DD212" t="s">
        <v>3</v>
      </c>
      <c r="DE212" t="s">
        <v>148</v>
      </c>
      <c r="DF212" t="s">
        <v>148</v>
      </c>
      <c r="DG212" t="s">
        <v>149</v>
      </c>
      <c r="DH212" t="s">
        <v>3</v>
      </c>
      <c r="DI212" t="s">
        <v>149</v>
      </c>
      <c r="DJ212" t="s">
        <v>148</v>
      </c>
      <c r="DK212" t="s">
        <v>3</v>
      </c>
      <c r="DL212" t="s">
        <v>3</v>
      </c>
      <c r="DM212" t="s">
        <v>150</v>
      </c>
      <c r="DN212">
        <v>0</v>
      </c>
      <c r="DO212">
        <v>0</v>
      </c>
      <c r="DP212">
        <v>1</v>
      </c>
      <c r="DQ212">
        <v>1</v>
      </c>
      <c r="DU212">
        <v>1003</v>
      </c>
      <c r="DV212" t="s">
        <v>53</v>
      </c>
      <c r="DW212" t="s">
        <v>53</v>
      </c>
      <c r="DX212">
        <v>100</v>
      </c>
      <c r="DZ212" t="s">
        <v>3</v>
      </c>
      <c r="EA212" t="s">
        <v>3</v>
      </c>
      <c r="EB212" t="s">
        <v>3</v>
      </c>
      <c r="EC212" t="s">
        <v>3</v>
      </c>
      <c r="EE212">
        <v>140625030</v>
      </c>
      <c r="EF212">
        <v>2</v>
      </c>
      <c r="EG212" t="s">
        <v>95</v>
      </c>
      <c r="EH212">
        <v>11</v>
      </c>
      <c r="EI212" t="s">
        <v>42</v>
      </c>
      <c r="EJ212">
        <v>1</v>
      </c>
      <c r="EK212">
        <v>11001</v>
      </c>
      <c r="EL212" t="s">
        <v>42</v>
      </c>
      <c r="EM212" t="s">
        <v>161</v>
      </c>
      <c r="EO212" t="s">
        <v>162</v>
      </c>
      <c r="EQ212">
        <v>0</v>
      </c>
      <c r="ER212">
        <v>222.34</v>
      </c>
      <c r="ES212">
        <v>80.400000000000006</v>
      </c>
      <c r="ET212">
        <v>0</v>
      </c>
      <c r="EU212">
        <v>0</v>
      </c>
      <c r="EV212">
        <v>141.94</v>
      </c>
      <c r="EW212">
        <v>16.64</v>
      </c>
      <c r="EX212">
        <v>0</v>
      </c>
      <c r="EY212">
        <v>0</v>
      </c>
      <c r="FQ212">
        <v>0</v>
      </c>
      <c r="FR212">
        <f t="shared" si="242"/>
        <v>0</v>
      </c>
      <c r="FS212">
        <v>0</v>
      </c>
      <c r="FX212">
        <v>112</v>
      </c>
      <c r="FY212">
        <v>55.25</v>
      </c>
      <c r="GA212" t="s">
        <v>3</v>
      </c>
      <c r="GD212">
        <v>1</v>
      </c>
      <c r="GF212">
        <v>485836847</v>
      </c>
      <c r="GG212">
        <v>2</v>
      </c>
      <c r="GH212">
        <v>1</v>
      </c>
      <c r="GI212">
        <v>4</v>
      </c>
      <c r="GJ212">
        <v>0</v>
      </c>
      <c r="GK212">
        <v>0</v>
      </c>
      <c r="GL212">
        <f t="shared" si="243"/>
        <v>0</v>
      </c>
      <c r="GM212">
        <f t="shared" si="244"/>
        <v>3523.05</v>
      </c>
      <c r="GN212">
        <f t="shared" si="245"/>
        <v>3523.05</v>
      </c>
      <c r="GO212">
        <f t="shared" si="246"/>
        <v>0</v>
      </c>
      <c r="GP212">
        <f t="shared" si="247"/>
        <v>0</v>
      </c>
      <c r="GR212">
        <v>0</v>
      </c>
      <c r="GS212">
        <v>3</v>
      </c>
      <c r="GT212">
        <v>0</v>
      </c>
      <c r="GU212" t="s">
        <v>3</v>
      </c>
      <c r="GV212">
        <f t="shared" si="248"/>
        <v>0</v>
      </c>
      <c r="GW212">
        <v>1</v>
      </c>
      <c r="GX212">
        <f t="shared" si="249"/>
        <v>0</v>
      </c>
      <c r="HA212">
        <v>0</v>
      </c>
      <c r="HB212">
        <v>0</v>
      </c>
      <c r="HC212">
        <f t="shared" si="250"/>
        <v>0</v>
      </c>
      <c r="HE212" t="s">
        <v>3</v>
      </c>
      <c r="HF212" t="s">
        <v>3</v>
      </c>
      <c r="HM212" t="s">
        <v>3</v>
      </c>
      <c r="HN212" t="s">
        <v>163</v>
      </c>
      <c r="HO212" t="s">
        <v>164</v>
      </c>
      <c r="HP212" t="s">
        <v>42</v>
      </c>
      <c r="HQ212" t="s">
        <v>42</v>
      </c>
      <c r="IK212">
        <v>0</v>
      </c>
    </row>
    <row r="213" spans="1:245" x14ac:dyDescent="0.2">
      <c r="A213">
        <v>17</v>
      </c>
      <c r="B213">
        <v>1</v>
      </c>
      <c r="E213" t="s">
        <v>490</v>
      </c>
      <c r="F213" t="s">
        <v>29</v>
      </c>
      <c r="G213" t="s">
        <v>491</v>
      </c>
      <c r="H213" t="s">
        <v>213</v>
      </c>
      <c r="I213">
        <v>12</v>
      </c>
      <c r="J213">
        <v>0</v>
      </c>
      <c r="K213">
        <v>12</v>
      </c>
      <c r="O213">
        <f t="shared" si="217"/>
        <v>12830.95</v>
      </c>
      <c r="P213">
        <f t="shared" si="218"/>
        <v>12830.95</v>
      </c>
      <c r="Q213">
        <f t="shared" si="219"/>
        <v>0</v>
      </c>
      <c r="R213">
        <f t="shared" si="220"/>
        <v>0</v>
      </c>
      <c r="S213">
        <f t="shared" si="221"/>
        <v>0</v>
      </c>
      <c r="T213">
        <f t="shared" si="222"/>
        <v>0</v>
      </c>
      <c r="U213">
        <f t="shared" si="223"/>
        <v>0</v>
      </c>
      <c r="V213">
        <f t="shared" si="224"/>
        <v>0</v>
      </c>
      <c r="W213">
        <f t="shared" si="225"/>
        <v>0</v>
      </c>
      <c r="X213">
        <f t="shared" si="226"/>
        <v>0</v>
      </c>
      <c r="Y213">
        <f t="shared" si="227"/>
        <v>0</v>
      </c>
      <c r="AA213">
        <v>145026783</v>
      </c>
      <c r="AB213">
        <f t="shared" si="228"/>
        <v>120.14</v>
      </c>
      <c r="AC213">
        <f t="shared" si="229"/>
        <v>120.14</v>
      </c>
      <c r="AD213">
        <f>ROUND((((ET213)-(EU213))+AE213),2)</f>
        <v>0</v>
      </c>
      <c r="AE213">
        <f>ROUND((EU213),2)</f>
        <v>0</v>
      </c>
      <c r="AF213">
        <f>ROUND((EV213),2)</f>
        <v>0</v>
      </c>
      <c r="AG213">
        <f t="shared" si="230"/>
        <v>0</v>
      </c>
      <c r="AH213">
        <f>(EW213)</f>
        <v>0</v>
      </c>
      <c r="AI213">
        <f>(EX213)</f>
        <v>0</v>
      </c>
      <c r="AJ213">
        <f t="shared" si="231"/>
        <v>0</v>
      </c>
      <c r="AK213">
        <v>120.14</v>
      </c>
      <c r="AL213">
        <v>120.14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1</v>
      </c>
      <c r="AW213">
        <v>1</v>
      </c>
      <c r="AZ213">
        <v>1</v>
      </c>
      <c r="BA213">
        <v>1</v>
      </c>
      <c r="BB213">
        <v>1</v>
      </c>
      <c r="BC213">
        <v>8.9</v>
      </c>
      <c r="BD213" t="s">
        <v>3</v>
      </c>
      <c r="BE213" t="s">
        <v>3</v>
      </c>
      <c r="BF213" t="s">
        <v>3</v>
      </c>
      <c r="BG213" t="s">
        <v>3</v>
      </c>
      <c r="BH213">
        <v>3</v>
      </c>
      <c r="BI213">
        <v>1</v>
      </c>
      <c r="BJ213" t="s">
        <v>3</v>
      </c>
      <c r="BM213">
        <v>1100</v>
      </c>
      <c r="BN213">
        <v>0</v>
      </c>
      <c r="BO213" t="s">
        <v>3</v>
      </c>
      <c r="BP213">
        <v>0</v>
      </c>
      <c r="BQ213">
        <v>8</v>
      </c>
      <c r="BR213">
        <v>0</v>
      </c>
      <c r="BS213">
        <v>1</v>
      </c>
      <c r="BT213">
        <v>1</v>
      </c>
      <c r="BU213">
        <v>1</v>
      </c>
      <c r="BV213">
        <v>1</v>
      </c>
      <c r="BW213">
        <v>1</v>
      </c>
      <c r="BX213">
        <v>1</v>
      </c>
      <c r="BY213" t="s">
        <v>3</v>
      </c>
      <c r="BZ213">
        <v>0</v>
      </c>
      <c r="CA213">
        <v>0</v>
      </c>
      <c r="CB213" t="s">
        <v>3</v>
      </c>
      <c r="CE213">
        <v>0</v>
      </c>
      <c r="CF213">
        <v>0</v>
      </c>
      <c r="CG213">
        <v>0</v>
      </c>
      <c r="CM213">
        <v>0</v>
      </c>
      <c r="CN213" t="s">
        <v>3</v>
      </c>
      <c r="CO213">
        <v>0</v>
      </c>
      <c r="CP213">
        <f t="shared" si="232"/>
        <v>12830.95</v>
      </c>
      <c r="CQ213">
        <f t="shared" si="233"/>
        <v>1069.2460000000001</v>
      </c>
      <c r="CR213">
        <f>(((ET213)*BB213-(EU213)*BS213)+AE213*BS213)</f>
        <v>0</v>
      </c>
      <c r="CS213">
        <f t="shared" si="234"/>
        <v>0</v>
      </c>
      <c r="CT213">
        <f t="shared" si="235"/>
        <v>0</v>
      </c>
      <c r="CU213">
        <f t="shared" si="236"/>
        <v>0</v>
      </c>
      <c r="CV213">
        <f t="shared" si="237"/>
        <v>0</v>
      </c>
      <c r="CW213">
        <f t="shared" si="238"/>
        <v>0</v>
      </c>
      <c r="CX213">
        <f t="shared" si="239"/>
        <v>0</v>
      </c>
      <c r="CY213">
        <f t="shared" si="240"/>
        <v>0</v>
      </c>
      <c r="CZ213">
        <f t="shared" si="241"/>
        <v>0</v>
      </c>
      <c r="DC213" t="s">
        <v>3</v>
      </c>
      <c r="DD213" t="s">
        <v>3</v>
      </c>
      <c r="DE213" t="s">
        <v>3</v>
      </c>
      <c r="DF213" t="s">
        <v>3</v>
      </c>
      <c r="DG213" t="s">
        <v>3</v>
      </c>
      <c r="DH213" t="s">
        <v>3</v>
      </c>
      <c r="DI213" t="s">
        <v>3</v>
      </c>
      <c r="DJ213" t="s">
        <v>3</v>
      </c>
      <c r="DK213" t="s">
        <v>3</v>
      </c>
      <c r="DL213" t="s">
        <v>3</v>
      </c>
      <c r="DM213" t="s">
        <v>3</v>
      </c>
      <c r="DN213">
        <v>0</v>
      </c>
      <c r="DO213">
        <v>0</v>
      </c>
      <c r="DP213">
        <v>1</v>
      </c>
      <c r="DQ213">
        <v>1</v>
      </c>
      <c r="DU213">
        <v>1013</v>
      </c>
      <c r="DV213" t="s">
        <v>213</v>
      </c>
      <c r="DW213" t="s">
        <v>213</v>
      </c>
      <c r="DX213">
        <v>1</v>
      </c>
      <c r="DZ213" t="s">
        <v>3</v>
      </c>
      <c r="EA213" t="s">
        <v>3</v>
      </c>
      <c r="EB213" t="s">
        <v>3</v>
      </c>
      <c r="EC213" t="s">
        <v>3</v>
      </c>
      <c r="EE213">
        <v>140625274</v>
      </c>
      <c r="EF213">
        <v>8</v>
      </c>
      <c r="EG213" t="s">
        <v>32</v>
      </c>
      <c r="EH213">
        <v>0</v>
      </c>
      <c r="EI213" t="s">
        <v>3</v>
      </c>
      <c r="EJ213">
        <v>1</v>
      </c>
      <c r="EK213">
        <v>1100</v>
      </c>
      <c r="EL213" t="s">
        <v>33</v>
      </c>
      <c r="EM213" t="s">
        <v>34</v>
      </c>
      <c r="EO213" t="s">
        <v>3</v>
      </c>
      <c r="EQ213">
        <v>0</v>
      </c>
      <c r="ER213">
        <v>120.14</v>
      </c>
      <c r="ES213">
        <v>120.14</v>
      </c>
      <c r="ET213">
        <v>0</v>
      </c>
      <c r="EU213">
        <v>0</v>
      </c>
      <c r="EV213">
        <v>0</v>
      </c>
      <c r="EW213">
        <v>0</v>
      </c>
      <c r="EX213">
        <v>0</v>
      </c>
      <c r="EY213">
        <v>0</v>
      </c>
      <c r="EZ213">
        <v>5</v>
      </c>
      <c r="FC213">
        <v>1</v>
      </c>
      <c r="FD213">
        <v>18</v>
      </c>
      <c r="FF213">
        <v>1198</v>
      </c>
      <c r="FQ213">
        <v>0</v>
      </c>
      <c r="FR213">
        <f t="shared" si="242"/>
        <v>0</v>
      </c>
      <c r="FS213">
        <v>0</v>
      </c>
      <c r="FX213">
        <v>0</v>
      </c>
      <c r="FY213">
        <v>0</v>
      </c>
      <c r="GA213" t="s">
        <v>492</v>
      </c>
      <c r="GD213">
        <v>1</v>
      </c>
      <c r="GF213">
        <v>247942565</v>
      </c>
      <c r="GG213">
        <v>2</v>
      </c>
      <c r="GH213">
        <v>3</v>
      </c>
      <c r="GI213">
        <v>4</v>
      </c>
      <c r="GJ213">
        <v>0</v>
      </c>
      <c r="GK213">
        <v>0</v>
      </c>
      <c r="GL213">
        <f t="shared" si="243"/>
        <v>0</v>
      </c>
      <c r="GM213">
        <f t="shared" si="244"/>
        <v>12830.95</v>
      </c>
      <c r="GN213">
        <f t="shared" si="245"/>
        <v>12830.95</v>
      </c>
      <c r="GO213">
        <f t="shared" si="246"/>
        <v>0</v>
      </c>
      <c r="GP213">
        <f t="shared" si="247"/>
        <v>0</v>
      </c>
      <c r="GR213">
        <v>1</v>
      </c>
      <c r="GS213">
        <v>1</v>
      </c>
      <c r="GT213">
        <v>0</v>
      </c>
      <c r="GU213" t="s">
        <v>3</v>
      </c>
      <c r="GV213">
        <f t="shared" si="248"/>
        <v>0</v>
      </c>
      <c r="GW213">
        <v>1</v>
      </c>
      <c r="GX213">
        <f t="shared" si="249"/>
        <v>0</v>
      </c>
      <c r="HA213">
        <v>0</v>
      </c>
      <c r="HB213">
        <v>0</v>
      </c>
      <c r="HC213">
        <f t="shared" si="250"/>
        <v>0</v>
      </c>
      <c r="HE213" t="s">
        <v>36</v>
      </c>
      <c r="HF213" t="s">
        <v>28</v>
      </c>
      <c r="HM213" t="s">
        <v>3</v>
      </c>
      <c r="HN213" t="s">
        <v>3</v>
      </c>
      <c r="HO213" t="s">
        <v>3</v>
      </c>
      <c r="HP213" t="s">
        <v>3</v>
      </c>
      <c r="HQ213" t="s">
        <v>3</v>
      </c>
      <c r="IK213">
        <v>0</v>
      </c>
    </row>
    <row r="214" spans="1:245" x14ac:dyDescent="0.2">
      <c r="A214">
        <v>17</v>
      </c>
      <c r="B214">
        <v>1</v>
      </c>
      <c r="C214">
        <f>ROW(SmtRes!A235)</f>
        <v>235</v>
      </c>
      <c r="D214">
        <f>ROW(EtalonRes!A266)</f>
        <v>266</v>
      </c>
      <c r="E214" t="s">
        <v>493</v>
      </c>
      <c r="F214" t="s">
        <v>70</v>
      </c>
      <c r="G214" t="s">
        <v>71</v>
      </c>
      <c r="H214" t="s">
        <v>72</v>
      </c>
      <c r="I214">
        <v>20</v>
      </c>
      <c r="J214">
        <v>0</v>
      </c>
      <c r="K214">
        <v>20</v>
      </c>
      <c r="O214">
        <f t="shared" si="217"/>
        <v>2804.08</v>
      </c>
      <c r="P214">
        <f t="shared" si="218"/>
        <v>0</v>
      </c>
      <c r="Q214">
        <f t="shared" si="219"/>
        <v>0</v>
      </c>
      <c r="R214">
        <f t="shared" si="220"/>
        <v>0</v>
      </c>
      <c r="S214">
        <f t="shared" si="221"/>
        <v>2804.08</v>
      </c>
      <c r="T214">
        <f t="shared" si="222"/>
        <v>0</v>
      </c>
      <c r="U214">
        <f t="shared" si="223"/>
        <v>11.6</v>
      </c>
      <c r="V214">
        <f t="shared" si="224"/>
        <v>0</v>
      </c>
      <c r="W214">
        <f t="shared" si="225"/>
        <v>0</v>
      </c>
      <c r="X214">
        <f t="shared" si="226"/>
        <v>2523.67</v>
      </c>
      <c r="Y214">
        <f t="shared" si="227"/>
        <v>1289.8800000000001</v>
      </c>
      <c r="AA214">
        <v>145026783</v>
      </c>
      <c r="AB214">
        <f t="shared" si="228"/>
        <v>4.38</v>
      </c>
      <c r="AC214">
        <f t="shared" si="229"/>
        <v>0</v>
      </c>
      <c r="AD214">
        <f>ROUND((((ET214)-(EU214))+AE214),2)</f>
        <v>0</v>
      </c>
      <c r="AE214">
        <f>ROUND((EU214),2)</f>
        <v>0</v>
      </c>
      <c r="AF214">
        <f>ROUND((EV214),2)</f>
        <v>4.38</v>
      </c>
      <c r="AG214">
        <f t="shared" si="230"/>
        <v>0</v>
      </c>
      <c r="AH214">
        <f>(EW214)</f>
        <v>0.57999999999999996</v>
      </c>
      <c r="AI214">
        <f>(EX214)</f>
        <v>0</v>
      </c>
      <c r="AJ214">
        <f t="shared" si="231"/>
        <v>0</v>
      </c>
      <c r="AK214">
        <v>4.38</v>
      </c>
      <c r="AL214">
        <v>0</v>
      </c>
      <c r="AM214">
        <v>0</v>
      </c>
      <c r="AN214">
        <v>0</v>
      </c>
      <c r="AO214">
        <v>4.38</v>
      </c>
      <c r="AP214">
        <v>0</v>
      </c>
      <c r="AQ214">
        <v>0.57999999999999996</v>
      </c>
      <c r="AR214">
        <v>0</v>
      </c>
      <c r="AS214">
        <v>0</v>
      </c>
      <c r="AT214">
        <v>90</v>
      </c>
      <c r="AU214">
        <v>46</v>
      </c>
      <c r="AV214">
        <v>1</v>
      </c>
      <c r="AW214">
        <v>1</v>
      </c>
      <c r="AZ214">
        <v>1</v>
      </c>
      <c r="BA214">
        <v>32.01</v>
      </c>
      <c r="BB214">
        <v>12.44</v>
      </c>
      <c r="BC214">
        <v>8.9</v>
      </c>
      <c r="BD214" t="s">
        <v>3</v>
      </c>
      <c r="BE214" t="s">
        <v>3</v>
      </c>
      <c r="BF214" t="s">
        <v>3</v>
      </c>
      <c r="BG214" t="s">
        <v>3</v>
      </c>
      <c r="BH214">
        <v>0</v>
      </c>
      <c r="BI214">
        <v>1</v>
      </c>
      <c r="BJ214" t="s">
        <v>73</v>
      </c>
      <c r="BM214">
        <v>62001</v>
      </c>
      <c r="BN214">
        <v>0</v>
      </c>
      <c r="BO214" t="s">
        <v>3</v>
      </c>
      <c r="BP214">
        <v>0</v>
      </c>
      <c r="BQ214">
        <v>6</v>
      </c>
      <c r="BR214">
        <v>0</v>
      </c>
      <c r="BS214">
        <v>32.01</v>
      </c>
      <c r="BT214">
        <v>1</v>
      </c>
      <c r="BU214">
        <v>1</v>
      </c>
      <c r="BV214">
        <v>1</v>
      </c>
      <c r="BW214">
        <v>1</v>
      </c>
      <c r="BX214">
        <v>1</v>
      </c>
      <c r="BY214" t="s">
        <v>3</v>
      </c>
      <c r="BZ214">
        <v>90</v>
      </c>
      <c r="CA214">
        <v>46</v>
      </c>
      <c r="CB214" t="s">
        <v>3</v>
      </c>
      <c r="CE214">
        <v>0</v>
      </c>
      <c r="CF214">
        <v>0</v>
      </c>
      <c r="CG214">
        <v>0</v>
      </c>
      <c r="CM214">
        <v>0</v>
      </c>
      <c r="CN214" t="s">
        <v>3</v>
      </c>
      <c r="CO214">
        <v>0</v>
      </c>
      <c r="CP214">
        <f t="shared" si="232"/>
        <v>2804.08</v>
      </c>
      <c r="CQ214">
        <f t="shared" si="233"/>
        <v>0</v>
      </c>
      <c r="CR214">
        <f>(((ET214)*BB214-(EU214)*BS214)+AE214*BS214)</f>
        <v>0</v>
      </c>
      <c r="CS214">
        <f t="shared" si="234"/>
        <v>0</v>
      </c>
      <c r="CT214">
        <f t="shared" si="235"/>
        <v>140.2038</v>
      </c>
      <c r="CU214">
        <f t="shared" si="236"/>
        <v>0</v>
      </c>
      <c r="CV214">
        <f t="shared" si="237"/>
        <v>0.57999999999999996</v>
      </c>
      <c r="CW214">
        <f t="shared" si="238"/>
        <v>0</v>
      </c>
      <c r="CX214">
        <f t="shared" si="239"/>
        <v>0</v>
      </c>
      <c r="CY214">
        <f t="shared" si="240"/>
        <v>2523.672</v>
      </c>
      <c r="CZ214">
        <f t="shared" si="241"/>
        <v>1289.8768</v>
      </c>
      <c r="DC214" t="s">
        <v>3</v>
      </c>
      <c r="DD214" t="s">
        <v>3</v>
      </c>
      <c r="DE214" t="s">
        <v>3</v>
      </c>
      <c r="DF214" t="s">
        <v>3</v>
      </c>
      <c r="DG214" t="s">
        <v>3</v>
      </c>
      <c r="DH214" t="s">
        <v>3</v>
      </c>
      <c r="DI214" t="s">
        <v>3</v>
      </c>
      <c r="DJ214" t="s">
        <v>3</v>
      </c>
      <c r="DK214" t="s">
        <v>3</v>
      </c>
      <c r="DL214" t="s">
        <v>3</v>
      </c>
      <c r="DM214" t="s">
        <v>3</v>
      </c>
      <c r="DN214">
        <v>0</v>
      </c>
      <c r="DO214">
        <v>0</v>
      </c>
      <c r="DP214">
        <v>1</v>
      </c>
      <c r="DQ214">
        <v>1</v>
      </c>
      <c r="DU214">
        <v>1005</v>
      </c>
      <c r="DV214" t="s">
        <v>72</v>
      </c>
      <c r="DW214" t="s">
        <v>72</v>
      </c>
      <c r="DX214">
        <v>1</v>
      </c>
      <c r="DZ214" t="s">
        <v>3</v>
      </c>
      <c r="EA214" t="s">
        <v>3</v>
      </c>
      <c r="EB214" t="s">
        <v>3</v>
      </c>
      <c r="EC214" t="s">
        <v>3</v>
      </c>
      <c r="EE214">
        <v>140625162</v>
      </c>
      <c r="EF214">
        <v>6</v>
      </c>
      <c r="EG214" t="s">
        <v>23</v>
      </c>
      <c r="EH214">
        <v>96</v>
      </c>
      <c r="EI214" t="s">
        <v>74</v>
      </c>
      <c r="EJ214">
        <v>1</v>
      </c>
      <c r="EK214">
        <v>62001</v>
      </c>
      <c r="EL214" t="s">
        <v>74</v>
      </c>
      <c r="EM214" t="s">
        <v>75</v>
      </c>
      <c r="EO214" t="s">
        <v>3</v>
      </c>
      <c r="EQ214">
        <v>0</v>
      </c>
      <c r="ER214">
        <v>4.38</v>
      </c>
      <c r="ES214">
        <v>0</v>
      </c>
      <c r="ET214">
        <v>0</v>
      </c>
      <c r="EU214">
        <v>0</v>
      </c>
      <c r="EV214">
        <v>4.38</v>
      </c>
      <c r="EW214">
        <v>0.57999999999999996</v>
      </c>
      <c r="EX214">
        <v>0</v>
      </c>
      <c r="EY214">
        <v>0</v>
      </c>
      <c r="FQ214">
        <v>0</v>
      </c>
      <c r="FR214">
        <f t="shared" si="242"/>
        <v>0</v>
      </c>
      <c r="FS214">
        <v>0</v>
      </c>
      <c r="FX214">
        <v>90</v>
      </c>
      <c r="FY214">
        <v>46</v>
      </c>
      <c r="GA214" t="s">
        <v>3</v>
      </c>
      <c r="GD214">
        <v>1</v>
      </c>
      <c r="GF214">
        <v>-1813295300</v>
      </c>
      <c r="GG214">
        <v>2</v>
      </c>
      <c r="GH214">
        <v>1</v>
      </c>
      <c r="GI214">
        <v>4</v>
      </c>
      <c r="GJ214">
        <v>0</v>
      </c>
      <c r="GK214">
        <v>0</v>
      </c>
      <c r="GL214">
        <f t="shared" si="243"/>
        <v>0</v>
      </c>
      <c r="GM214">
        <f t="shared" si="244"/>
        <v>6617.63</v>
      </c>
      <c r="GN214">
        <f t="shared" si="245"/>
        <v>6617.63</v>
      </c>
      <c r="GO214">
        <f t="shared" si="246"/>
        <v>0</v>
      </c>
      <c r="GP214">
        <f t="shared" si="247"/>
        <v>0</v>
      </c>
      <c r="GR214">
        <v>0</v>
      </c>
      <c r="GS214">
        <v>3</v>
      </c>
      <c r="GT214">
        <v>0</v>
      </c>
      <c r="GU214" t="s">
        <v>3</v>
      </c>
      <c r="GV214">
        <f t="shared" si="248"/>
        <v>0</v>
      </c>
      <c r="GW214">
        <v>1</v>
      </c>
      <c r="GX214">
        <f t="shared" si="249"/>
        <v>0</v>
      </c>
      <c r="HA214">
        <v>0</v>
      </c>
      <c r="HB214">
        <v>0</v>
      </c>
      <c r="HC214">
        <f t="shared" si="250"/>
        <v>0</v>
      </c>
      <c r="HE214" t="s">
        <v>3</v>
      </c>
      <c r="HF214" t="s">
        <v>3</v>
      </c>
      <c r="HM214" t="s">
        <v>3</v>
      </c>
      <c r="HN214" t="s">
        <v>76</v>
      </c>
      <c r="HO214" t="s">
        <v>77</v>
      </c>
      <c r="HP214" t="s">
        <v>74</v>
      </c>
      <c r="HQ214" t="s">
        <v>74</v>
      </c>
      <c r="IK214">
        <v>0</v>
      </c>
    </row>
    <row r="215" spans="1:245" x14ac:dyDescent="0.2">
      <c r="A215">
        <v>17</v>
      </c>
      <c r="B215">
        <v>1</v>
      </c>
      <c r="C215">
        <f>ROW(SmtRes!A243)</f>
        <v>243</v>
      </c>
      <c r="D215">
        <f>ROW(EtalonRes!A274)</f>
        <v>274</v>
      </c>
      <c r="E215" t="s">
        <v>494</v>
      </c>
      <c r="F215" t="s">
        <v>495</v>
      </c>
      <c r="G215" t="s">
        <v>496</v>
      </c>
      <c r="H215" t="s">
        <v>40</v>
      </c>
      <c r="I215">
        <f>ROUND(20/100,9)</f>
        <v>0.2</v>
      </c>
      <c r="J215">
        <v>0</v>
      </c>
      <c r="K215">
        <f>ROUND(20/100,9)</f>
        <v>0.2</v>
      </c>
      <c r="O215">
        <f t="shared" si="217"/>
        <v>1431.32</v>
      </c>
      <c r="P215">
        <f t="shared" si="218"/>
        <v>541.26</v>
      </c>
      <c r="Q215">
        <f t="shared" si="219"/>
        <v>57.35</v>
      </c>
      <c r="R215">
        <f t="shared" si="220"/>
        <v>3.52</v>
      </c>
      <c r="S215">
        <f t="shared" si="221"/>
        <v>832.71</v>
      </c>
      <c r="T215">
        <f t="shared" si="222"/>
        <v>0</v>
      </c>
      <c r="U215">
        <f t="shared" si="223"/>
        <v>2.4425999999999997</v>
      </c>
      <c r="V215">
        <f t="shared" si="224"/>
        <v>1.0000000000000002E-2</v>
      </c>
      <c r="W215">
        <f t="shared" si="225"/>
        <v>0</v>
      </c>
      <c r="X215">
        <f t="shared" si="226"/>
        <v>786.06</v>
      </c>
      <c r="Y215">
        <f t="shared" si="227"/>
        <v>362.51</v>
      </c>
      <c r="AA215">
        <v>145026783</v>
      </c>
      <c r="AB215">
        <f t="shared" si="228"/>
        <v>457.2</v>
      </c>
      <c r="AC215">
        <f>ROUND(((ES215*2)),2)</f>
        <v>304.08</v>
      </c>
      <c r="AD215">
        <f>ROUND(((((ET215*1.25*2))-((EU215*1.25*2)))+AE215),2)</f>
        <v>23.05</v>
      </c>
      <c r="AE215">
        <f>ROUND(((EU215*1.25*2)),2)</f>
        <v>0.55000000000000004</v>
      </c>
      <c r="AF215">
        <f>ROUND(((EV215*1.15*2)),2)</f>
        <v>130.07</v>
      </c>
      <c r="AG215">
        <f t="shared" si="230"/>
        <v>0</v>
      </c>
      <c r="AH215">
        <f>((EW215*1.15*2))</f>
        <v>12.212999999999997</v>
      </c>
      <c r="AI215">
        <f>((EX215*1.25*2))</f>
        <v>0.05</v>
      </c>
      <c r="AJ215">
        <f t="shared" si="231"/>
        <v>0</v>
      </c>
      <c r="AK215">
        <v>217.81</v>
      </c>
      <c r="AL215">
        <v>152.04</v>
      </c>
      <c r="AM215">
        <v>9.2200000000000006</v>
      </c>
      <c r="AN215">
        <v>0.22</v>
      </c>
      <c r="AO215">
        <v>56.55</v>
      </c>
      <c r="AP215">
        <v>0</v>
      </c>
      <c r="AQ215">
        <v>5.31</v>
      </c>
      <c r="AR215">
        <v>0.02</v>
      </c>
      <c r="AS215">
        <v>0</v>
      </c>
      <c r="AT215">
        <v>94</v>
      </c>
      <c r="AU215">
        <v>43.35</v>
      </c>
      <c r="AV215">
        <v>1</v>
      </c>
      <c r="AW215">
        <v>1</v>
      </c>
      <c r="AZ215">
        <v>1</v>
      </c>
      <c r="BA215">
        <v>32.01</v>
      </c>
      <c r="BB215">
        <v>12.44</v>
      </c>
      <c r="BC215">
        <v>8.9</v>
      </c>
      <c r="BD215" t="s">
        <v>3</v>
      </c>
      <c r="BE215" t="s">
        <v>3</v>
      </c>
      <c r="BF215" t="s">
        <v>3</v>
      </c>
      <c r="BG215" t="s">
        <v>3</v>
      </c>
      <c r="BH215">
        <v>0</v>
      </c>
      <c r="BI215">
        <v>1</v>
      </c>
      <c r="BJ215" t="s">
        <v>497</v>
      </c>
      <c r="BM215">
        <v>13001</v>
      </c>
      <c r="BN215">
        <v>0</v>
      </c>
      <c r="BO215" t="s">
        <v>3</v>
      </c>
      <c r="BP215">
        <v>0</v>
      </c>
      <c r="BQ215">
        <v>2</v>
      </c>
      <c r="BR215">
        <v>0</v>
      </c>
      <c r="BS215">
        <v>32.01</v>
      </c>
      <c r="BT215">
        <v>1</v>
      </c>
      <c r="BU215">
        <v>1</v>
      </c>
      <c r="BV215">
        <v>1</v>
      </c>
      <c r="BW215">
        <v>1</v>
      </c>
      <c r="BX215">
        <v>1</v>
      </c>
      <c r="BY215" t="s">
        <v>3</v>
      </c>
      <c r="BZ215">
        <v>94</v>
      </c>
      <c r="CA215">
        <v>51</v>
      </c>
      <c r="CB215" t="s">
        <v>3</v>
      </c>
      <c r="CE215">
        <v>0</v>
      </c>
      <c r="CF215">
        <v>0</v>
      </c>
      <c r="CG215">
        <v>0</v>
      </c>
      <c r="CM215">
        <v>0</v>
      </c>
      <c r="CN215" t="s">
        <v>160</v>
      </c>
      <c r="CO215">
        <v>0</v>
      </c>
      <c r="CP215">
        <f t="shared" si="232"/>
        <v>1431.3200000000002</v>
      </c>
      <c r="CQ215">
        <f t="shared" si="233"/>
        <v>2706.3119999999999</v>
      </c>
      <c r="CR215">
        <f>((((ET215*1.25*2))*BB215-((EU215*1.25*2))*BS215)+AE215*BS215)</f>
        <v>286.74200000000002</v>
      </c>
      <c r="CS215">
        <f t="shared" si="234"/>
        <v>17.605499999999999</v>
      </c>
      <c r="CT215">
        <f t="shared" si="235"/>
        <v>4163.5406999999996</v>
      </c>
      <c r="CU215">
        <f t="shared" si="236"/>
        <v>0</v>
      </c>
      <c r="CV215">
        <f t="shared" si="237"/>
        <v>12.212999999999997</v>
      </c>
      <c r="CW215">
        <f t="shared" si="238"/>
        <v>0.05</v>
      </c>
      <c r="CX215">
        <f t="shared" si="239"/>
        <v>0</v>
      </c>
      <c r="CY215">
        <f t="shared" si="240"/>
        <v>786.05619999999999</v>
      </c>
      <c r="CZ215">
        <f t="shared" si="241"/>
        <v>362.50570500000003</v>
      </c>
      <c r="DC215" t="s">
        <v>3</v>
      </c>
      <c r="DD215" t="s">
        <v>498</v>
      </c>
      <c r="DE215" t="s">
        <v>499</v>
      </c>
      <c r="DF215" t="s">
        <v>499</v>
      </c>
      <c r="DG215" t="s">
        <v>500</v>
      </c>
      <c r="DH215" t="s">
        <v>3</v>
      </c>
      <c r="DI215" t="s">
        <v>500</v>
      </c>
      <c r="DJ215" t="s">
        <v>499</v>
      </c>
      <c r="DK215" t="s">
        <v>3</v>
      </c>
      <c r="DL215" t="s">
        <v>3</v>
      </c>
      <c r="DM215" t="s">
        <v>150</v>
      </c>
      <c r="DN215">
        <v>0</v>
      </c>
      <c r="DO215">
        <v>0</v>
      </c>
      <c r="DP215">
        <v>1</v>
      </c>
      <c r="DQ215">
        <v>1</v>
      </c>
      <c r="DU215">
        <v>1005</v>
      </c>
      <c r="DV215" t="s">
        <v>40</v>
      </c>
      <c r="DW215" t="s">
        <v>40</v>
      </c>
      <c r="DX215">
        <v>100</v>
      </c>
      <c r="DZ215" t="s">
        <v>3</v>
      </c>
      <c r="EA215" t="s">
        <v>3</v>
      </c>
      <c r="EB215" t="s">
        <v>3</v>
      </c>
      <c r="EC215" t="s">
        <v>3</v>
      </c>
      <c r="EE215">
        <v>140625034</v>
      </c>
      <c r="EF215">
        <v>2</v>
      </c>
      <c r="EG215" t="s">
        <v>95</v>
      </c>
      <c r="EH215">
        <v>13</v>
      </c>
      <c r="EI215" t="s">
        <v>501</v>
      </c>
      <c r="EJ215">
        <v>1</v>
      </c>
      <c r="EK215">
        <v>13001</v>
      </c>
      <c r="EL215" t="s">
        <v>502</v>
      </c>
      <c r="EM215" t="s">
        <v>503</v>
      </c>
      <c r="EO215" t="s">
        <v>162</v>
      </c>
      <c r="EQ215">
        <v>0</v>
      </c>
      <c r="ER215">
        <v>217.81</v>
      </c>
      <c r="ES215">
        <v>152.04</v>
      </c>
      <c r="ET215">
        <v>9.2200000000000006</v>
      </c>
      <c r="EU215">
        <v>0.22</v>
      </c>
      <c r="EV215">
        <v>56.55</v>
      </c>
      <c r="EW215">
        <v>5.31</v>
      </c>
      <c r="EX215">
        <v>0.02</v>
      </c>
      <c r="EY215">
        <v>0</v>
      </c>
      <c r="FQ215">
        <v>0</v>
      </c>
      <c r="FR215">
        <f t="shared" si="242"/>
        <v>0</v>
      </c>
      <c r="FS215">
        <v>0</v>
      </c>
      <c r="FX215">
        <v>94</v>
      </c>
      <c r="FY215">
        <v>43.35</v>
      </c>
      <c r="GA215" t="s">
        <v>3</v>
      </c>
      <c r="GD215">
        <v>1</v>
      </c>
      <c r="GF215">
        <v>-736059163</v>
      </c>
      <c r="GG215">
        <v>2</v>
      </c>
      <c r="GH215">
        <v>1</v>
      </c>
      <c r="GI215">
        <v>4</v>
      </c>
      <c r="GJ215">
        <v>0</v>
      </c>
      <c r="GK215">
        <v>0</v>
      </c>
      <c r="GL215">
        <f t="shared" si="243"/>
        <v>0</v>
      </c>
      <c r="GM215">
        <f t="shared" si="244"/>
        <v>2579.89</v>
      </c>
      <c r="GN215">
        <f t="shared" si="245"/>
        <v>2579.89</v>
      </c>
      <c r="GO215">
        <f t="shared" si="246"/>
        <v>0</v>
      </c>
      <c r="GP215">
        <f t="shared" si="247"/>
        <v>0</v>
      </c>
      <c r="GR215">
        <v>0</v>
      </c>
      <c r="GS215">
        <v>3</v>
      </c>
      <c r="GT215">
        <v>0</v>
      </c>
      <c r="GU215" t="s">
        <v>3</v>
      </c>
      <c r="GV215">
        <f t="shared" si="248"/>
        <v>0</v>
      </c>
      <c r="GW215">
        <v>1</v>
      </c>
      <c r="GX215">
        <f t="shared" si="249"/>
        <v>0</v>
      </c>
      <c r="HA215">
        <v>0</v>
      </c>
      <c r="HB215">
        <v>0</v>
      </c>
      <c r="HC215">
        <f t="shared" si="250"/>
        <v>0</v>
      </c>
      <c r="HE215" t="s">
        <v>3</v>
      </c>
      <c r="HF215" t="s">
        <v>3</v>
      </c>
      <c r="HM215" t="s">
        <v>3</v>
      </c>
      <c r="HN215" t="s">
        <v>504</v>
      </c>
      <c r="HO215" t="s">
        <v>505</v>
      </c>
      <c r="HP215" t="s">
        <v>501</v>
      </c>
      <c r="HQ215" t="s">
        <v>501</v>
      </c>
      <c r="IK215">
        <v>0</v>
      </c>
    </row>
    <row r="216" spans="1:245" x14ac:dyDescent="0.2">
      <c r="A216">
        <v>17</v>
      </c>
      <c r="B216">
        <v>1</v>
      </c>
      <c r="C216">
        <f>ROW(SmtRes!A251)</f>
        <v>251</v>
      </c>
      <c r="D216">
        <f>ROW(EtalonRes!A282)</f>
        <v>282</v>
      </c>
      <c r="E216" t="s">
        <v>506</v>
      </c>
      <c r="F216" t="s">
        <v>507</v>
      </c>
      <c r="G216" t="s">
        <v>508</v>
      </c>
      <c r="H216" t="s">
        <v>40</v>
      </c>
      <c r="I216">
        <f>ROUND(20/100,9)</f>
        <v>0.2</v>
      </c>
      <c r="J216">
        <v>0</v>
      </c>
      <c r="K216">
        <f>ROUND(20/100,9)</f>
        <v>0.2</v>
      </c>
      <c r="O216">
        <f t="shared" si="217"/>
        <v>813.73</v>
      </c>
      <c r="P216">
        <f t="shared" si="218"/>
        <v>491.85</v>
      </c>
      <c r="Q216">
        <f t="shared" si="219"/>
        <v>37.380000000000003</v>
      </c>
      <c r="R216">
        <f t="shared" si="220"/>
        <v>3.52</v>
      </c>
      <c r="S216">
        <f t="shared" si="221"/>
        <v>284.5</v>
      </c>
      <c r="T216">
        <f t="shared" si="222"/>
        <v>0</v>
      </c>
      <c r="U216">
        <f t="shared" si="223"/>
        <v>0.97979999999999989</v>
      </c>
      <c r="V216">
        <f t="shared" si="224"/>
        <v>1.0000000000000002E-2</v>
      </c>
      <c r="W216">
        <f t="shared" si="225"/>
        <v>0</v>
      </c>
      <c r="X216">
        <f t="shared" si="226"/>
        <v>270.74</v>
      </c>
      <c r="Y216">
        <f t="shared" si="227"/>
        <v>124.86</v>
      </c>
      <c r="AA216">
        <v>145026783</v>
      </c>
      <c r="AB216">
        <f t="shared" si="228"/>
        <v>335.79</v>
      </c>
      <c r="AC216">
        <f>ROUND(((ES216*2)),2)</f>
        <v>276.32</v>
      </c>
      <c r="AD216">
        <f>ROUND(((((ET216*1.25*2))-((EU216*1.25*2)))+AE216),2)</f>
        <v>15.03</v>
      </c>
      <c r="AE216">
        <f>ROUND(((EU216*1.25*2)),2)</f>
        <v>0.55000000000000004</v>
      </c>
      <c r="AF216">
        <f>ROUND(((EV216*1.15*2)),2)</f>
        <v>44.44</v>
      </c>
      <c r="AG216">
        <f t="shared" si="230"/>
        <v>0</v>
      </c>
      <c r="AH216">
        <f>((EW216*1.15*2))</f>
        <v>4.8989999999999991</v>
      </c>
      <c r="AI216">
        <f>((EX216*1.25*2))</f>
        <v>0.05</v>
      </c>
      <c r="AJ216">
        <f t="shared" si="231"/>
        <v>0</v>
      </c>
      <c r="AK216">
        <v>163.49</v>
      </c>
      <c r="AL216">
        <v>138.16</v>
      </c>
      <c r="AM216">
        <v>6.01</v>
      </c>
      <c r="AN216">
        <v>0.22</v>
      </c>
      <c r="AO216">
        <v>19.32</v>
      </c>
      <c r="AP216">
        <v>0</v>
      </c>
      <c r="AQ216">
        <v>2.13</v>
      </c>
      <c r="AR216">
        <v>0.02</v>
      </c>
      <c r="AS216">
        <v>0</v>
      </c>
      <c r="AT216">
        <v>94</v>
      </c>
      <c r="AU216">
        <v>43.35</v>
      </c>
      <c r="AV216">
        <v>1</v>
      </c>
      <c r="AW216">
        <v>1</v>
      </c>
      <c r="AZ216">
        <v>1</v>
      </c>
      <c r="BA216">
        <v>32.01</v>
      </c>
      <c r="BB216">
        <v>12.44</v>
      </c>
      <c r="BC216">
        <v>8.9</v>
      </c>
      <c r="BD216" t="s">
        <v>3</v>
      </c>
      <c r="BE216" t="s">
        <v>3</v>
      </c>
      <c r="BF216" t="s">
        <v>3</v>
      </c>
      <c r="BG216" t="s">
        <v>3</v>
      </c>
      <c r="BH216">
        <v>0</v>
      </c>
      <c r="BI216">
        <v>1</v>
      </c>
      <c r="BJ216" t="s">
        <v>509</v>
      </c>
      <c r="BM216">
        <v>13001</v>
      </c>
      <c r="BN216">
        <v>0</v>
      </c>
      <c r="BO216" t="s">
        <v>3</v>
      </c>
      <c r="BP216">
        <v>0</v>
      </c>
      <c r="BQ216">
        <v>2</v>
      </c>
      <c r="BR216">
        <v>0</v>
      </c>
      <c r="BS216">
        <v>32.01</v>
      </c>
      <c r="BT216">
        <v>1</v>
      </c>
      <c r="BU216">
        <v>1</v>
      </c>
      <c r="BV216">
        <v>1</v>
      </c>
      <c r="BW216">
        <v>1</v>
      </c>
      <c r="BX216">
        <v>1</v>
      </c>
      <c r="BY216" t="s">
        <v>3</v>
      </c>
      <c r="BZ216">
        <v>94</v>
      </c>
      <c r="CA216">
        <v>51</v>
      </c>
      <c r="CB216" t="s">
        <v>3</v>
      </c>
      <c r="CE216">
        <v>0</v>
      </c>
      <c r="CF216">
        <v>0</v>
      </c>
      <c r="CG216">
        <v>0</v>
      </c>
      <c r="CM216">
        <v>0</v>
      </c>
      <c r="CN216" t="s">
        <v>160</v>
      </c>
      <c r="CO216">
        <v>0</v>
      </c>
      <c r="CP216">
        <f t="shared" si="232"/>
        <v>813.73</v>
      </c>
      <c r="CQ216">
        <f t="shared" si="233"/>
        <v>2459.248</v>
      </c>
      <c r="CR216">
        <f>((((ET216*1.25*2))*BB216-((EU216*1.25*2))*BS216)+AE216*BS216)</f>
        <v>186.91099999999997</v>
      </c>
      <c r="CS216">
        <f t="shared" si="234"/>
        <v>17.605499999999999</v>
      </c>
      <c r="CT216">
        <f t="shared" si="235"/>
        <v>1422.5243999999998</v>
      </c>
      <c r="CU216">
        <f t="shared" si="236"/>
        <v>0</v>
      </c>
      <c r="CV216">
        <f t="shared" si="237"/>
        <v>4.8989999999999991</v>
      </c>
      <c r="CW216">
        <f t="shared" si="238"/>
        <v>0.05</v>
      </c>
      <c r="CX216">
        <f t="shared" si="239"/>
        <v>0</v>
      </c>
      <c r="CY216">
        <f t="shared" si="240"/>
        <v>270.73879999999997</v>
      </c>
      <c r="CZ216">
        <f t="shared" si="241"/>
        <v>124.85666999999999</v>
      </c>
      <c r="DC216" t="s">
        <v>3</v>
      </c>
      <c r="DD216" t="s">
        <v>498</v>
      </c>
      <c r="DE216" t="s">
        <v>499</v>
      </c>
      <c r="DF216" t="s">
        <v>499</v>
      </c>
      <c r="DG216" t="s">
        <v>500</v>
      </c>
      <c r="DH216" t="s">
        <v>3</v>
      </c>
      <c r="DI216" t="s">
        <v>500</v>
      </c>
      <c r="DJ216" t="s">
        <v>499</v>
      </c>
      <c r="DK216" t="s">
        <v>3</v>
      </c>
      <c r="DL216" t="s">
        <v>3</v>
      </c>
      <c r="DM216" t="s">
        <v>150</v>
      </c>
      <c r="DN216">
        <v>0</v>
      </c>
      <c r="DO216">
        <v>0</v>
      </c>
      <c r="DP216">
        <v>1</v>
      </c>
      <c r="DQ216">
        <v>1</v>
      </c>
      <c r="DU216">
        <v>1005</v>
      </c>
      <c r="DV216" t="s">
        <v>40</v>
      </c>
      <c r="DW216" t="s">
        <v>40</v>
      </c>
      <c r="DX216">
        <v>100</v>
      </c>
      <c r="DZ216" t="s">
        <v>3</v>
      </c>
      <c r="EA216" t="s">
        <v>3</v>
      </c>
      <c r="EB216" t="s">
        <v>3</v>
      </c>
      <c r="EC216" t="s">
        <v>3</v>
      </c>
      <c r="EE216">
        <v>140625034</v>
      </c>
      <c r="EF216">
        <v>2</v>
      </c>
      <c r="EG216" t="s">
        <v>95</v>
      </c>
      <c r="EH216">
        <v>13</v>
      </c>
      <c r="EI216" t="s">
        <v>501</v>
      </c>
      <c r="EJ216">
        <v>1</v>
      </c>
      <c r="EK216">
        <v>13001</v>
      </c>
      <c r="EL216" t="s">
        <v>502</v>
      </c>
      <c r="EM216" t="s">
        <v>503</v>
      </c>
      <c r="EO216" t="s">
        <v>162</v>
      </c>
      <c r="EQ216">
        <v>0</v>
      </c>
      <c r="ER216">
        <v>163.49</v>
      </c>
      <c r="ES216">
        <v>138.16</v>
      </c>
      <c r="ET216">
        <v>6.01</v>
      </c>
      <c r="EU216">
        <v>0.22</v>
      </c>
      <c r="EV216">
        <v>19.32</v>
      </c>
      <c r="EW216">
        <v>2.13</v>
      </c>
      <c r="EX216">
        <v>0.02</v>
      </c>
      <c r="EY216">
        <v>0</v>
      </c>
      <c r="FQ216">
        <v>0</v>
      </c>
      <c r="FR216">
        <f t="shared" si="242"/>
        <v>0</v>
      </c>
      <c r="FS216">
        <v>0</v>
      </c>
      <c r="FX216">
        <v>94</v>
      </c>
      <c r="FY216">
        <v>43.35</v>
      </c>
      <c r="GA216" t="s">
        <v>3</v>
      </c>
      <c r="GD216">
        <v>1</v>
      </c>
      <c r="GF216">
        <v>-1083810809</v>
      </c>
      <c r="GG216">
        <v>2</v>
      </c>
      <c r="GH216">
        <v>1</v>
      </c>
      <c r="GI216">
        <v>4</v>
      </c>
      <c r="GJ216">
        <v>0</v>
      </c>
      <c r="GK216">
        <v>0</v>
      </c>
      <c r="GL216">
        <f t="shared" si="243"/>
        <v>0</v>
      </c>
      <c r="GM216">
        <f t="shared" si="244"/>
        <v>1209.33</v>
      </c>
      <c r="GN216">
        <f t="shared" si="245"/>
        <v>1209.33</v>
      </c>
      <c r="GO216">
        <f t="shared" si="246"/>
        <v>0</v>
      </c>
      <c r="GP216">
        <f t="shared" si="247"/>
        <v>0</v>
      </c>
      <c r="GR216">
        <v>0</v>
      </c>
      <c r="GS216">
        <v>3</v>
      </c>
      <c r="GT216">
        <v>0</v>
      </c>
      <c r="GU216" t="s">
        <v>3</v>
      </c>
      <c r="GV216">
        <f t="shared" si="248"/>
        <v>0</v>
      </c>
      <c r="GW216">
        <v>1</v>
      </c>
      <c r="GX216">
        <f t="shared" si="249"/>
        <v>0</v>
      </c>
      <c r="HA216">
        <v>0</v>
      </c>
      <c r="HB216">
        <v>0</v>
      </c>
      <c r="HC216">
        <f t="shared" si="250"/>
        <v>0</v>
      </c>
      <c r="HE216" t="s">
        <v>3</v>
      </c>
      <c r="HF216" t="s">
        <v>3</v>
      </c>
      <c r="HM216" t="s">
        <v>3</v>
      </c>
      <c r="HN216" t="s">
        <v>504</v>
      </c>
      <c r="HO216" t="s">
        <v>505</v>
      </c>
      <c r="HP216" t="s">
        <v>501</v>
      </c>
      <c r="HQ216" t="s">
        <v>501</v>
      </c>
      <c r="IK216">
        <v>0</v>
      </c>
    </row>
    <row r="217" spans="1:245" x14ac:dyDescent="0.2">
      <c r="A217">
        <v>17</v>
      </c>
      <c r="B217">
        <v>1</v>
      </c>
      <c r="E217" t="s">
        <v>510</v>
      </c>
      <c r="F217" t="s">
        <v>511</v>
      </c>
      <c r="G217" t="s">
        <v>512</v>
      </c>
      <c r="H217" t="s">
        <v>513</v>
      </c>
      <c r="I217">
        <v>27.73</v>
      </c>
      <c r="J217">
        <v>0</v>
      </c>
      <c r="K217">
        <v>27.73</v>
      </c>
      <c r="O217">
        <f>0</f>
        <v>0</v>
      </c>
      <c r="P217">
        <f>0</f>
        <v>0</v>
      </c>
      <c r="Q217">
        <f>0</f>
        <v>0</v>
      </c>
      <c r="R217">
        <f>0</f>
        <v>0</v>
      </c>
      <c r="S217">
        <f>0</f>
        <v>0</v>
      </c>
      <c r="T217">
        <f>0</f>
        <v>0</v>
      </c>
      <c r="U217">
        <f>0</f>
        <v>0</v>
      </c>
      <c r="V217">
        <f>0</f>
        <v>0</v>
      </c>
      <c r="W217">
        <f>0</f>
        <v>0</v>
      </c>
      <c r="X217">
        <f>0</f>
        <v>0</v>
      </c>
      <c r="Y217">
        <f>0</f>
        <v>0</v>
      </c>
      <c r="AA217">
        <v>145026783</v>
      </c>
      <c r="AB217">
        <f>ROUND((AK217),2)</f>
        <v>3.28</v>
      </c>
      <c r="AC217">
        <f>0</f>
        <v>0</v>
      </c>
      <c r="AD217">
        <f>0</f>
        <v>0</v>
      </c>
      <c r="AE217">
        <f>0</f>
        <v>0</v>
      </c>
      <c r="AF217">
        <f>0</f>
        <v>0</v>
      </c>
      <c r="AG217">
        <f>0</f>
        <v>0</v>
      </c>
      <c r="AH217">
        <f>0</f>
        <v>0</v>
      </c>
      <c r="AI217">
        <f>0</f>
        <v>0</v>
      </c>
      <c r="AJ217">
        <f>0</f>
        <v>0</v>
      </c>
      <c r="AK217">
        <v>3.28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1</v>
      </c>
      <c r="AW217">
        <v>1</v>
      </c>
      <c r="AZ217">
        <v>12.38</v>
      </c>
      <c r="BA217">
        <v>1</v>
      </c>
      <c r="BB217">
        <v>1</v>
      </c>
      <c r="BC217">
        <v>1</v>
      </c>
      <c r="BD217" t="s">
        <v>3</v>
      </c>
      <c r="BE217" t="s">
        <v>3</v>
      </c>
      <c r="BF217" t="s">
        <v>3</v>
      </c>
      <c r="BG217" t="s">
        <v>3</v>
      </c>
      <c r="BH217">
        <v>0</v>
      </c>
      <c r="BI217">
        <v>1</v>
      </c>
      <c r="BJ217" t="s">
        <v>514</v>
      </c>
      <c r="BM217">
        <v>700004</v>
      </c>
      <c r="BN217">
        <v>0</v>
      </c>
      <c r="BO217" t="s">
        <v>3</v>
      </c>
      <c r="BP217">
        <v>0</v>
      </c>
      <c r="BQ217">
        <v>19</v>
      </c>
      <c r="BR217">
        <v>0</v>
      </c>
      <c r="BS217">
        <v>1</v>
      </c>
      <c r="BT217">
        <v>1</v>
      </c>
      <c r="BU217">
        <v>1</v>
      </c>
      <c r="BV217">
        <v>1</v>
      </c>
      <c r="BW217">
        <v>1</v>
      </c>
      <c r="BX217">
        <v>1</v>
      </c>
      <c r="BY217" t="s">
        <v>3</v>
      </c>
      <c r="BZ217">
        <v>0</v>
      </c>
      <c r="CA217">
        <v>0</v>
      </c>
      <c r="CB217" t="s">
        <v>3</v>
      </c>
      <c r="CE217">
        <v>0</v>
      </c>
      <c r="CF217">
        <v>0</v>
      </c>
      <c r="CG217">
        <v>0</v>
      </c>
      <c r="CM217">
        <v>0</v>
      </c>
      <c r="CN217" t="s">
        <v>3</v>
      </c>
      <c r="CO217">
        <v>0</v>
      </c>
      <c r="CP217">
        <f>AB217*AZ217</f>
        <v>40.606400000000001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C217" t="s">
        <v>3</v>
      </c>
      <c r="DD217" t="s">
        <v>3</v>
      </c>
      <c r="DE217" t="s">
        <v>3</v>
      </c>
      <c r="DF217" t="s">
        <v>3</v>
      </c>
      <c r="DG217" t="s">
        <v>3</v>
      </c>
      <c r="DH217" t="s">
        <v>3</v>
      </c>
      <c r="DI217" t="s">
        <v>3</v>
      </c>
      <c r="DJ217" t="s">
        <v>3</v>
      </c>
      <c r="DK217" t="s">
        <v>3</v>
      </c>
      <c r="DL217" t="s">
        <v>3</v>
      </c>
      <c r="DM217" t="s">
        <v>3</v>
      </c>
      <c r="DN217">
        <v>0</v>
      </c>
      <c r="DO217">
        <v>0</v>
      </c>
      <c r="DP217">
        <v>1</v>
      </c>
      <c r="DQ217">
        <v>1</v>
      </c>
      <c r="DU217">
        <v>1013</v>
      </c>
      <c r="DV217" t="s">
        <v>513</v>
      </c>
      <c r="DW217" t="s">
        <v>513</v>
      </c>
      <c r="DX217">
        <v>1</v>
      </c>
      <c r="DZ217" t="s">
        <v>3</v>
      </c>
      <c r="EA217" t="s">
        <v>3</v>
      </c>
      <c r="EB217" t="s">
        <v>3</v>
      </c>
      <c r="EC217" t="s">
        <v>3</v>
      </c>
      <c r="EE217">
        <v>140625282</v>
      </c>
      <c r="EF217">
        <v>19</v>
      </c>
      <c r="EG217" t="s">
        <v>515</v>
      </c>
      <c r="EH217">
        <v>106</v>
      </c>
      <c r="EI217" t="s">
        <v>515</v>
      </c>
      <c r="EJ217">
        <v>1</v>
      </c>
      <c r="EK217">
        <v>700004</v>
      </c>
      <c r="EL217" t="s">
        <v>515</v>
      </c>
      <c r="EM217" t="s">
        <v>516</v>
      </c>
      <c r="EO217" t="s">
        <v>3</v>
      </c>
      <c r="EQ217">
        <v>0</v>
      </c>
      <c r="ER217">
        <v>0</v>
      </c>
      <c r="ES217">
        <v>0</v>
      </c>
      <c r="ET217">
        <v>0</v>
      </c>
      <c r="EU217">
        <v>0</v>
      </c>
      <c r="EV217">
        <v>0</v>
      </c>
      <c r="EW217">
        <v>0</v>
      </c>
      <c r="EX217">
        <v>0</v>
      </c>
      <c r="EY217">
        <v>0</v>
      </c>
      <c r="FQ217">
        <v>0</v>
      </c>
      <c r="FR217">
        <f t="shared" si="242"/>
        <v>0</v>
      </c>
      <c r="FS217">
        <v>0</v>
      </c>
      <c r="FX217">
        <v>0</v>
      </c>
      <c r="FY217">
        <v>0</v>
      </c>
      <c r="GA217" t="s">
        <v>3</v>
      </c>
      <c r="GD217">
        <v>1</v>
      </c>
      <c r="GF217">
        <v>1072927856</v>
      </c>
      <c r="GG217">
        <v>2</v>
      </c>
      <c r="GH217">
        <v>1</v>
      </c>
      <c r="GI217">
        <v>4</v>
      </c>
      <c r="GJ217">
        <v>2</v>
      </c>
      <c r="GK217">
        <v>0</v>
      </c>
      <c r="GL217">
        <f t="shared" si="243"/>
        <v>0</v>
      </c>
      <c r="GM217">
        <f>ROUND(CP217*I217,2)</f>
        <v>1126.02</v>
      </c>
      <c r="GN217">
        <f>IF(OR(BI217=0,BI217=1),ROUND(CP217*I217,2),0)</f>
        <v>1126.02</v>
      </c>
      <c r="GO217">
        <f>IF(BI217=2,ROUND(CP217*I217,2),0)</f>
        <v>0</v>
      </c>
      <c r="GP217">
        <f>IF(BI217=4,ROUND(CP217*I217,2)+GX217,0)</f>
        <v>0</v>
      </c>
      <c r="GR217">
        <v>0</v>
      </c>
      <c r="GS217">
        <v>3</v>
      </c>
      <c r="GT217">
        <v>0</v>
      </c>
      <c r="GU217" t="s">
        <v>3</v>
      </c>
      <c r="GV217">
        <f>0</f>
        <v>0</v>
      </c>
      <c r="GW217">
        <v>1</v>
      </c>
      <c r="GX217">
        <f>0</f>
        <v>0</v>
      </c>
      <c r="HA217">
        <v>0</v>
      </c>
      <c r="HB217">
        <v>0</v>
      </c>
      <c r="HC217">
        <v>0</v>
      </c>
      <c r="HD217">
        <f>GM217</f>
        <v>1126.02</v>
      </c>
      <c r="HE217" t="s">
        <v>3</v>
      </c>
      <c r="HF217" t="s">
        <v>3</v>
      </c>
      <c r="HM217" t="s">
        <v>3</v>
      </c>
      <c r="HN217" t="s">
        <v>3</v>
      </c>
      <c r="HO217" t="s">
        <v>3</v>
      </c>
      <c r="HP217" t="s">
        <v>3</v>
      </c>
      <c r="HQ217" t="s">
        <v>3</v>
      </c>
      <c r="IK217">
        <v>0</v>
      </c>
    </row>
    <row r="218" spans="1:245" x14ac:dyDescent="0.2">
      <c r="A218">
        <v>17</v>
      </c>
      <c r="B218">
        <v>1</v>
      </c>
      <c r="E218" t="s">
        <v>517</v>
      </c>
      <c r="F218" t="s">
        <v>518</v>
      </c>
      <c r="G218" t="s">
        <v>519</v>
      </c>
      <c r="H218" t="s">
        <v>513</v>
      </c>
      <c r="I218">
        <v>22.55</v>
      </c>
      <c r="J218">
        <v>0</v>
      </c>
      <c r="K218">
        <v>22.55</v>
      </c>
      <c r="O218">
        <f>0</f>
        <v>0</v>
      </c>
      <c r="P218">
        <f>0</f>
        <v>0</v>
      </c>
      <c r="Q218">
        <f>0</f>
        <v>0</v>
      </c>
      <c r="R218">
        <f>0</f>
        <v>0</v>
      </c>
      <c r="S218">
        <f>0</f>
        <v>0</v>
      </c>
      <c r="T218">
        <f>0</f>
        <v>0</v>
      </c>
      <c r="U218">
        <f>0</f>
        <v>0</v>
      </c>
      <c r="V218">
        <f>0</f>
        <v>0</v>
      </c>
      <c r="W218">
        <f>0</f>
        <v>0</v>
      </c>
      <c r="X218">
        <f>0</f>
        <v>0</v>
      </c>
      <c r="Y218">
        <f>0</f>
        <v>0</v>
      </c>
      <c r="AA218">
        <v>145026783</v>
      </c>
      <c r="AB218">
        <f>ROUND((AK218),2)</f>
        <v>15.35</v>
      </c>
      <c r="AC218">
        <f>0</f>
        <v>0</v>
      </c>
      <c r="AD218">
        <f>0</f>
        <v>0</v>
      </c>
      <c r="AE218">
        <f>0</f>
        <v>0</v>
      </c>
      <c r="AF218">
        <f>0</f>
        <v>0</v>
      </c>
      <c r="AG218">
        <f>0</f>
        <v>0</v>
      </c>
      <c r="AH218">
        <f>0</f>
        <v>0</v>
      </c>
      <c r="AI218">
        <f>0</f>
        <v>0</v>
      </c>
      <c r="AJ218">
        <f>0</f>
        <v>0</v>
      </c>
      <c r="AK218">
        <v>15.35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1</v>
      </c>
      <c r="AW218">
        <v>1</v>
      </c>
      <c r="AZ218">
        <v>12.38</v>
      </c>
      <c r="BA218">
        <v>1</v>
      </c>
      <c r="BB218">
        <v>1</v>
      </c>
      <c r="BC218">
        <v>1</v>
      </c>
      <c r="BD218" t="s">
        <v>3</v>
      </c>
      <c r="BE218" t="s">
        <v>3</v>
      </c>
      <c r="BF218" t="s">
        <v>3</v>
      </c>
      <c r="BG218" t="s">
        <v>3</v>
      </c>
      <c r="BH218">
        <v>0</v>
      </c>
      <c r="BI218">
        <v>1</v>
      </c>
      <c r="BJ218" t="s">
        <v>520</v>
      </c>
      <c r="BM218">
        <v>700011</v>
      </c>
      <c r="BN218">
        <v>0</v>
      </c>
      <c r="BO218" t="s">
        <v>3</v>
      </c>
      <c r="BP218">
        <v>0</v>
      </c>
      <c r="BQ218">
        <v>40</v>
      </c>
      <c r="BR218">
        <v>0</v>
      </c>
      <c r="BS218">
        <v>1</v>
      </c>
      <c r="BT218">
        <v>1</v>
      </c>
      <c r="BU218">
        <v>1</v>
      </c>
      <c r="BV218">
        <v>1</v>
      </c>
      <c r="BW218">
        <v>1</v>
      </c>
      <c r="BX218">
        <v>1</v>
      </c>
      <c r="BY218" t="s">
        <v>3</v>
      </c>
      <c r="BZ218">
        <v>0</v>
      </c>
      <c r="CA218">
        <v>0</v>
      </c>
      <c r="CB218" t="s">
        <v>3</v>
      </c>
      <c r="CE218">
        <v>0</v>
      </c>
      <c r="CF218">
        <v>0</v>
      </c>
      <c r="CG218">
        <v>0</v>
      </c>
      <c r="CM218">
        <v>0</v>
      </c>
      <c r="CN218" t="s">
        <v>3</v>
      </c>
      <c r="CO218">
        <v>0</v>
      </c>
      <c r="CP218">
        <f>AB218*AZ218</f>
        <v>190.03300000000002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C218" t="s">
        <v>3</v>
      </c>
      <c r="DD218" t="s">
        <v>3</v>
      </c>
      <c r="DE218" t="s">
        <v>3</v>
      </c>
      <c r="DF218" t="s">
        <v>3</v>
      </c>
      <c r="DG218" t="s">
        <v>3</v>
      </c>
      <c r="DH218" t="s">
        <v>3</v>
      </c>
      <c r="DI218" t="s">
        <v>3</v>
      </c>
      <c r="DJ218" t="s">
        <v>3</v>
      </c>
      <c r="DK218" t="s">
        <v>3</v>
      </c>
      <c r="DL218" t="s">
        <v>3</v>
      </c>
      <c r="DM218" t="s">
        <v>3</v>
      </c>
      <c r="DN218">
        <v>0</v>
      </c>
      <c r="DO218">
        <v>0</v>
      </c>
      <c r="DP218">
        <v>1</v>
      </c>
      <c r="DQ218">
        <v>1</v>
      </c>
      <c r="DU218">
        <v>1013</v>
      </c>
      <c r="DV218" t="s">
        <v>513</v>
      </c>
      <c r="DW218" t="s">
        <v>513</v>
      </c>
      <c r="DX218">
        <v>1</v>
      </c>
      <c r="DZ218" t="s">
        <v>3</v>
      </c>
      <c r="EA218" t="s">
        <v>3</v>
      </c>
      <c r="EB218" t="s">
        <v>3</v>
      </c>
      <c r="EC218" t="s">
        <v>3</v>
      </c>
      <c r="EE218">
        <v>140625621</v>
      </c>
      <c r="EF218">
        <v>40</v>
      </c>
      <c r="EG218" t="s">
        <v>521</v>
      </c>
      <c r="EH218">
        <v>107</v>
      </c>
      <c r="EI218" t="s">
        <v>522</v>
      </c>
      <c r="EJ218">
        <v>1</v>
      </c>
      <c r="EK218">
        <v>700011</v>
      </c>
      <c r="EL218" t="s">
        <v>523</v>
      </c>
      <c r="EM218" t="s">
        <v>524</v>
      </c>
      <c r="EO218" t="s">
        <v>3</v>
      </c>
      <c r="EQ218">
        <v>0</v>
      </c>
      <c r="ER218">
        <v>0</v>
      </c>
      <c r="ES218">
        <v>0</v>
      </c>
      <c r="ET218">
        <v>0</v>
      </c>
      <c r="EU218">
        <v>0</v>
      </c>
      <c r="EV218">
        <v>0</v>
      </c>
      <c r="EW218">
        <v>0</v>
      </c>
      <c r="EX218">
        <v>0</v>
      </c>
      <c r="EY218">
        <v>0</v>
      </c>
      <c r="FQ218">
        <v>0</v>
      </c>
      <c r="FR218">
        <f t="shared" si="242"/>
        <v>0</v>
      </c>
      <c r="FS218">
        <v>0</v>
      </c>
      <c r="FX218">
        <v>0</v>
      </c>
      <c r="FY218">
        <v>0</v>
      </c>
      <c r="GA218" t="s">
        <v>3</v>
      </c>
      <c r="GD218">
        <v>1</v>
      </c>
      <c r="GF218">
        <v>540390796</v>
      </c>
      <c r="GG218">
        <v>2</v>
      </c>
      <c r="GH218">
        <v>1</v>
      </c>
      <c r="GI218">
        <v>4</v>
      </c>
      <c r="GJ218">
        <v>2</v>
      </c>
      <c r="GK218">
        <v>0</v>
      </c>
      <c r="GL218">
        <f t="shared" si="243"/>
        <v>0</v>
      </c>
      <c r="GM218">
        <f>ROUND(CP218*I218,2)</f>
        <v>4285.24</v>
      </c>
      <c r="GN218">
        <f>IF(OR(BI218=0,BI218=1),ROUND(CP218*I218,2),0)</f>
        <v>4285.24</v>
      </c>
      <c r="GO218">
        <f>IF(BI218=2,ROUND(CP218*I218,2),0)</f>
        <v>0</v>
      </c>
      <c r="GP218">
        <f>IF(BI218=4,ROUND(CP218*I218,2)+GX218,0)</f>
        <v>0</v>
      </c>
      <c r="GR218">
        <v>0</v>
      </c>
      <c r="GS218">
        <v>0</v>
      </c>
      <c r="GT218">
        <v>0</v>
      </c>
      <c r="GU218" t="s">
        <v>3</v>
      </c>
      <c r="GV218">
        <f>0</f>
        <v>0</v>
      </c>
      <c r="GW218">
        <v>1</v>
      </c>
      <c r="GX218">
        <f>0</f>
        <v>0</v>
      </c>
      <c r="HA218">
        <v>0</v>
      </c>
      <c r="HB218">
        <v>0</v>
      </c>
      <c r="HC218">
        <v>0</v>
      </c>
      <c r="HD218">
        <f>GM218</f>
        <v>4285.24</v>
      </c>
      <c r="HE218" t="s">
        <v>3</v>
      </c>
      <c r="HF218" t="s">
        <v>3</v>
      </c>
      <c r="HM218" t="s">
        <v>3</v>
      </c>
      <c r="HN218" t="s">
        <v>3</v>
      </c>
      <c r="HO218" t="s">
        <v>3</v>
      </c>
      <c r="HP218" t="s">
        <v>3</v>
      </c>
      <c r="HQ218" t="s">
        <v>3</v>
      </c>
      <c r="IK218">
        <v>0</v>
      </c>
    </row>
    <row r="219" spans="1:245" x14ac:dyDescent="0.2">
      <c r="A219">
        <v>17</v>
      </c>
      <c r="B219">
        <v>1</v>
      </c>
      <c r="E219" t="s">
        <v>525</v>
      </c>
      <c r="F219" t="s">
        <v>526</v>
      </c>
      <c r="G219" t="s">
        <v>527</v>
      </c>
      <c r="H219" t="s">
        <v>513</v>
      </c>
      <c r="I219">
        <v>5.17</v>
      </c>
      <c r="J219">
        <v>0</v>
      </c>
      <c r="K219">
        <v>5.17</v>
      </c>
      <c r="O219">
        <f>0</f>
        <v>0</v>
      </c>
      <c r="P219">
        <f>0</f>
        <v>0</v>
      </c>
      <c r="Q219">
        <f>0</f>
        <v>0</v>
      </c>
      <c r="R219">
        <f>0</f>
        <v>0</v>
      </c>
      <c r="S219">
        <f>0</f>
        <v>0</v>
      </c>
      <c r="T219">
        <f>0</f>
        <v>0</v>
      </c>
      <c r="U219">
        <f>0</f>
        <v>0</v>
      </c>
      <c r="V219">
        <f>0</f>
        <v>0</v>
      </c>
      <c r="W219">
        <f>0</f>
        <v>0</v>
      </c>
      <c r="X219">
        <f>0</f>
        <v>0</v>
      </c>
      <c r="Y219">
        <f>0</f>
        <v>0</v>
      </c>
      <c r="AA219">
        <v>145026783</v>
      </c>
      <c r="AB219">
        <f>ROUND((AK219),2)</f>
        <v>2.91</v>
      </c>
      <c r="AC219">
        <f>0</f>
        <v>0</v>
      </c>
      <c r="AD219">
        <f>0</f>
        <v>0</v>
      </c>
      <c r="AE219">
        <f>0</f>
        <v>0</v>
      </c>
      <c r="AF219">
        <f>0</f>
        <v>0</v>
      </c>
      <c r="AG219">
        <f>0</f>
        <v>0</v>
      </c>
      <c r="AH219">
        <f>0</f>
        <v>0</v>
      </c>
      <c r="AI219">
        <f>0</f>
        <v>0</v>
      </c>
      <c r="AJ219">
        <f>0</f>
        <v>0</v>
      </c>
      <c r="AK219">
        <v>2.91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1</v>
      </c>
      <c r="AW219">
        <v>1</v>
      </c>
      <c r="AZ219">
        <v>12.38</v>
      </c>
      <c r="BA219">
        <v>1</v>
      </c>
      <c r="BB219">
        <v>1</v>
      </c>
      <c r="BC219">
        <v>1</v>
      </c>
      <c r="BD219" t="s">
        <v>3</v>
      </c>
      <c r="BE219" t="s">
        <v>3</v>
      </c>
      <c r="BF219" t="s">
        <v>3</v>
      </c>
      <c r="BG219" t="s">
        <v>3</v>
      </c>
      <c r="BH219">
        <v>0</v>
      </c>
      <c r="BI219">
        <v>1</v>
      </c>
      <c r="BJ219" t="s">
        <v>528</v>
      </c>
      <c r="BM219">
        <v>700011</v>
      </c>
      <c r="BN219">
        <v>0</v>
      </c>
      <c r="BO219" t="s">
        <v>3</v>
      </c>
      <c r="BP219">
        <v>0</v>
      </c>
      <c r="BQ219">
        <v>40</v>
      </c>
      <c r="BR219">
        <v>0</v>
      </c>
      <c r="BS219">
        <v>1</v>
      </c>
      <c r="BT219">
        <v>1</v>
      </c>
      <c r="BU219">
        <v>1</v>
      </c>
      <c r="BV219">
        <v>1</v>
      </c>
      <c r="BW219">
        <v>1</v>
      </c>
      <c r="BX219">
        <v>1</v>
      </c>
      <c r="BY219" t="s">
        <v>3</v>
      </c>
      <c r="BZ219">
        <v>0</v>
      </c>
      <c r="CA219">
        <v>0</v>
      </c>
      <c r="CB219" t="s">
        <v>3</v>
      </c>
      <c r="CE219">
        <v>0</v>
      </c>
      <c r="CF219">
        <v>0</v>
      </c>
      <c r="CG219">
        <v>0</v>
      </c>
      <c r="CM219">
        <v>0</v>
      </c>
      <c r="CN219" t="s">
        <v>3</v>
      </c>
      <c r="CO219">
        <v>0</v>
      </c>
      <c r="CP219">
        <f>AB219*AZ219</f>
        <v>36.025800000000004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C219" t="s">
        <v>3</v>
      </c>
      <c r="DD219" t="s">
        <v>3</v>
      </c>
      <c r="DE219" t="s">
        <v>3</v>
      </c>
      <c r="DF219" t="s">
        <v>3</v>
      </c>
      <c r="DG219" t="s">
        <v>3</v>
      </c>
      <c r="DH219" t="s">
        <v>3</v>
      </c>
      <c r="DI219" t="s">
        <v>3</v>
      </c>
      <c r="DJ219" t="s">
        <v>3</v>
      </c>
      <c r="DK219" t="s">
        <v>3</v>
      </c>
      <c r="DL219" t="s">
        <v>3</v>
      </c>
      <c r="DM219" t="s">
        <v>3</v>
      </c>
      <c r="DN219">
        <v>0</v>
      </c>
      <c r="DO219">
        <v>0</v>
      </c>
      <c r="DP219">
        <v>1</v>
      </c>
      <c r="DQ219">
        <v>1</v>
      </c>
      <c r="DU219">
        <v>1013</v>
      </c>
      <c r="DV219" t="s">
        <v>513</v>
      </c>
      <c r="DW219" t="s">
        <v>513</v>
      </c>
      <c r="DX219">
        <v>1</v>
      </c>
      <c r="DZ219" t="s">
        <v>3</v>
      </c>
      <c r="EA219" t="s">
        <v>3</v>
      </c>
      <c r="EB219" t="s">
        <v>3</v>
      </c>
      <c r="EC219" t="s">
        <v>3</v>
      </c>
      <c r="EE219">
        <v>140625621</v>
      </c>
      <c r="EF219">
        <v>40</v>
      </c>
      <c r="EG219" t="s">
        <v>521</v>
      </c>
      <c r="EH219">
        <v>107</v>
      </c>
      <c r="EI219" t="s">
        <v>522</v>
      </c>
      <c r="EJ219">
        <v>1</v>
      </c>
      <c r="EK219">
        <v>700011</v>
      </c>
      <c r="EL219" t="s">
        <v>523</v>
      </c>
      <c r="EM219" t="s">
        <v>524</v>
      </c>
      <c r="EO219" t="s">
        <v>3</v>
      </c>
      <c r="EQ219">
        <v>0</v>
      </c>
      <c r="ER219">
        <v>0</v>
      </c>
      <c r="ES219">
        <v>0</v>
      </c>
      <c r="ET219">
        <v>0</v>
      </c>
      <c r="EU219">
        <v>0</v>
      </c>
      <c r="EV219">
        <v>0</v>
      </c>
      <c r="EW219">
        <v>0</v>
      </c>
      <c r="EX219">
        <v>0</v>
      </c>
      <c r="EY219">
        <v>0</v>
      </c>
      <c r="FQ219">
        <v>0</v>
      </c>
      <c r="FR219">
        <f t="shared" si="242"/>
        <v>0</v>
      </c>
      <c r="FS219">
        <v>0</v>
      </c>
      <c r="FX219">
        <v>0</v>
      </c>
      <c r="FY219">
        <v>0</v>
      </c>
      <c r="GA219" t="s">
        <v>3</v>
      </c>
      <c r="GD219">
        <v>1</v>
      </c>
      <c r="GF219">
        <v>-953295224</v>
      </c>
      <c r="GG219">
        <v>2</v>
      </c>
      <c r="GH219">
        <v>1</v>
      </c>
      <c r="GI219">
        <v>4</v>
      </c>
      <c r="GJ219">
        <v>2</v>
      </c>
      <c r="GK219">
        <v>0</v>
      </c>
      <c r="GL219">
        <f t="shared" si="243"/>
        <v>0</v>
      </c>
      <c r="GM219">
        <f>ROUND(CP219*I219,2)</f>
        <v>186.25</v>
      </c>
      <c r="GN219">
        <f>IF(OR(BI219=0,BI219=1),ROUND(CP219*I219,2),0)</f>
        <v>186.25</v>
      </c>
      <c r="GO219">
        <f>IF(BI219=2,ROUND(CP219*I219,2),0)</f>
        <v>0</v>
      </c>
      <c r="GP219">
        <f>IF(BI219=4,ROUND(CP219*I219,2)+GX219,0)</f>
        <v>0</v>
      </c>
      <c r="GR219">
        <v>0</v>
      </c>
      <c r="GS219">
        <v>0</v>
      </c>
      <c r="GT219">
        <v>0</v>
      </c>
      <c r="GU219" t="s">
        <v>3</v>
      </c>
      <c r="GV219">
        <f>0</f>
        <v>0</v>
      </c>
      <c r="GW219">
        <v>1</v>
      </c>
      <c r="GX219">
        <f>0</f>
        <v>0</v>
      </c>
      <c r="HA219">
        <v>0</v>
      </c>
      <c r="HB219">
        <v>0</v>
      </c>
      <c r="HC219">
        <v>0</v>
      </c>
      <c r="HD219">
        <f>GM219</f>
        <v>186.25</v>
      </c>
      <c r="HE219" t="s">
        <v>3</v>
      </c>
      <c r="HF219" t="s">
        <v>3</v>
      </c>
      <c r="HM219" t="s">
        <v>3</v>
      </c>
      <c r="HN219" t="s">
        <v>3</v>
      </c>
      <c r="HO219" t="s">
        <v>3</v>
      </c>
      <c r="HP219" t="s">
        <v>3</v>
      </c>
      <c r="HQ219" t="s">
        <v>3</v>
      </c>
      <c r="IK219">
        <v>0</v>
      </c>
    </row>
    <row r="221" spans="1:245" x14ac:dyDescent="0.2">
      <c r="A221" s="2">
        <v>51</v>
      </c>
      <c r="B221" s="2">
        <f>B197</f>
        <v>1</v>
      </c>
      <c r="C221" s="2">
        <f>A197</f>
        <v>4</v>
      </c>
      <c r="D221" s="2">
        <f>ROW(A197)</f>
        <v>197</v>
      </c>
      <c r="E221" s="2"/>
      <c r="F221" s="2" t="str">
        <f>IF(F197&lt;&gt;"",F197,"")</f>
        <v>Новый раздел</v>
      </c>
      <c r="G221" s="2" t="str">
        <f>IF(G197&lt;&gt;"",G197,"")</f>
        <v>Ремонт крыльца</v>
      </c>
      <c r="H221" s="2">
        <v>0</v>
      </c>
      <c r="I221" s="2"/>
      <c r="J221" s="2"/>
      <c r="K221" s="2"/>
      <c r="L221" s="2"/>
      <c r="M221" s="2"/>
      <c r="N221" s="2"/>
      <c r="O221" s="2">
        <f t="shared" ref="O221:T221" si="255">ROUND(AB221,2)</f>
        <v>43751.38</v>
      </c>
      <c r="P221" s="2">
        <f t="shared" si="255"/>
        <v>27325.95</v>
      </c>
      <c r="Q221" s="2">
        <f t="shared" si="255"/>
        <v>655.04999999999995</v>
      </c>
      <c r="R221" s="2">
        <f t="shared" si="255"/>
        <v>509.36</v>
      </c>
      <c r="S221" s="2">
        <f t="shared" si="255"/>
        <v>15770.38</v>
      </c>
      <c r="T221" s="2">
        <f t="shared" si="255"/>
        <v>0</v>
      </c>
      <c r="U221" s="2">
        <f>AH221</f>
        <v>57.749929999999999</v>
      </c>
      <c r="V221" s="2">
        <f>AI221</f>
        <v>1.3029500000000001</v>
      </c>
      <c r="W221" s="2">
        <f>ROUND(AJ221,2)</f>
        <v>0</v>
      </c>
      <c r="X221" s="2">
        <f>ROUND(AK221,2)</f>
        <v>16571.03</v>
      </c>
      <c r="Y221" s="2">
        <f>ROUND(AL221,2)</f>
        <v>8348.69</v>
      </c>
      <c r="Z221" s="2"/>
      <c r="AA221" s="2"/>
      <c r="AB221" s="2">
        <f>ROUND(SUMIF(AA201:AA219,"=145026783",O201:O219),2)</f>
        <v>43751.38</v>
      </c>
      <c r="AC221" s="2">
        <f>ROUND(SUMIF(AA201:AA219,"=145026783",P201:P219),2)</f>
        <v>27325.95</v>
      </c>
      <c r="AD221" s="2">
        <f>ROUND(SUMIF(AA201:AA219,"=145026783",Q201:Q219),2)</f>
        <v>655.04999999999995</v>
      </c>
      <c r="AE221" s="2">
        <f>ROUND(SUMIF(AA201:AA219,"=145026783",R201:R219),2)</f>
        <v>509.36</v>
      </c>
      <c r="AF221" s="2">
        <f>ROUND(SUMIF(AA201:AA219,"=145026783",S201:S219),2)</f>
        <v>15770.38</v>
      </c>
      <c r="AG221" s="2">
        <f>ROUND(SUMIF(AA201:AA219,"=145026783",T201:T219),2)</f>
        <v>0</v>
      </c>
      <c r="AH221" s="2">
        <f>SUMIF(AA201:AA219,"=145026783",U201:U219)</f>
        <v>57.749929999999999</v>
      </c>
      <c r="AI221" s="2">
        <f>SUMIF(AA201:AA219,"=145026783",V201:V219)</f>
        <v>1.3029500000000001</v>
      </c>
      <c r="AJ221" s="2">
        <f>ROUND(SUMIF(AA201:AA219,"=145026783",W201:W219),2)</f>
        <v>0</v>
      </c>
      <c r="AK221" s="2">
        <f>ROUND(SUMIF(AA201:AA219,"=145026783",X201:X219),2)</f>
        <v>16571.03</v>
      </c>
      <c r="AL221" s="2">
        <f>ROUND(SUMIF(AA201:AA219,"=145026783",Y201:Y219),2)</f>
        <v>8348.69</v>
      </c>
      <c r="AM221" s="2"/>
      <c r="AN221" s="2"/>
      <c r="AO221" s="2">
        <f t="shared" ref="AO221:BD221" si="256">ROUND(BX221,2)</f>
        <v>0</v>
      </c>
      <c r="AP221" s="2">
        <f t="shared" si="256"/>
        <v>0</v>
      </c>
      <c r="AQ221" s="2">
        <f t="shared" si="256"/>
        <v>0</v>
      </c>
      <c r="AR221" s="2">
        <f t="shared" si="256"/>
        <v>74268.61</v>
      </c>
      <c r="AS221" s="2">
        <f t="shared" si="256"/>
        <v>74268.61</v>
      </c>
      <c r="AT221" s="2">
        <f t="shared" si="256"/>
        <v>0</v>
      </c>
      <c r="AU221" s="2">
        <f t="shared" si="256"/>
        <v>0</v>
      </c>
      <c r="AV221" s="2">
        <f t="shared" si="256"/>
        <v>27325.95</v>
      </c>
      <c r="AW221" s="2">
        <f t="shared" si="256"/>
        <v>27325.95</v>
      </c>
      <c r="AX221" s="2">
        <f t="shared" si="256"/>
        <v>0</v>
      </c>
      <c r="AY221" s="2">
        <f t="shared" si="256"/>
        <v>27325.95</v>
      </c>
      <c r="AZ221" s="2">
        <f t="shared" si="256"/>
        <v>0</v>
      </c>
      <c r="BA221" s="2">
        <f t="shared" si="256"/>
        <v>0</v>
      </c>
      <c r="BB221" s="2">
        <f t="shared" si="256"/>
        <v>0</v>
      </c>
      <c r="BC221" s="2">
        <f t="shared" si="256"/>
        <v>0</v>
      </c>
      <c r="BD221" s="2">
        <f t="shared" si="256"/>
        <v>5597.51</v>
      </c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>
        <f>ROUND(SUMIF(AA201:AA219,"=145026783",FQ201:FQ219),2)</f>
        <v>0</v>
      </c>
      <c r="BY221" s="2">
        <f>ROUND(SUMIF(AA201:AA219,"=145026783",FR201:FR219),2)</f>
        <v>0</v>
      </c>
      <c r="BZ221" s="2">
        <f>ROUND(SUMIF(AA201:AA219,"=145026783",GL201:GL219),2)</f>
        <v>0</v>
      </c>
      <c r="CA221" s="2">
        <f>ROUND(SUMIF(AA201:AA219,"=145026783",GM201:GM219),2)</f>
        <v>74268.61</v>
      </c>
      <c r="CB221" s="2">
        <f>ROUND(SUMIF(AA201:AA219,"=145026783",GN201:GN219),2)</f>
        <v>74268.61</v>
      </c>
      <c r="CC221" s="2">
        <f>ROUND(SUMIF(AA201:AA219,"=145026783",GO201:GO219),2)</f>
        <v>0</v>
      </c>
      <c r="CD221" s="2">
        <f>ROUND(SUMIF(AA201:AA219,"=145026783",GP201:GP219),2)</f>
        <v>0</v>
      </c>
      <c r="CE221" s="2">
        <f>AC221-BX221</f>
        <v>27325.95</v>
      </c>
      <c r="CF221" s="2">
        <f>AC221-BY221</f>
        <v>27325.95</v>
      </c>
      <c r="CG221" s="2">
        <f>BX221-BZ221</f>
        <v>0</v>
      </c>
      <c r="CH221" s="2">
        <f>AC221-BX221-BY221+BZ221</f>
        <v>27325.95</v>
      </c>
      <c r="CI221" s="2">
        <f>BY221-BZ221</f>
        <v>0</v>
      </c>
      <c r="CJ221" s="2">
        <f>ROUND(SUMIF(AA201:AA219,"=145026783",GX201:GX219),2)</f>
        <v>0</v>
      </c>
      <c r="CK221" s="2">
        <f>ROUND(SUMIF(AA201:AA219,"=145026783",GY201:GY219),2)</f>
        <v>0</v>
      </c>
      <c r="CL221" s="2">
        <f>ROUND(SUMIF(AA201:AA219,"=145026783",GZ201:GZ219),2)</f>
        <v>0</v>
      </c>
      <c r="CM221" s="2">
        <f>ROUND(SUMIF(AA201:AA219,"=145026783",HD201:HD219),2)</f>
        <v>5597.51</v>
      </c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>
        <v>0</v>
      </c>
    </row>
    <row r="223" spans="1:245" x14ac:dyDescent="0.2">
      <c r="A223" s="4">
        <v>50</v>
      </c>
      <c r="B223" s="4">
        <v>0</v>
      </c>
      <c r="C223" s="4">
        <v>0</v>
      </c>
      <c r="D223" s="4">
        <v>1</v>
      </c>
      <c r="E223" s="4">
        <v>201</v>
      </c>
      <c r="F223" s="4">
        <f>ROUND(Source!O221,O223)</f>
        <v>43751.38</v>
      </c>
      <c r="G223" s="4" t="s">
        <v>319</v>
      </c>
      <c r="H223" s="4" t="s">
        <v>320</v>
      </c>
      <c r="I223" s="4"/>
      <c r="J223" s="4"/>
      <c r="K223" s="4">
        <v>201</v>
      </c>
      <c r="L223" s="4">
        <v>1</v>
      </c>
      <c r="M223" s="4">
        <v>3</v>
      </c>
      <c r="N223" s="4" t="s">
        <v>3</v>
      </c>
      <c r="O223" s="4">
        <v>2</v>
      </c>
      <c r="P223" s="4"/>
      <c r="Q223" s="4"/>
      <c r="R223" s="4"/>
      <c r="S223" s="4"/>
      <c r="T223" s="4"/>
      <c r="U223" s="4"/>
      <c r="V223" s="4"/>
      <c r="W223" s="4">
        <v>43751.38</v>
      </c>
      <c r="X223" s="4">
        <v>1</v>
      </c>
      <c r="Y223" s="4">
        <v>43751.38</v>
      </c>
      <c r="Z223" s="4"/>
      <c r="AA223" s="4"/>
      <c r="AB223" s="4"/>
    </row>
    <row r="224" spans="1:245" x14ac:dyDescent="0.2">
      <c r="A224" s="4">
        <v>50</v>
      </c>
      <c r="B224" s="4">
        <v>0</v>
      </c>
      <c r="C224" s="4">
        <v>0</v>
      </c>
      <c r="D224" s="4">
        <v>1</v>
      </c>
      <c r="E224" s="4">
        <v>202</v>
      </c>
      <c r="F224" s="4">
        <f>ROUND(Source!P221,O224)</f>
        <v>27325.95</v>
      </c>
      <c r="G224" s="4" t="s">
        <v>321</v>
      </c>
      <c r="H224" s="4" t="s">
        <v>322</v>
      </c>
      <c r="I224" s="4"/>
      <c r="J224" s="4"/>
      <c r="K224" s="4">
        <v>202</v>
      </c>
      <c r="L224" s="4">
        <v>2</v>
      </c>
      <c r="M224" s="4">
        <v>3</v>
      </c>
      <c r="N224" s="4" t="s">
        <v>3</v>
      </c>
      <c r="O224" s="4">
        <v>2</v>
      </c>
      <c r="P224" s="4"/>
      <c r="Q224" s="4"/>
      <c r="R224" s="4"/>
      <c r="S224" s="4"/>
      <c r="T224" s="4"/>
      <c r="U224" s="4"/>
      <c r="V224" s="4"/>
      <c r="W224" s="4">
        <v>27325.95</v>
      </c>
      <c r="X224" s="4">
        <v>1</v>
      </c>
      <c r="Y224" s="4">
        <v>27325.95</v>
      </c>
      <c r="Z224" s="4"/>
      <c r="AA224" s="4"/>
      <c r="AB224" s="4"/>
    </row>
    <row r="225" spans="1:28" x14ac:dyDescent="0.2">
      <c r="A225" s="4">
        <v>50</v>
      </c>
      <c r="B225" s="4">
        <v>0</v>
      </c>
      <c r="C225" s="4">
        <v>0</v>
      </c>
      <c r="D225" s="4">
        <v>1</v>
      </c>
      <c r="E225" s="4">
        <v>222</v>
      </c>
      <c r="F225" s="4">
        <f>ROUND(Source!AO221,O225)</f>
        <v>0</v>
      </c>
      <c r="G225" s="4" t="s">
        <v>323</v>
      </c>
      <c r="H225" s="4" t="s">
        <v>324</v>
      </c>
      <c r="I225" s="4"/>
      <c r="J225" s="4"/>
      <c r="K225" s="4">
        <v>222</v>
      </c>
      <c r="L225" s="4">
        <v>3</v>
      </c>
      <c r="M225" s="4">
        <v>3</v>
      </c>
      <c r="N225" s="4" t="s">
        <v>3</v>
      </c>
      <c r="O225" s="4">
        <v>2</v>
      </c>
      <c r="P225" s="4"/>
      <c r="Q225" s="4"/>
      <c r="R225" s="4"/>
      <c r="S225" s="4"/>
      <c r="T225" s="4"/>
      <c r="U225" s="4"/>
      <c r="V225" s="4"/>
      <c r="W225" s="4">
        <v>0</v>
      </c>
      <c r="X225" s="4">
        <v>1</v>
      </c>
      <c r="Y225" s="4">
        <v>0</v>
      </c>
      <c r="Z225" s="4"/>
      <c r="AA225" s="4"/>
      <c r="AB225" s="4"/>
    </row>
    <row r="226" spans="1:28" x14ac:dyDescent="0.2">
      <c r="A226" s="4">
        <v>50</v>
      </c>
      <c r="B226" s="4">
        <v>0</v>
      </c>
      <c r="C226" s="4">
        <v>0</v>
      </c>
      <c r="D226" s="4">
        <v>1</v>
      </c>
      <c r="E226" s="4">
        <v>225</v>
      </c>
      <c r="F226" s="4">
        <f>ROUND(Source!AV221,O226)</f>
        <v>27325.95</v>
      </c>
      <c r="G226" s="4" t="s">
        <v>325</v>
      </c>
      <c r="H226" s="4" t="s">
        <v>326</v>
      </c>
      <c r="I226" s="4"/>
      <c r="J226" s="4"/>
      <c r="K226" s="4">
        <v>225</v>
      </c>
      <c r="L226" s="4">
        <v>4</v>
      </c>
      <c r="M226" s="4">
        <v>3</v>
      </c>
      <c r="N226" s="4" t="s">
        <v>3</v>
      </c>
      <c r="O226" s="4">
        <v>2</v>
      </c>
      <c r="P226" s="4"/>
      <c r="Q226" s="4"/>
      <c r="R226" s="4"/>
      <c r="S226" s="4"/>
      <c r="T226" s="4"/>
      <c r="U226" s="4"/>
      <c r="V226" s="4"/>
      <c r="W226" s="4">
        <v>27325.95</v>
      </c>
      <c r="X226" s="4">
        <v>1</v>
      </c>
      <c r="Y226" s="4">
        <v>27325.95</v>
      </c>
      <c r="Z226" s="4"/>
      <c r="AA226" s="4"/>
      <c r="AB226" s="4"/>
    </row>
    <row r="227" spans="1:28" x14ac:dyDescent="0.2">
      <c r="A227" s="4">
        <v>50</v>
      </c>
      <c r="B227" s="4">
        <v>0</v>
      </c>
      <c r="C227" s="4">
        <v>0</v>
      </c>
      <c r="D227" s="4">
        <v>1</v>
      </c>
      <c r="E227" s="4">
        <v>226</v>
      </c>
      <c r="F227" s="4">
        <f>ROUND(Source!AW221,O227)</f>
        <v>27325.95</v>
      </c>
      <c r="G227" s="4" t="s">
        <v>327</v>
      </c>
      <c r="H227" s="4" t="s">
        <v>328</v>
      </c>
      <c r="I227" s="4"/>
      <c r="J227" s="4"/>
      <c r="K227" s="4">
        <v>226</v>
      </c>
      <c r="L227" s="4">
        <v>5</v>
      </c>
      <c r="M227" s="4">
        <v>3</v>
      </c>
      <c r="N227" s="4" t="s">
        <v>3</v>
      </c>
      <c r="O227" s="4">
        <v>2</v>
      </c>
      <c r="P227" s="4"/>
      <c r="Q227" s="4"/>
      <c r="R227" s="4"/>
      <c r="S227" s="4"/>
      <c r="T227" s="4"/>
      <c r="U227" s="4"/>
      <c r="V227" s="4"/>
      <c r="W227" s="4">
        <v>27325.95</v>
      </c>
      <c r="X227" s="4">
        <v>1</v>
      </c>
      <c r="Y227" s="4">
        <v>27325.95</v>
      </c>
      <c r="Z227" s="4"/>
      <c r="AA227" s="4"/>
      <c r="AB227" s="4"/>
    </row>
    <row r="228" spans="1:28" x14ac:dyDescent="0.2">
      <c r="A228" s="4">
        <v>50</v>
      </c>
      <c r="B228" s="4">
        <v>0</v>
      </c>
      <c r="C228" s="4">
        <v>0</v>
      </c>
      <c r="D228" s="4">
        <v>1</v>
      </c>
      <c r="E228" s="4">
        <v>227</v>
      </c>
      <c r="F228" s="4">
        <f>ROUND(Source!AX221,O228)</f>
        <v>0</v>
      </c>
      <c r="G228" s="4" t="s">
        <v>329</v>
      </c>
      <c r="H228" s="4" t="s">
        <v>330</v>
      </c>
      <c r="I228" s="4"/>
      <c r="J228" s="4"/>
      <c r="K228" s="4">
        <v>227</v>
      </c>
      <c r="L228" s="4">
        <v>6</v>
      </c>
      <c r="M228" s="4">
        <v>3</v>
      </c>
      <c r="N228" s="4" t="s">
        <v>3</v>
      </c>
      <c r="O228" s="4">
        <v>2</v>
      </c>
      <c r="P228" s="4"/>
      <c r="Q228" s="4"/>
      <c r="R228" s="4"/>
      <c r="S228" s="4"/>
      <c r="T228" s="4"/>
      <c r="U228" s="4"/>
      <c r="V228" s="4"/>
      <c r="W228" s="4">
        <v>0</v>
      </c>
      <c r="X228" s="4">
        <v>1</v>
      </c>
      <c r="Y228" s="4">
        <v>0</v>
      </c>
      <c r="Z228" s="4"/>
      <c r="AA228" s="4"/>
      <c r="AB228" s="4"/>
    </row>
    <row r="229" spans="1:28" x14ac:dyDescent="0.2">
      <c r="A229" s="4">
        <v>50</v>
      </c>
      <c r="B229" s="4">
        <v>0</v>
      </c>
      <c r="C229" s="4">
        <v>0</v>
      </c>
      <c r="D229" s="4">
        <v>1</v>
      </c>
      <c r="E229" s="4">
        <v>228</v>
      </c>
      <c r="F229" s="4">
        <f>ROUND(Source!AY221,O229)</f>
        <v>27325.95</v>
      </c>
      <c r="G229" s="4" t="s">
        <v>331</v>
      </c>
      <c r="H229" s="4" t="s">
        <v>332</v>
      </c>
      <c r="I229" s="4"/>
      <c r="J229" s="4"/>
      <c r="K229" s="4">
        <v>228</v>
      </c>
      <c r="L229" s="4">
        <v>7</v>
      </c>
      <c r="M229" s="4">
        <v>3</v>
      </c>
      <c r="N229" s="4" t="s">
        <v>3</v>
      </c>
      <c r="O229" s="4">
        <v>2</v>
      </c>
      <c r="P229" s="4"/>
      <c r="Q229" s="4"/>
      <c r="R229" s="4"/>
      <c r="S229" s="4"/>
      <c r="T229" s="4"/>
      <c r="U229" s="4"/>
      <c r="V229" s="4"/>
      <c r="W229" s="4">
        <v>27325.95</v>
      </c>
      <c r="X229" s="4">
        <v>1</v>
      </c>
      <c r="Y229" s="4">
        <v>27325.95</v>
      </c>
      <c r="Z229" s="4"/>
      <c r="AA229" s="4"/>
      <c r="AB229" s="4"/>
    </row>
    <row r="230" spans="1:28" x14ac:dyDescent="0.2">
      <c r="A230" s="4">
        <v>50</v>
      </c>
      <c r="B230" s="4">
        <v>0</v>
      </c>
      <c r="C230" s="4">
        <v>0</v>
      </c>
      <c r="D230" s="4">
        <v>1</v>
      </c>
      <c r="E230" s="4">
        <v>216</v>
      </c>
      <c r="F230" s="4">
        <f>ROUND(Source!AP221,O230)</f>
        <v>0</v>
      </c>
      <c r="G230" s="4" t="s">
        <v>333</v>
      </c>
      <c r="H230" s="4" t="s">
        <v>334</v>
      </c>
      <c r="I230" s="4"/>
      <c r="J230" s="4"/>
      <c r="K230" s="4">
        <v>216</v>
      </c>
      <c r="L230" s="4">
        <v>8</v>
      </c>
      <c r="M230" s="4">
        <v>3</v>
      </c>
      <c r="N230" s="4" t="s">
        <v>3</v>
      </c>
      <c r="O230" s="4">
        <v>2</v>
      </c>
      <c r="P230" s="4"/>
      <c r="Q230" s="4"/>
      <c r="R230" s="4"/>
      <c r="S230" s="4"/>
      <c r="T230" s="4"/>
      <c r="U230" s="4"/>
      <c r="V230" s="4"/>
      <c r="W230" s="4">
        <v>0</v>
      </c>
      <c r="X230" s="4">
        <v>1</v>
      </c>
      <c r="Y230" s="4">
        <v>0</v>
      </c>
      <c r="Z230" s="4"/>
      <c r="AA230" s="4"/>
      <c r="AB230" s="4"/>
    </row>
    <row r="231" spans="1:28" x14ac:dyDescent="0.2">
      <c r="A231" s="4">
        <v>50</v>
      </c>
      <c r="B231" s="4">
        <v>0</v>
      </c>
      <c r="C231" s="4">
        <v>0</v>
      </c>
      <c r="D231" s="4">
        <v>1</v>
      </c>
      <c r="E231" s="4">
        <v>223</v>
      </c>
      <c r="F231" s="4">
        <f>ROUND(Source!AQ221,O231)</f>
        <v>0</v>
      </c>
      <c r="G231" s="4" t="s">
        <v>335</v>
      </c>
      <c r="H231" s="4" t="s">
        <v>336</v>
      </c>
      <c r="I231" s="4"/>
      <c r="J231" s="4"/>
      <c r="K231" s="4">
        <v>223</v>
      </c>
      <c r="L231" s="4">
        <v>9</v>
      </c>
      <c r="M231" s="4">
        <v>3</v>
      </c>
      <c r="N231" s="4" t="s">
        <v>3</v>
      </c>
      <c r="O231" s="4">
        <v>2</v>
      </c>
      <c r="P231" s="4"/>
      <c r="Q231" s="4"/>
      <c r="R231" s="4"/>
      <c r="S231" s="4"/>
      <c r="T231" s="4"/>
      <c r="U231" s="4"/>
      <c r="V231" s="4"/>
      <c r="W231" s="4">
        <v>0</v>
      </c>
      <c r="X231" s="4">
        <v>1</v>
      </c>
      <c r="Y231" s="4">
        <v>0</v>
      </c>
      <c r="Z231" s="4"/>
      <c r="AA231" s="4"/>
      <c r="AB231" s="4"/>
    </row>
    <row r="232" spans="1:28" x14ac:dyDescent="0.2">
      <c r="A232" s="4">
        <v>50</v>
      </c>
      <c r="B232" s="4">
        <v>0</v>
      </c>
      <c r="C232" s="4">
        <v>0</v>
      </c>
      <c r="D232" s="4">
        <v>1</v>
      </c>
      <c r="E232" s="4">
        <v>229</v>
      </c>
      <c r="F232" s="4">
        <f>ROUND(Source!AZ221,O232)</f>
        <v>0</v>
      </c>
      <c r="G232" s="4" t="s">
        <v>337</v>
      </c>
      <c r="H232" s="4" t="s">
        <v>338</v>
      </c>
      <c r="I232" s="4"/>
      <c r="J232" s="4"/>
      <c r="K232" s="4">
        <v>229</v>
      </c>
      <c r="L232" s="4">
        <v>10</v>
      </c>
      <c r="M232" s="4">
        <v>3</v>
      </c>
      <c r="N232" s="4" t="s">
        <v>3</v>
      </c>
      <c r="O232" s="4">
        <v>2</v>
      </c>
      <c r="P232" s="4"/>
      <c r="Q232" s="4"/>
      <c r="R232" s="4"/>
      <c r="S232" s="4"/>
      <c r="T232" s="4"/>
      <c r="U232" s="4"/>
      <c r="V232" s="4"/>
      <c r="W232" s="4">
        <v>0</v>
      </c>
      <c r="X232" s="4">
        <v>1</v>
      </c>
      <c r="Y232" s="4">
        <v>0</v>
      </c>
      <c r="Z232" s="4"/>
      <c r="AA232" s="4"/>
      <c r="AB232" s="4"/>
    </row>
    <row r="233" spans="1:28" x14ac:dyDescent="0.2">
      <c r="A233" s="4">
        <v>50</v>
      </c>
      <c r="B233" s="4">
        <v>0</v>
      </c>
      <c r="C233" s="4">
        <v>0</v>
      </c>
      <c r="D233" s="4">
        <v>1</v>
      </c>
      <c r="E233" s="4">
        <v>203</v>
      </c>
      <c r="F233" s="4">
        <f>ROUND(Source!Q221,O233)</f>
        <v>655.04999999999995</v>
      </c>
      <c r="G233" s="4" t="s">
        <v>339</v>
      </c>
      <c r="H233" s="4" t="s">
        <v>340</v>
      </c>
      <c r="I233" s="4"/>
      <c r="J233" s="4"/>
      <c r="K233" s="4">
        <v>203</v>
      </c>
      <c r="L233" s="4">
        <v>11</v>
      </c>
      <c r="M233" s="4">
        <v>3</v>
      </c>
      <c r="N233" s="4" t="s">
        <v>3</v>
      </c>
      <c r="O233" s="4">
        <v>2</v>
      </c>
      <c r="P233" s="4"/>
      <c r="Q233" s="4"/>
      <c r="R233" s="4"/>
      <c r="S233" s="4"/>
      <c r="T233" s="4"/>
      <c r="U233" s="4"/>
      <c r="V233" s="4"/>
      <c r="W233" s="4">
        <v>655.04999999999995</v>
      </c>
      <c r="X233" s="4">
        <v>1</v>
      </c>
      <c r="Y233" s="4">
        <v>655.04999999999995</v>
      </c>
      <c r="Z233" s="4"/>
      <c r="AA233" s="4"/>
      <c r="AB233" s="4"/>
    </row>
    <row r="234" spans="1:28" x14ac:dyDescent="0.2">
      <c r="A234" s="4">
        <v>50</v>
      </c>
      <c r="B234" s="4">
        <v>0</v>
      </c>
      <c r="C234" s="4">
        <v>0</v>
      </c>
      <c r="D234" s="4">
        <v>1</v>
      </c>
      <c r="E234" s="4">
        <v>231</v>
      </c>
      <c r="F234" s="4">
        <f>ROUND(Source!BB221,O234)</f>
        <v>0</v>
      </c>
      <c r="G234" s="4" t="s">
        <v>341</v>
      </c>
      <c r="H234" s="4" t="s">
        <v>342</v>
      </c>
      <c r="I234" s="4"/>
      <c r="J234" s="4"/>
      <c r="K234" s="4">
        <v>231</v>
      </c>
      <c r="L234" s="4">
        <v>12</v>
      </c>
      <c r="M234" s="4">
        <v>3</v>
      </c>
      <c r="N234" s="4" t="s">
        <v>3</v>
      </c>
      <c r="O234" s="4">
        <v>2</v>
      </c>
      <c r="P234" s="4"/>
      <c r="Q234" s="4"/>
      <c r="R234" s="4"/>
      <c r="S234" s="4"/>
      <c r="T234" s="4"/>
      <c r="U234" s="4"/>
      <c r="V234" s="4"/>
      <c r="W234" s="4">
        <v>0</v>
      </c>
      <c r="X234" s="4">
        <v>1</v>
      </c>
      <c r="Y234" s="4">
        <v>0</v>
      </c>
      <c r="Z234" s="4"/>
      <c r="AA234" s="4"/>
      <c r="AB234" s="4"/>
    </row>
    <row r="235" spans="1:28" x14ac:dyDescent="0.2">
      <c r="A235" s="4">
        <v>50</v>
      </c>
      <c r="B235" s="4">
        <v>0</v>
      </c>
      <c r="C235" s="4">
        <v>0</v>
      </c>
      <c r="D235" s="4">
        <v>1</v>
      </c>
      <c r="E235" s="4">
        <v>204</v>
      </c>
      <c r="F235" s="4">
        <f>ROUND(Source!R221,O235)</f>
        <v>509.36</v>
      </c>
      <c r="G235" s="4" t="s">
        <v>343</v>
      </c>
      <c r="H235" s="4" t="s">
        <v>344</v>
      </c>
      <c r="I235" s="4"/>
      <c r="J235" s="4"/>
      <c r="K235" s="4">
        <v>204</v>
      </c>
      <c r="L235" s="4">
        <v>13</v>
      </c>
      <c r="M235" s="4">
        <v>3</v>
      </c>
      <c r="N235" s="4" t="s">
        <v>3</v>
      </c>
      <c r="O235" s="4">
        <v>2</v>
      </c>
      <c r="P235" s="4"/>
      <c r="Q235" s="4"/>
      <c r="R235" s="4"/>
      <c r="S235" s="4"/>
      <c r="T235" s="4"/>
      <c r="U235" s="4"/>
      <c r="V235" s="4"/>
      <c r="W235" s="4">
        <v>509.36</v>
      </c>
      <c r="X235" s="4">
        <v>1</v>
      </c>
      <c r="Y235" s="4">
        <v>509.36</v>
      </c>
      <c r="Z235" s="4"/>
      <c r="AA235" s="4"/>
      <c r="AB235" s="4"/>
    </row>
    <row r="236" spans="1:28" x14ac:dyDescent="0.2">
      <c r="A236" s="4">
        <v>50</v>
      </c>
      <c r="B236" s="4">
        <v>0</v>
      </c>
      <c r="C236" s="4">
        <v>0</v>
      </c>
      <c r="D236" s="4">
        <v>1</v>
      </c>
      <c r="E236" s="4">
        <v>205</v>
      </c>
      <c r="F236" s="4">
        <f>ROUND(Source!S221,O236)</f>
        <v>15770.38</v>
      </c>
      <c r="G236" s="4" t="s">
        <v>345</v>
      </c>
      <c r="H236" s="4" t="s">
        <v>346</v>
      </c>
      <c r="I236" s="4"/>
      <c r="J236" s="4"/>
      <c r="K236" s="4">
        <v>205</v>
      </c>
      <c r="L236" s="4">
        <v>14</v>
      </c>
      <c r="M236" s="4">
        <v>3</v>
      </c>
      <c r="N236" s="4" t="s">
        <v>3</v>
      </c>
      <c r="O236" s="4">
        <v>2</v>
      </c>
      <c r="P236" s="4"/>
      <c r="Q236" s="4"/>
      <c r="R236" s="4"/>
      <c r="S236" s="4"/>
      <c r="T236" s="4"/>
      <c r="U236" s="4"/>
      <c r="V236" s="4"/>
      <c r="W236" s="4">
        <v>15770.38</v>
      </c>
      <c r="X236" s="4">
        <v>1</v>
      </c>
      <c r="Y236" s="4">
        <v>15770.38</v>
      </c>
      <c r="Z236" s="4"/>
      <c r="AA236" s="4"/>
      <c r="AB236" s="4"/>
    </row>
    <row r="237" spans="1:28" x14ac:dyDescent="0.2">
      <c r="A237" s="4">
        <v>50</v>
      </c>
      <c r="B237" s="4">
        <v>0</v>
      </c>
      <c r="C237" s="4">
        <v>0</v>
      </c>
      <c r="D237" s="4">
        <v>1</v>
      </c>
      <c r="E237" s="4">
        <v>232</v>
      </c>
      <c r="F237" s="4">
        <f>ROUND(Source!BC221,O237)</f>
        <v>0</v>
      </c>
      <c r="G237" s="4" t="s">
        <v>347</v>
      </c>
      <c r="H237" s="4" t="s">
        <v>348</v>
      </c>
      <c r="I237" s="4"/>
      <c r="J237" s="4"/>
      <c r="K237" s="4">
        <v>232</v>
      </c>
      <c r="L237" s="4">
        <v>15</v>
      </c>
      <c r="M237" s="4">
        <v>3</v>
      </c>
      <c r="N237" s="4" t="s">
        <v>3</v>
      </c>
      <c r="O237" s="4">
        <v>2</v>
      </c>
      <c r="P237" s="4"/>
      <c r="Q237" s="4"/>
      <c r="R237" s="4"/>
      <c r="S237" s="4"/>
      <c r="T237" s="4"/>
      <c r="U237" s="4"/>
      <c r="V237" s="4"/>
      <c r="W237" s="4">
        <v>0</v>
      </c>
      <c r="X237" s="4">
        <v>1</v>
      </c>
      <c r="Y237" s="4">
        <v>0</v>
      </c>
      <c r="Z237" s="4"/>
      <c r="AA237" s="4"/>
      <c r="AB237" s="4"/>
    </row>
    <row r="238" spans="1:28" x14ac:dyDescent="0.2">
      <c r="A238" s="4">
        <v>50</v>
      </c>
      <c r="B238" s="4">
        <v>0</v>
      </c>
      <c r="C238" s="4">
        <v>0</v>
      </c>
      <c r="D238" s="4">
        <v>1</v>
      </c>
      <c r="E238" s="4">
        <v>214</v>
      </c>
      <c r="F238" s="4">
        <f>ROUND(Source!AS221,O238)</f>
        <v>74268.61</v>
      </c>
      <c r="G238" s="4" t="s">
        <v>349</v>
      </c>
      <c r="H238" s="4" t="s">
        <v>350</v>
      </c>
      <c r="I238" s="4"/>
      <c r="J238" s="4"/>
      <c r="K238" s="4">
        <v>214</v>
      </c>
      <c r="L238" s="4">
        <v>16</v>
      </c>
      <c r="M238" s="4">
        <v>3</v>
      </c>
      <c r="N238" s="4" t="s">
        <v>3</v>
      </c>
      <c r="O238" s="4">
        <v>2</v>
      </c>
      <c r="P238" s="4"/>
      <c r="Q238" s="4"/>
      <c r="R238" s="4"/>
      <c r="S238" s="4"/>
      <c r="T238" s="4"/>
      <c r="U238" s="4"/>
      <c r="V238" s="4"/>
      <c r="W238" s="4">
        <v>74268.61</v>
      </c>
      <c r="X238" s="4">
        <v>1</v>
      </c>
      <c r="Y238" s="4">
        <v>74268.61</v>
      </c>
      <c r="Z238" s="4"/>
      <c r="AA238" s="4"/>
      <c r="AB238" s="4"/>
    </row>
    <row r="239" spans="1:28" x14ac:dyDescent="0.2">
      <c r="A239" s="4">
        <v>50</v>
      </c>
      <c r="B239" s="4">
        <v>0</v>
      </c>
      <c r="C239" s="4">
        <v>0</v>
      </c>
      <c r="D239" s="4">
        <v>1</v>
      </c>
      <c r="E239" s="4">
        <v>215</v>
      </c>
      <c r="F239" s="4">
        <f>ROUND(Source!AT221,O239)</f>
        <v>0</v>
      </c>
      <c r="G239" s="4" t="s">
        <v>351</v>
      </c>
      <c r="H239" s="4" t="s">
        <v>352</v>
      </c>
      <c r="I239" s="4"/>
      <c r="J239" s="4"/>
      <c r="K239" s="4">
        <v>215</v>
      </c>
      <c r="L239" s="4">
        <v>17</v>
      </c>
      <c r="M239" s="4">
        <v>3</v>
      </c>
      <c r="N239" s="4" t="s">
        <v>3</v>
      </c>
      <c r="O239" s="4">
        <v>2</v>
      </c>
      <c r="P239" s="4"/>
      <c r="Q239" s="4"/>
      <c r="R239" s="4"/>
      <c r="S239" s="4"/>
      <c r="T239" s="4"/>
      <c r="U239" s="4"/>
      <c r="V239" s="4"/>
      <c r="W239" s="4">
        <v>0</v>
      </c>
      <c r="X239" s="4">
        <v>1</v>
      </c>
      <c r="Y239" s="4">
        <v>0</v>
      </c>
      <c r="Z239" s="4"/>
      <c r="AA239" s="4"/>
      <c r="AB239" s="4"/>
    </row>
    <row r="240" spans="1:28" x14ac:dyDescent="0.2">
      <c r="A240" s="4">
        <v>50</v>
      </c>
      <c r="B240" s="4">
        <v>0</v>
      </c>
      <c r="C240" s="4">
        <v>0</v>
      </c>
      <c r="D240" s="4">
        <v>1</v>
      </c>
      <c r="E240" s="4">
        <v>217</v>
      </c>
      <c r="F240" s="4">
        <f>ROUND(Source!AU221,O240)</f>
        <v>0</v>
      </c>
      <c r="G240" s="4" t="s">
        <v>353</v>
      </c>
      <c r="H240" s="4" t="s">
        <v>354</v>
      </c>
      <c r="I240" s="4"/>
      <c r="J240" s="4"/>
      <c r="K240" s="4">
        <v>217</v>
      </c>
      <c r="L240" s="4">
        <v>18</v>
      </c>
      <c r="M240" s="4">
        <v>3</v>
      </c>
      <c r="N240" s="4" t="s">
        <v>3</v>
      </c>
      <c r="O240" s="4">
        <v>2</v>
      </c>
      <c r="P240" s="4"/>
      <c r="Q240" s="4"/>
      <c r="R240" s="4"/>
      <c r="S240" s="4"/>
      <c r="T240" s="4"/>
      <c r="U240" s="4"/>
      <c r="V240" s="4"/>
      <c r="W240" s="4">
        <v>0</v>
      </c>
      <c r="X240" s="4">
        <v>1</v>
      </c>
      <c r="Y240" s="4">
        <v>0</v>
      </c>
      <c r="Z240" s="4"/>
      <c r="AA240" s="4"/>
      <c r="AB240" s="4"/>
    </row>
    <row r="241" spans="1:206" x14ac:dyDescent="0.2">
      <c r="A241" s="4">
        <v>50</v>
      </c>
      <c r="B241" s="4">
        <v>0</v>
      </c>
      <c r="C241" s="4">
        <v>0</v>
      </c>
      <c r="D241" s="4">
        <v>1</v>
      </c>
      <c r="E241" s="4">
        <v>230</v>
      </c>
      <c r="F241" s="4">
        <f>ROUND(Source!BA221,O241)</f>
        <v>0</v>
      </c>
      <c r="G241" s="4" t="s">
        <v>355</v>
      </c>
      <c r="H241" s="4" t="s">
        <v>356</v>
      </c>
      <c r="I241" s="4"/>
      <c r="J241" s="4"/>
      <c r="K241" s="4">
        <v>230</v>
      </c>
      <c r="L241" s="4">
        <v>19</v>
      </c>
      <c r="M241" s="4">
        <v>3</v>
      </c>
      <c r="N241" s="4" t="s">
        <v>3</v>
      </c>
      <c r="O241" s="4">
        <v>2</v>
      </c>
      <c r="P241" s="4"/>
      <c r="Q241" s="4"/>
      <c r="R241" s="4"/>
      <c r="S241" s="4"/>
      <c r="T241" s="4"/>
      <c r="U241" s="4"/>
      <c r="V241" s="4"/>
      <c r="W241" s="4">
        <v>0</v>
      </c>
      <c r="X241" s="4">
        <v>1</v>
      </c>
      <c r="Y241" s="4">
        <v>0</v>
      </c>
      <c r="Z241" s="4"/>
      <c r="AA241" s="4"/>
      <c r="AB241" s="4"/>
    </row>
    <row r="242" spans="1:206" x14ac:dyDescent="0.2">
      <c r="A242" s="4">
        <v>50</v>
      </c>
      <c r="B242" s="4">
        <v>0</v>
      </c>
      <c r="C242" s="4">
        <v>0</v>
      </c>
      <c r="D242" s="4">
        <v>1</v>
      </c>
      <c r="E242" s="4">
        <v>206</v>
      </c>
      <c r="F242" s="4">
        <f>ROUND(Source!T221,O242)</f>
        <v>0</v>
      </c>
      <c r="G242" s="4" t="s">
        <v>357</v>
      </c>
      <c r="H242" s="4" t="s">
        <v>358</v>
      </c>
      <c r="I242" s="4"/>
      <c r="J242" s="4"/>
      <c r="K242" s="4">
        <v>206</v>
      </c>
      <c r="L242" s="4">
        <v>20</v>
      </c>
      <c r="M242" s="4">
        <v>3</v>
      </c>
      <c r="N242" s="4" t="s">
        <v>3</v>
      </c>
      <c r="O242" s="4">
        <v>2</v>
      </c>
      <c r="P242" s="4"/>
      <c r="Q242" s="4"/>
      <c r="R242" s="4"/>
      <c r="S242" s="4"/>
      <c r="T242" s="4"/>
      <c r="U242" s="4"/>
      <c r="V242" s="4"/>
      <c r="W242" s="4">
        <v>0</v>
      </c>
      <c r="X242" s="4">
        <v>1</v>
      </c>
      <c r="Y242" s="4">
        <v>0</v>
      </c>
      <c r="Z242" s="4"/>
      <c r="AA242" s="4"/>
      <c r="AB242" s="4"/>
    </row>
    <row r="243" spans="1:206" x14ac:dyDescent="0.2">
      <c r="A243" s="4">
        <v>50</v>
      </c>
      <c r="B243" s="4">
        <v>0</v>
      </c>
      <c r="C243" s="4">
        <v>0</v>
      </c>
      <c r="D243" s="4">
        <v>1</v>
      </c>
      <c r="E243" s="4">
        <v>207</v>
      </c>
      <c r="F243" s="4">
        <f>Source!U221</f>
        <v>57.749929999999999</v>
      </c>
      <c r="G243" s="4" t="s">
        <v>359</v>
      </c>
      <c r="H243" s="4" t="s">
        <v>360</v>
      </c>
      <c r="I243" s="4"/>
      <c r="J243" s="4"/>
      <c r="K243" s="4">
        <v>207</v>
      </c>
      <c r="L243" s="4">
        <v>21</v>
      </c>
      <c r="M243" s="4">
        <v>3</v>
      </c>
      <c r="N243" s="4" t="s">
        <v>3</v>
      </c>
      <c r="O243" s="4">
        <v>-1</v>
      </c>
      <c r="P243" s="4"/>
      <c r="Q243" s="4"/>
      <c r="R243" s="4"/>
      <c r="S243" s="4"/>
      <c r="T243" s="4"/>
      <c r="U243" s="4"/>
      <c r="V243" s="4"/>
      <c r="W243" s="4">
        <v>57.749929999999999</v>
      </c>
      <c r="X243" s="4">
        <v>1</v>
      </c>
      <c r="Y243" s="4">
        <v>57.749929999999999</v>
      </c>
      <c r="Z243" s="4"/>
      <c r="AA243" s="4"/>
      <c r="AB243" s="4"/>
    </row>
    <row r="244" spans="1:206" x14ac:dyDescent="0.2">
      <c r="A244" s="4">
        <v>50</v>
      </c>
      <c r="B244" s="4">
        <v>0</v>
      </c>
      <c r="C244" s="4">
        <v>0</v>
      </c>
      <c r="D244" s="4">
        <v>1</v>
      </c>
      <c r="E244" s="4">
        <v>208</v>
      </c>
      <c r="F244" s="4">
        <f>Source!V221</f>
        <v>1.3029500000000001</v>
      </c>
      <c r="G244" s="4" t="s">
        <v>361</v>
      </c>
      <c r="H244" s="4" t="s">
        <v>362</v>
      </c>
      <c r="I244" s="4"/>
      <c r="J244" s="4"/>
      <c r="K244" s="4">
        <v>208</v>
      </c>
      <c r="L244" s="4">
        <v>22</v>
      </c>
      <c r="M244" s="4">
        <v>3</v>
      </c>
      <c r="N244" s="4" t="s">
        <v>3</v>
      </c>
      <c r="O244" s="4">
        <v>-1</v>
      </c>
      <c r="P244" s="4"/>
      <c r="Q244" s="4"/>
      <c r="R244" s="4"/>
      <c r="S244" s="4"/>
      <c r="T244" s="4"/>
      <c r="U244" s="4"/>
      <c r="V244" s="4"/>
      <c r="W244" s="4">
        <v>1.3029500000000001</v>
      </c>
      <c r="X244" s="4">
        <v>1</v>
      </c>
      <c r="Y244" s="4">
        <v>1.3029500000000001</v>
      </c>
      <c r="Z244" s="4"/>
      <c r="AA244" s="4"/>
      <c r="AB244" s="4"/>
    </row>
    <row r="245" spans="1:206" x14ac:dyDescent="0.2">
      <c r="A245" s="4">
        <v>50</v>
      </c>
      <c r="B245" s="4">
        <v>0</v>
      </c>
      <c r="C245" s="4">
        <v>0</v>
      </c>
      <c r="D245" s="4">
        <v>1</v>
      </c>
      <c r="E245" s="4">
        <v>209</v>
      </c>
      <c r="F245" s="4">
        <f>ROUND(Source!W221,O245)</f>
        <v>0</v>
      </c>
      <c r="G245" s="4" t="s">
        <v>363</v>
      </c>
      <c r="H245" s="4" t="s">
        <v>364</v>
      </c>
      <c r="I245" s="4"/>
      <c r="J245" s="4"/>
      <c r="K245" s="4">
        <v>209</v>
      </c>
      <c r="L245" s="4">
        <v>23</v>
      </c>
      <c r="M245" s="4">
        <v>3</v>
      </c>
      <c r="N245" s="4" t="s">
        <v>3</v>
      </c>
      <c r="O245" s="4">
        <v>2</v>
      </c>
      <c r="P245" s="4"/>
      <c r="Q245" s="4"/>
      <c r="R245" s="4"/>
      <c r="S245" s="4"/>
      <c r="T245" s="4"/>
      <c r="U245" s="4"/>
      <c r="V245" s="4"/>
      <c r="W245" s="4">
        <v>0</v>
      </c>
      <c r="X245" s="4">
        <v>1</v>
      </c>
      <c r="Y245" s="4">
        <v>0</v>
      </c>
      <c r="Z245" s="4"/>
      <c r="AA245" s="4"/>
      <c r="AB245" s="4"/>
    </row>
    <row r="246" spans="1:206" x14ac:dyDescent="0.2">
      <c r="A246" s="4">
        <v>50</v>
      </c>
      <c r="B246" s="4">
        <v>0</v>
      </c>
      <c r="C246" s="4">
        <v>0</v>
      </c>
      <c r="D246" s="4">
        <v>1</v>
      </c>
      <c r="E246" s="4">
        <v>233</v>
      </c>
      <c r="F246" s="4">
        <f>ROUND(Source!BD221,O246)</f>
        <v>5597.51</v>
      </c>
      <c r="G246" s="4" t="s">
        <v>365</v>
      </c>
      <c r="H246" s="4" t="s">
        <v>366</v>
      </c>
      <c r="I246" s="4"/>
      <c r="J246" s="4"/>
      <c r="K246" s="4">
        <v>233</v>
      </c>
      <c r="L246" s="4">
        <v>24</v>
      </c>
      <c r="M246" s="4">
        <v>3</v>
      </c>
      <c r="N246" s="4" t="s">
        <v>3</v>
      </c>
      <c r="O246" s="4">
        <v>2</v>
      </c>
      <c r="P246" s="4"/>
      <c r="Q246" s="4"/>
      <c r="R246" s="4"/>
      <c r="S246" s="4"/>
      <c r="T246" s="4"/>
      <c r="U246" s="4"/>
      <c r="V246" s="4"/>
      <c r="W246" s="4">
        <v>5597.51</v>
      </c>
      <c r="X246" s="4">
        <v>1</v>
      </c>
      <c r="Y246" s="4">
        <v>5597.51</v>
      </c>
      <c r="Z246" s="4"/>
      <c r="AA246" s="4"/>
      <c r="AB246" s="4"/>
    </row>
    <row r="247" spans="1:206" x14ac:dyDescent="0.2">
      <c r="A247" s="4">
        <v>50</v>
      </c>
      <c r="B247" s="4">
        <v>0</v>
      </c>
      <c r="C247" s="4">
        <v>0</v>
      </c>
      <c r="D247" s="4">
        <v>1</v>
      </c>
      <c r="E247" s="4">
        <v>210</v>
      </c>
      <c r="F247" s="4">
        <f>ROUND(Source!X221,O247)</f>
        <v>16571.03</v>
      </c>
      <c r="G247" s="4" t="s">
        <v>367</v>
      </c>
      <c r="H247" s="4" t="s">
        <v>368</v>
      </c>
      <c r="I247" s="4"/>
      <c r="J247" s="4"/>
      <c r="K247" s="4">
        <v>210</v>
      </c>
      <c r="L247" s="4">
        <v>25</v>
      </c>
      <c r="M247" s="4">
        <v>3</v>
      </c>
      <c r="N247" s="4" t="s">
        <v>3</v>
      </c>
      <c r="O247" s="4">
        <v>2</v>
      </c>
      <c r="P247" s="4"/>
      <c r="Q247" s="4"/>
      <c r="R247" s="4"/>
      <c r="S247" s="4"/>
      <c r="T247" s="4"/>
      <c r="U247" s="4"/>
      <c r="V247" s="4"/>
      <c r="W247" s="4">
        <v>16571.03</v>
      </c>
      <c r="X247" s="4">
        <v>1</v>
      </c>
      <c r="Y247" s="4">
        <v>16571.03</v>
      </c>
      <c r="Z247" s="4"/>
      <c r="AA247" s="4"/>
      <c r="AB247" s="4"/>
    </row>
    <row r="248" spans="1:206" x14ac:dyDescent="0.2">
      <c r="A248" s="4">
        <v>50</v>
      </c>
      <c r="B248" s="4">
        <v>0</v>
      </c>
      <c r="C248" s="4">
        <v>0</v>
      </c>
      <c r="D248" s="4">
        <v>1</v>
      </c>
      <c r="E248" s="4">
        <v>211</v>
      </c>
      <c r="F248" s="4">
        <f>ROUND(Source!Y221,O248)</f>
        <v>8348.69</v>
      </c>
      <c r="G248" s="4" t="s">
        <v>369</v>
      </c>
      <c r="H248" s="4" t="s">
        <v>370</v>
      </c>
      <c r="I248" s="4"/>
      <c r="J248" s="4"/>
      <c r="K248" s="4">
        <v>211</v>
      </c>
      <c r="L248" s="4">
        <v>26</v>
      </c>
      <c r="M248" s="4">
        <v>3</v>
      </c>
      <c r="N248" s="4" t="s">
        <v>3</v>
      </c>
      <c r="O248" s="4">
        <v>2</v>
      </c>
      <c r="P248" s="4"/>
      <c r="Q248" s="4"/>
      <c r="R248" s="4"/>
      <c r="S248" s="4"/>
      <c r="T248" s="4"/>
      <c r="U248" s="4"/>
      <c r="V248" s="4"/>
      <c r="W248" s="4">
        <v>8348.69</v>
      </c>
      <c r="X248" s="4">
        <v>1</v>
      </c>
      <c r="Y248" s="4">
        <v>8348.69</v>
      </c>
      <c r="Z248" s="4"/>
      <c r="AA248" s="4"/>
      <c r="AB248" s="4"/>
    </row>
    <row r="249" spans="1:206" x14ac:dyDescent="0.2">
      <c r="A249" s="4">
        <v>50</v>
      </c>
      <c r="B249" s="4">
        <v>0</v>
      </c>
      <c r="C249" s="4">
        <v>0</v>
      </c>
      <c r="D249" s="4">
        <v>1</v>
      </c>
      <c r="E249" s="4">
        <v>224</v>
      </c>
      <c r="F249" s="4">
        <f>ROUND(Source!AR221,O249)</f>
        <v>74268.61</v>
      </c>
      <c r="G249" s="4" t="s">
        <v>371</v>
      </c>
      <c r="H249" s="4" t="s">
        <v>372</v>
      </c>
      <c r="I249" s="4"/>
      <c r="J249" s="4"/>
      <c r="K249" s="4">
        <v>224</v>
      </c>
      <c r="L249" s="4">
        <v>27</v>
      </c>
      <c r="M249" s="4">
        <v>3</v>
      </c>
      <c r="N249" s="4" t="s">
        <v>3</v>
      </c>
      <c r="O249" s="4">
        <v>2</v>
      </c>
      <c r="P249" s="4"/>
      <c r="Q249" s="4"/>
      <c r="R249" s="4"/>
      <c r="S249" s="4"/>
      <c r="T249" s="4"/>
      <c r="U249" s="4"/>
      <c r="V249" s="4"/>
      <c r="W249" s="4">
        <v>74268.61</v>
      </c>
      <c r="X249" s="4">
        <v>1</v>
      </c>
      <c r="Y249" s="4">
        <v>74268.61</v>
      </c>
      <c r="Z249" s="4"/>
      <c r="AA249" s="4"/>
      <c r="AB249" s="4"/>
    </row>
    <row r="251" spans="1:206" x14ac:dyDescent="0.2">
      <c r="A251" s="2">
        <v>51</v>
      </c>
      <c r="B251" s="2">
        <f>B20</f>
        <v>1</v>
      </c>
      <c r="C251" s="2">
        <f>A20</f>
        <v>3</v>
      </c>
      <c r="D251" s="2">
        <f>ROW(A20)</f>
        <v>20</v>
      </c>
      <c r="E251" s="2"/>
      <c r="F251" s="2" t="str">
        <f>IF(F20&lt;&gt;"",F20,"")</f>
        <v>Новая локальная смета</v>
      </c>
      <c r="G251" s="2" t="str">
        <f>IF(G20&lt;&gt;"",G20,"")</f>
        <v>Новая локальная смета</v>
      </c>
      <c r="H251" s="2">
        <v>0</v>
      </c>
      <c r="I251" s="2"/>
      <c r="J251" s="2"/>
      <c r="K251" s="2"/>
      <c r="L251" s="2"/>
      <c r="M251" s="2"/>
      <c r="N251" s="2"/>
      <c r="O251" s="2">
        <f t="shared" ref="O251:T251" si="257">ROUND(O107+O167+O221+AB251,2)</f>
        <v>2719594.04</v>
      </c>
      <c r="P251" s="2">
        <f t="shared" si="257"/>
        <v>1647109.74</v>
      </c>
      <c r="Q251" s="2">
        <f t="shared" si="257"/>
        <v>27086.7</v>
      </c>
      <c r="R251" s="2">
        <f t="shared" si="257"/>
        <v>14448.9</v>
      </c>
      <c r="S251" s="2">
        <f t="shared" si="257"/>
        <v>1045397.6</v>
      </c>
      <c r="T251" s="2">
        <f t="shared" si="257"/>
        <v>0</v>
      </c>
      <c r="U251" s="2">
        <f>U107+U167+U221+AH251</f>
        <v>3672.27873172</v>
      </c>
      <c r="V251" s="2">
        <f>V107+V167+V221+AI251</f>
        <v>37.396863050000007</v>
      </c>
      <c r="W251" s="2">
        <f>ROUND(W107+W167+W221+AJ251,2)</f>
        <v>0</v>
      </c>
      <c r="X251" s="2">
        <f>ROUND(X107+X167+X221+AK251,2)</f>
        <v>1072554.97</v>
      </c>
      <c r="Y251" s="2">
        <f>ROUND(Y107+Y167+Y221+AL251,2)</f>
        <v>521779.92</v>
      </c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>
        <f t="shared" ref="AO251:BD251" si="258">ROUND(AO107+AO167+AO221+BX251,2)</f>
        <v>0</v>
      </c>
      <c r="AP251" s="2">
        <f t="shared" si="258"/>
        <v>0</v>
      </c>
      <c r="AQ251" s="2">
        <f t="shared" si="258"/>
        <v>0</v>
      </c>
      <c r="AR251" s="2">
        <f t="shared" si="258"/>
        <v>4319526.4400000004</v>
      </c>
      <c r="AS251" s="2">
        <f t="shared" si="258"/>
        <v>4319526.4400000004</v>
      </c>
      <c r="AT251" s="2">
        <f t="shared" si="258"/>
        <v>0</v>
      </c>
      <c r="AU251" s="2">
        <f t="shared" si="258"/>
        <v>0</v>
      </c>
      <c r="AV251" s="2">
        <f t="shared" si="258"/>
        <v>1647109.74</v>
      </c>
      <c r="AW251" s="2">
        <f t="shared" si="258"/>
        <v>1647109.74</v>
      </c>
      <c r="AX251" s="2">
        <f t="shared" si="258"/>
        <v>0</v>
      </c>
      <c r="AY251" s="2">
        <f t="shared" si="258"/>
        <v>1647109.74</v>
      </c>
      <c r="AZ251" s="2">
        <f t="shared" si="258"/>
        <v>0</v>
      </c>
      <c r="BA251" s="2">
        <f t="shared" si="258"/>
        <v>0</v>
      </c>
      <c r="BB251" s="2">
        <f t="shared" si="258"/>
        <v>0</v>
      </c>
      <c r="BC251" s="2">
        <f t="shared" si="258"/>
        <v>0</v>
      </c>
      <c r="BD251" s="2">
        <f t="shared" si="258"/>
        <v>5597.51</v>
      </c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>
        <v>0</v>
      </c>
    </row>
    <row r="253" spans="1:206" x14ac:dyDescent="0.2">
      <c r="A253" s="4">
        <v>50</v>
      </c>
      <c r="B253" s="4">
        <v>0</v>
      </c>
      <c r="C253" s="4">
        <v>0</v>
      </c>
      <c r="D253" s="4">
        <v>1</v>
      </c>
      <c r="E253" s="4">
        <v>201</v>
      </c>
      <c r="F253" s="4">
        <f>ROUND(Source!O251,O253)</f>
        <v>2719594.04</v>
      </c>
      <c r="G253" s="4" t="s">
        <v>319</v>
      </c>
      <c r="H253" s="4" t="s">
        <v>320</v>
      </c>
      <c r="I253" s="4"/>
      <c r="J253" s="4"/>
      <c r="K253" s="4">
        <v>201</v>
      </c>
      <c r="L253" s="4">
        <v>1</v>
      </c>
      <c r="M253" s="4">
        <v>3</v>
      </c>
      <c r="N253" s="4" t="s">
        <v>3</v>
      </c>
      <c r="O253" s="4">
        <v>2</v>
      </c>
      <c r="P253" s="4"/>
      <c r="Q253" s="4"/>
      <c r="R253" s="4"/>
      <c r="S253" s="4"/>
      <c r="T253" s="4"/>
      <c r="U253" s="4"/>
      <c r="V253" s="4"/>
      <c r="W253" s="4">
        <v>2719594.04</v>
      </c>
      <c r="X253" s="4">
        <v>1</v>
      </c>
      <c r="Y253" s="4">
        <v>2719594.04</v>
      </c>
      <c r="Z253" s="4"/>
      <c r="AA253" s="4"/>
      <c r="AB253" s="4"/>
    </row>
    <row r="254" spans="1:206" x14ac:dyDescent="0.2">
      <c r="A254" s="4">
        <v>50</v>
      </c>
      <c r="B254" s="4">
        <v>0</v>
      </c>
      <c r="C254" s="4">
        <v>0</v>
      </c>
      <c r="D254" s="4">
        <v>1</v>
      </c>
      <c r="E254" s="4">
        <v>202</v>
      </c>
      <c r="F254" s="4">
        <f>ROUND(Source!P251,O254)</f>
        <v>1647109.74</v>
      </c>
      <c r="G254" s="4" t="s">
        <v>321</v>
      </c>
      <c r="H254" s="4" t="s">
        <v>322</v>
      </c>
      <c r="I254" s="4"/>
      <c r="J254" s="4"/>
      <c r="K254" s="4">
        <v>202</v>
      </c>
      <c r="L254" s="4">
        <v>2</v>
      </c>
      <c r="M254" s="4">
        <v>3</v>
      </c>
      <c r="N254" s="4" t="s">
        <v>3</v>
      </c>
      <c r="O254" s="4">
        <v>2</v>
      </c>
      <c r="P254" s="4"/>
      <c r="Q254" s="4"/>
      <c r="R254" s="4"/>
      <c r="S254" s="4"/>
      <c r="T254" s="4"/>
      <c r="U254" s="4"/>
      <c r="V254" s="4"/>
      <c r="W254" s="4">
        <v>1647109.74</v>
      </c>
      <c r="X254" s="4">
        <v>1</v>
      </c>
      <c r="Y254" s="4">
        <v>1647109.74</v>
      </c>
      <c r="Z254" s="4"/>
      <c r="AA254" s="4"/>
      <c r="AB254" s="4"/>
    </row>
    <row r="255" spans="1:206" x14ac:dyDescent="0.2">
      <c r="A255" s="4">
        <v>50</v>
      </c>
      <c r="B255" s="4">
        <v>0</v>
      </c>
      <c r="C255" s="4">
        <v>0</v>
      </c>
      <c r="D255" s="4">
        <v>1</v>
      </c>
      <c r="E255" s="4">
        <v>222</v>
      </c>
      <c r="F255" s="4">
        <f>ROUND(Source!AO251,O255)</f>
        <v>0</v>
      </c>
      <c r="G255" s="4" t="s">
        <v>323</v>
      </c>
      <c r="H255" s="4" t="s">
        <v>324</v>
      </c>
      <c r="I255" s="4"/>
      <c r="J255" s="4"/>
      <c r="K255" s="4">
        <v>222</v>
      </c>
      <c r="L255" s="4">
        <v>3</v>
      </c>
      <c r="M255" s="4">
        <v>3</v>
      </c>
      <c r="N255" s="4" t="s">
        <v>3</v>
      </c>
      <c r="O255" s="4">
        <v>2</v>
      </c>
      <c r="P255" s="4"/>
      <c r="Q255" s="4"/>
      <c r="R255" s="4"/>
      <c r="S255" s="4"/>
      <c r="T255" s="4"/>
      <c r="U255" s="4"/>
      <c r="V255" s="4"/>
      <c r="W255" s="4">
        <v>0</v>
      </c>
      <c r="X255" s="4">
        <v>1</v>
      </c>
      <c r="Y255" s="4">
        <v>0</v>
      </c>
      <c r="Z255" s="4"/>
      <c r="AA255" s="4"/>
      <c r="AB255" s="4"/>
    </row>
    <row r="256" spans="1:206" x14ac:dyDescent="0.2">
      <c r="A256" s="4">
        <v>50</v>
      </c>
      <c r="B256" s="4">
        <v>0</v>
      </c>
      <c r="C256" s="4">
        <v>0</v>
      </c>
      <c r="D256" s="4">
        <v>1</v>
      </c>
      <c r="E256" s="4">
        <v>225</v>
      </c>
      <c r="F256" s="4">
        <f>ROUND(Source!AV251,O256)</f>
        <v>1647109.74</v>
      </c>
      <c r="G256" s="4" t="s">
        <v>325</v>
      </c>
      <c r="H256" s="4" t="s">
        <v>326</v>
      </c>
      <c r="I256" s="4"/>
      <c r="J256" s="4"/>
      <c r="K256" s="4">
        <v>225</v>
      </c>
      <c r="L256" s="4">
        <v>4</v>
      </c>
      <c r="M256" s="4">
        <v>3</v>
      </c>
      <c r="N256" s="4" t="s">
        <v>3</v>
      </c>
      <c r="O256" s="4">
        <v>2</v>
      </c>
      <c r="P256" s="4"/>
      <c r="Q256" s="4"/>
      <c r="R256" s="4"/>
      <c r="S256" s="4"/>
      <c r="T256" s="4"/>
      <c r="U256" s="4"/>
      <c r="V256" s="4"/>
      <c r="W256" s="4">
        <v>1647109.74</v>
      </c>
      <c r="X256" s="4">
        <v>1</v>
      </c>
      <c r="Y256" s="4">
        <v>1647109.74</v>
      </c>
      <c r="Z256" s="4"/>
      <c r="AA256" s="4"/>
      <c r="AB256" s="4"/>
    </row>
    <row r="257" spans="1:28" x14ac:dyDescent="0.2">
      <c r="A257" s="4">
        <v>50</v>
      </c>
      <c r="B257" s="4">
        <v>0</v>
      </c>
      <c r="C257" s="4">
        <v>0</v>
      </c>
      <c r="D257" s="4">
        <v>1</v>
      </c>
      <c r="E257" s="4">
        <v>226</v>
      </c>
      <c r="F257" s="4">
        <f>ROUND(Source!AW251,O257)</f>
        <v>1647109.74</v>
      </c>
      <c r="G257" s="4" t="s">
        <v>327</v>
      </c>
      <c r="H257" s="4" t="s">
        <v>328</v>
      </c>
      <c r="I257" s="4"/>
      <c r="J257" s="4"/>
      <c r="K257" s="4">
        <v>226</v>
      </c>
      <c r="L257" s="4">
        <v>5</v>
      </c>
      <c r="M257" s="4">
        <v>3</v>
      </c>
      <c r="N257" s="4" t="s">
        <v>3</v>
      </c>
      <c r="O257" s="4">
        <v>2</v>
      </c>
      <c r="P257" s="4"/>
      <c r="Q257" s="4"/>
      <c r="R257" s="4"/>
      <c r="S257" s="4"/>
      <c r="T257" s="4"/>
      <c r="U257" s="4"/>
      <c r="V257" s="4"/>
      <c r="W257" s="4">
        <v>1647109.74</v>
      </c>
      <c r="X257" s="4">
        <v>1</v>
      </c>
      <c r="Y257" s="4">
        <v>1647109.74</v>
      </c>
      <c r="Z257" s="4"/>
      <c r="AA257" s="4"/>
      <c r="AB257" s="4"/>
    </row>
    <row r="258" spans="1:28" x14ac:dyDescent="0.2">
      <c r="A258" s="4">
        <v>50</v>
      </c>
      <c r="B258" s="4">
        <v>0</v>
      </c>
      <c r="C258" s="4">
        <v>0</v>
      </c>
      <c r="D258" s="4">
        <v>1</v>
      </c>
      <c r="E258" s="4">
        <v>227</v>
      </c>
      <c r="F258" s="4">
        <f>ROUND(Source!AX251,O258)</f>
        <v>0</v>
      </c>
      <c r="G258" s="4" t="s">
        <v>329</v>
      </c>
      <c r="H258" s="4" t="s">
        <v>330</v>
      </c>
      <c r="I258" s="4"/>
      <c r="J258" s="4"/>
      <c r="K258" s="4">
        <v>227</v>
      </c>
      <c r="L258" s="4">
        <v>6</v>
      </c>
      <c r="M258" s="4">
        <v>3</v>
      </c>
      <c r="N258" s="4" t="s">
        <v>3</v>
      </c>
      <c r="O258" s="4">
        <v>2</v>
      </c>
      <c r="P258" s="4"/>
      <c r="Q258" s="4"/>
      <c r="R258" s="4"/>
      <c r="S258" s="4"/>
      <c r="T258" s="4"/>
      <c r="U258" s="4"/>
      <c r="V258" s="4"/>
      <c r="W258" s="4">
        <v>0</v>
      </c>
      <c r="X258" s="4">
        <v>1</v>
      </c>
      <c r="Y258" s="4">
        <v>0</v>
      </c>
      <c r="Z258" s="4"/>
      <c r="AA258" s="4"/>
      <c r="AB258" s="4"/>
    </row>
    <row r="259" spans="1:28" x14ac:dyDescent="0.2">
      <c r="A259" s="4">
        <v>50</v>
      </c>
      <c r="B259" s="4">
        <v>0</v>
      </c>
      <c r="C259" s="4">
        <v>0</v>
      </c>
      <c r="D259" s="4">
        <v>1</v>
      </c>
      <c r="E259" s="4">
        <v>228</v>
      </c>
      <c r="F259" s="4">
        <f>ROUND(Source!AY251,O259)</f>
        <v>1647109.74</v>
      </c>
      <c r="G259" s="4" t="s">
        <v>331</v>
      </c>
      <c r="H259" s="4" t="s">
        <v>332</v>
      </c>
      <c r="I259" s="4"/>
      <c r="J259" s="4"/>
      <c r="K259" s="4">
        <v>228</v>
      </c>
      <c r="L259" s="4">
        <v>7</v>
      </c>
      <c r="M259" s="4">
        <v>3</v>
      </c>
      <c r="N259" s="4" t="s">
        <v>3</v>
      </c>
      <c r="O259" s="4">
        <v>2</v>
      </c>
      <c r="P259" s="4"/>
      <c r="Q259" s="4"/>
      <c r="R259" s="4"/>
      <c r="S259" s="4"/>
      <c r="T259" s="4"/>
      <c r="U259" s="4"/>
      <c r="V259" s="4"/>
      <c r="W259" s="4">
        <v>1647109.74</v>
      </c>
      <c r="X259" s="4">
        <v>1</v>
      </c>
      <c r="Y259" s="4">
        <v>1647109.74</v>
      </c>
      <c r="Z259" s="4"/>
      <c r="AA259" s="4"/>
      <c r="AB259" s="4"/>
    </row>
    <row r="260" spans="1:28" x14ac:dyDescent="0.2">
      <c r="A260" s="4">
        <v>50</v>
      </c>
      <c r="B260" s="4">
        <v>0</v>
      </c>
      <c r="C260" s="4">
        <v>0</v>
      </c>
      <c r="D260" s="4">
        <v>1</v>
      </c>
      <c r="E260" s="4">
        <v>216</v>
      </c>
      <c r="F260" s="4">
        <f>ROUND(Source!AP251,O260)</f>
        <v>0</v>
      </c>
      <c r="G260" s="4" t="s">
        <v>333</v>
      </c>
      <c r="H260" s="4" t="s">
        <v>334</v>
      </c>
      <c r="I260" s="4"/>
      <c r="J260" s="4"/>
      <c r="K260" s="4">
        <v>216</v>
      </c>
      <c r="L260" s="4">
        <v>8</v>
      </c>
      <c r="M260" s="4">
        <v>3</v>
      </c>
      <c r="N260" s="4" t="s">
        <v>3</v>
      </c>
      <c r="O260" s="4">
        <v>2</v>
      </c>
      <c r="P260" s="4"/>
      <c r="Q260" s="4"/>
      <c r="R260" s="4"/>
      <c r="S260" s="4"/>
      <c r="T260" s="4"/>
      <c r="U260" s="4"/>
      <c r="V260" s="4"/>
      <c r="W260" s="4">
        <v>0</v>
      </c>
      <c r="X260" s="4">
        <v>1</v>
      </c>
      <c r="Y260" s="4">
        <v>0</v>
      </c>
      <c r="Z260" s="4"/>
      <c r="AA260" s="4"/>
      <c r="AB260" s="4"/>
    </row>
    <row r="261" spans="1:28" x14ac:dyDescent="0.2">
      <c r="A261" s="4">
        <v>50</v>
      </c>
      <c r="B261" s="4">
        <v>0</v>
      </c>
      <c r="C261" s="4">
        <v>0</v>
      </c>
      <c r="D261" s="4">
        <v>1</v>
      </c>
      <c r="E261" s="4">
        <v>223</v>
      </c>
      <c r="F261" s="4">
        <f>ROUND(Source!AQ251,O261)</f>
        <v>0</v>
      </c>
      <c r="G261" s="4" t="s">
        <v>335</v>
      </c>
      <c r="H261" s="4" t="s">
        <v>336</v>
      </c>
      <c r="I261" s="4"/>
      <c r="J261" s="4"/>
      <c r="K261" s="4">
        <v>223</v>
      </c>
      <c r="L261" s="4">
        <v>9</v>
      </c>
      <c r="M261" s="4">
        <v>3</v>
      </c>
      <c r="N261" s="4" t="s">
        <v>3</v>
      </c>
      <c r="O261" s="4">
        <v>2</v>
      </c>
      <c r="P261" s="4"/>
      <c r="Q261" s="4"/>
      <c r="R261" s="4"/>
      <c r="S261" s="4"/>
      <c r="T261" s="4"/>
      <c r="U261" s="4"/>
      <c r="V261" s="4"/>
      <c r="W261" s="4">
        <v>0</v>
      </c>
      <c r="X261" s="4">
        <v>1</v>
      </c>
      <c r="Y261" s="4">
        <v>0</v>
      </c>
      <c r="Z261" s="4"/>
      <c r="AA261" s="4"/>
      <c r="AB261" s="4"/>
    </row>
    <row r="262" spans="1:28" x14ac:dyDescent="0.2">
      <c r="A262" s="4">
        <v>50</v>
      </c>
      <c r="B262" s="4">
        <v>0</v>
      </c>
      <c r="C262" s="4">
        <v>0</v>
      </c>
      <c r="D262" s="4">
        <v>1</v>
      </c>
      <c r="E262" s="4">
        <v>229</v>
      </c>
      <c r="F262" s="4">
        <f>ROUND(Source!AZ251,O262)</f>
        <v>0</v>
      </c>
      <c r="G262" s="4" t="s">
        <v>337</v>
      </c>
      <c r="H262" s="4" t="s">
        <v>338</v>
      </c>
      <c r="I262" s="4"/>
      <c r="J262" s="4"/>
      <c r="K262" s="4">
        <v>229</v>
      </c>
      <c r="L262" s="4">
        <v>10</v>
      </c>
      <c r="M262" s="4">
        <v>3</v>
      </c>
      <c r="N262" s="4" t="s">
        <v>3</v>
      </c>
      <c r="O262" s="4">
        <v>2</v>
      </c>
      <c r="P262" s="4"/>
      <c r="Q262" s="4"/>
      <c r="R262" s="4"/>
      <c r="S262" s="4"/>
      <c r="T262" s="4"/>
      <c r="U262" s="4"/>
      <c r="V262" s="4"/>
      <c r="W262" s="4">
        <v>0</v>
      </c>
      <c r="X262" s="4">
        <v>1</v>
      </c>
      <c r="Y262" s="4">
        <v>0</v>
      </c>
      <c r="Z262" s="4"/>
      <c r="AA262" s="4"/>
      <c r="AB262" s="4"/>
    </row>
    <row r="263" spans="1:28" x14ac:dyDescent="0.2">
      <c r="A263" s="4">
        <v>50</v>
      </c>
      <c r="B263" s="4">
        <v>0</v>
      </c>
      <c r="C263" s="4">
        <v>0</v>
      </c>
      <c r="D263" s="4">
        <v>1</v>
      </c>
      <c r="E263" s="4">
        <v>203</v>
      </c>
      <c r="F263" s="4">
        <f>ROUND(Source!Q251,O263)</f>
        <v>27086.7</v>
      </c>
      <c r="G263" s="4" t="s">
        <v>339</v>
      </c>
      <c r="H263" s="4" t="s">
        <v>340</v>
      </c>
      <c r="I263" s="4"/>
      <c r="J263" s="4"/>
      <c r="K263" s="4">
        <v>203</v>
      </c>
      <c r="L263" s="4">
        <v>11</v>
      </c>
      <c r="M263" s="4">
        <v>3</v>
      </c>
      <c r="N263" s="4" t="s">
        <v>3</v>
      </c>
      <c r="O263" s="4">
        <v>2</v>
      </c>
      <c r="P263" s="4"/>
      <c r="Q263" s="4"/>
      <c r="R263" s="4"/>
      <c r="S263" s="4"/>
      <c r="T263" s="4"/>
      <c r="U263" s="4"/>
      <c r="V263" s="4"/>
      <c r="W263" s="4">
        <v>27086.7</v>
      </c>
      <c r="X263" s="4">
        <v>1</v>
      </c>
      <c r="Y263" s="4">
        <v>27086.7</v>
      </c>
      <c r="Z263" s="4"/>
      <c r="AA263" s="4"/>
      <c r="AB263" s="4"/>
    </row>
    <row r="264" spans="1:28" x14ac:dyDescent="0.2">
      <c r="A264" s="4">
        <v>50</v>
      </c>
      <c r="B264" s="4">
        <v>0</v>
      </c>
      <c r="C264" s="4">
        <v>0</v>
      </c>
      <c r="D264" s="4">
        <v>1</v>
      </c>
      <c r="E264" s="4">
        <v>231</v>
      </c>
      <c r="F264" s="4">
        <f>ROUND(Source!BB251,O264)</f>
        <v>0</v>
      </c>
      <c r="G264" s="4" t="s">
        <v>341</v>
      </c>
      <c r="H264" s="4" t="s">
        <v>342</v>
      </c>
      <c r="I264" s="4"/>
      <c r="J264" s="4"/>
      <c r="K264" s="4">
        <v>231</v>
      </c>
      <c r="L264" s="4">
        <v>12</v>
      </c>
      <c r="M264" s="4">
        <v>3</v>
      </c>
      <c r="N264" s="4" t="s">
        <v>3</v>
      </c>
      <c r="O264" s="4">
        <v>2</v>
      </c>
      <c r="P264" s="4"/>
      <c r="Q264" s="4"/>
      <c r="R264" s="4"/>
      <c r="S264" s="4"/>
      <c r="T264" s="4"/>
      <c r="U264" s="4"/>
      <c r="V264" s="4"/>
      <c r="W264" s="4">
        <v>0</v>
      </c>
      <c r="X264" s="4">
        <v>1</v>
      </c>
      <c r="Y264" s="4">
        <v>0</v>
      </c>
      <c r="Z264" s="4"/>
      <c r="AA264" s="4"/>
      <c r="AB264" s="4"/>
    </row>
    <row r="265" spans="1:28" x14ac:dyDescent="0.2">
      <c r="A265" s="4">
        <v>50</v>
      </c>
      <c r="B265" s="4">
        <v>0</v>
      </c>
      <c r="C265" s="4">
        <v>0</v>
      </c>
      <c r="D265" s="4">
        <v>1</v>
      </c>
      <c r="E265" s="4">
        <v>204</v>
      </c>
      <c r="F265" s="4">
        <f>ROUND(Source!R251,O265)</f>
        <v>14448.9</v>
      </c>
      <c r="G265" s="4" t="s">
        <v>343</v>
      </c>
      <c r="H265" s="4" t="s">
        <v>344</v>
      </c>
      <c r="I265" s="4"/>
      <c r="J265" s="4"/>
      <c r="K265" s="4">
        <v>204</v>
      </c>
      <c r="L265" s="4">
        <v>13</v>
      </c>
      <c r="M265" s="4">
        <v>3</v>
      </c>
      <c r="N265" s="4" t="s">
        <v>3</v>
      </c>
      <c r="O265" s="4">
        <v>2</v>
      </c>
      <c r="P265" s="4"/>
      <c r="Q265" s="4"/>
      <c r="R265" s="4"/>
      <c r="S265" s="4"/>
      <c r="T265" s="4"/>
      <c r="U265" s="4"/>
      <c r="V265" s="4"/>
      <c r="W265" s="4">
        <v>14448.9</v>
      </c>
      <c r="X265" s="4">
        <v>1</v>
      </c>
      <c r="Y265" s="4">
        <v>14448.9</v>
      </c>
      <c r="Z265" s="4"/>
      <c r="AA265" s="4"/>
      <c r="AB265" s="4"/>
    </row>
    <row r="266" spans="1:28" x14ac:dyDescent="0.2">
      <c r="A266" s="4">
        <v>50</v>
      </c>
      <c r="B266" s="4">
        <v>0</v>
      </c>
      <c r="C266" s="4">
        <v>0</v>
      </c>
      <c r="D266" s="4">
        <v>1</v>
      </c>
      <c r="E266" s="4">
        <v>205</v>
      </c>
      <c r="F266" s="4">
        <f>ROUND(Source!S251,O266)</f>
        <v>1045397.6</v>
      </c>
      <c r="G266" s="4" t="s">
        <v>345</v>
      </c>
      <c r="H266" s="4" t="s">
        <v>346</v>
      </c>
      <c r="I266" s="4"/>
      <c r="J266" s="4"/>
      <c r="K266" s="4">
        <v>205</v>
      </c>
      <c r="L266" s="4">
        <v>14</v>
      </c>
      <c r="M266" s="4">
        <v>3</v>
      </c>
      <c r="N266" s="4" t="s">
        <v>3</v>
      </c>
      <c r="O266" s="4">
        <v>2</v>
      </c>
      <c r="P266" s="4"/>
      <c r="Q266" s="4"/>
      <c r="R266" s="4"/>
      <c r="S266" s="4"/>
      <c r="T266" s="4"/>
      <c r="U266" s="4"/>
      <c r="V266" s="4"/>
      <c r="W266" s="4">
        <v>1045397.6</v>
      </c>
      <c r="X266" s="4">
        <v>1</v>
      </c>
      <c r="Y266" s="4">
        <v>1045397.6</v>
      </c>
      <c r="Z266" s="4"/>
      <c r="AA266" s="4"/>
      <c r="AB266" s="4"/>
    </row>
    <row r="267" spans="1:28" x14ac:dyDescent="0.2">
      <c r="A267" s="4">
        <v>50</v>
      </c>
      <c r="B267" s="4">
        <v>0</v>
      </c>
      <c r="C267" s="4">
        <v>0</v>
      </c>
      <c r="D267" s="4">
        <v>1</v>
      </c>
      <c r="E267" s="4">
        <v>232</v>
      </c>
      <c r="F267" s="4">
        <f>ROUND(Source!BC251,O267)</f>
        <v>0</v>
      </c>
      <c r="G267" s="4" t="s">
        <v>347</v>
      </c>
      <c r="H267" s="4" t="s">
        <v>348</v>
      </c>
      <c r="I267" s="4"/>
      <c r="J267" s="4"/>
      <c r="K267" s="4">
        <v>232</v>
      </c>
      <c r="L267" s="4">
        <v>15</v>
      </c>
      <c r="M267" s="4">
        <v>3</v>
      </c>
      <c r="N267" s="4" t="s">
        <v>3</v>
      </c>
      <c r="O267" s="4">
        <v>2</v>
      </c>
      <c r="P267" s="4"/>
      <c r="Q267" s="4"/>
      <c r="R267" s="4"/>
      <c r="S267" s="4"/>
      <c r="T267" s="4"/>
      <c r="U267" s="4"/>
      <c r="V267" s="4"/>
      <c r="W267" s="4">
        <v>0</v>
      </c>
      <c r="X267" s="4">
        <v>1</v>
      </c>
      <c r="Y267" s="4">
        <v>0</v>
      </c>
      <c r="Z267" s="4"/>
      <c r="AA267" s="4"/>
      <c r="AB267" s="4"/>
    </row>
    <row r="268" spans="1:28" x14ac:dyDescent="0.2">
      <c r="A268" s="4">
        <v>50</v>
      </c>
      <c r="B268" s="4">
        <v>0</v>
      </c>
      <c r="C268" s="4">
        <v>0</v>
      </c>
      <c r="D268" s="4">
        <v>1</v>
      </c>
      <c r="E268" s="4">
        <v>214</v>
      </c>
      <c r="F268" s="4">
        <f>ROUND(Source!AS251,O268)</f>
        <v>4319526.4400000004</v>
      </c>
      <c r="G268" s="4" t="s">
        <v>349</v>
      </c>
      <c r="H268" s="4" t="s">
        <v>350</v>
      </c>
      <c r="I268" s="4"/>
      <c r="J268" s="4"/>
      <c r="K268" s="4">
        <v>214</v>
      </c>
      <c r="L268" s="4">
        <v>16</v>
      </c>
      <c r="M268" s="4">
        <v>3</v>
      </c>
      <c r="N268" s="4" t="s">
        <v>3</v>
      </c>
      <c r="O268" s="4">
        <v>2</v>
      </c>
      <c r="P268" s="4"/>
      <c r="Q268" s="4"/>
      <c r="R268" s="4"/>
      <c r="S268" s="4"/>
      <c r="T268" s="4"/>
      <c r="U268" s="4"/>
      <c r="V268" s="4"/>
      <c r="W268" s="4">
        <v>4319526.4400000004</v>
      </c>
      <c r="X268" s="4">
        <v>1</v>
      </c>
      <c r="Y268" s="4">
        <v>4319526.4400000004</v>
      </c>
      <c r="Z268" s="4"/>
      <c r="AA268" s="4"/>
      <c r="AB268" s="4"/>
    </row>
    <row r="269" spans="1:28" x14ac:dyDescent="0.2">
      <c r="A269" s="4">
        <v>50</v>
      </c>
      <c r="B269" s="4">
        <v>0</v>
      </c>
      <c r="C269" s="4">
        <v>0</v>
      </c>
      <c r="D269" s="4">
        <v>1</v>
      </c>
      <c r="E269" s="4">
        <v>215</v>
      </c>
      <c r="F269" s="4">
        <f>ROUND(Source!AT251,O269)</f>
        <v>0</v>
      </c>
      <c r="G269" s="4" t="s">
        <v>351</v>
      </c>
      <c r="H269" s="4" t="s">
        <v>352</v>
      </c>
      <c r="I269" s="4"/>
      <c r="J269" s="4"/>
      <c r="K269" s="4">
        <v>215</v>
      </c>
      <c r="L269" s="4">
        <v>17</v>
      </c>
      <c r="M269" s="4">
        <v>3</v>
      </c>
      <c r="N269" s="4" t="s">
        <v>3</v>
      </c>
      <c r="O269" s="4">
        <v>2</v>
      </c>
      <c r="P269" s="4"/>
      <c r="Q269" s="4"/>
      <c r="R269" s="4"/>
      <c r="S269" s="4"/>
      <c r="T269" s="4"/>
      <c r="U269" s="4"/>
      <c r="V269" s="4"/>
      <c r="W269" s="4">
        <v>0</v>
      </c>
      <c r="X269" s="4">
        <v>1</v>
      </c>
      <c r="Y269" s="4">
        <v>0</v>
      </c>
      <c r="Z269" s="4"/>
      <c r="AA269" s="4"/>
      <c r="AB269" s="4"/>
    </row>
    <row r="270" spans="1:28" x14ac:dyDescent="0.2">
      <c r="A270" s="4">
        <v>50</v>
      </c>
      <c r="B270" s="4">
        <v>0</v>
      </c>
      <c r="C270" s="4">
        <v>0</v>
      </c>
      <c r="D270" s="4">
        <v>1</v>
      </c>
      <c r="E270" s="4">
        <v>217</v>
      </c>
      <c r="F270" s="4">
        <f>ROUND(Source!AU251,O270)</f>
        <v>0</v>
      </c>
      <c r="G270" s="4" t="s">
        <v>353</v>
      </c>
      <c r="H270" s="4" t="s">
        <v>354</v>
      </c>
      <c r="I270" s="4"/>
      <c r="J270" s="4"/>
      <c r="K270" s="4">
        <v>217</v>
      </c>
      <c r="L270" s="4">
        <v>18</v>
      </c>
      <c r="M270" s="4">
        <v>3</v>
      </c>
      <c r="N270" s="4" t="s">
        <v>3</v>
      </c>
      <c r="O270" s="4">
        <v>2</v>
      </c>
      <c r="P270" s="4"/>
      <c r="Q270" s="4"/>
      <c r="R270" s="4"/>
      <c r="S270" s="4"/>
      <c r="T270" s="4"/>
      <c r="U270" s="4"/>
      <c r="V270" s="4"/>
      <c r="W270" s="4">
        <v>0</v>
      </c>
      <c r="X270" s="4">
        <v>1</v>
      </c>
      <c r="Y270" s="4">
        <v>0</v>
      </c>
      <c r="Z270" s="4"/>
      <c r="AA270" s="4"/>
      <c r="AB270" s="4"/>
    </row>
    <row r="271" spans="1:28" x14ac:dyDescent="0.2">
      <c r="A271" s="4">
        <v>50</v>
      </c>
      <c r="B271" s="4">
        <v>0</v>
      </c>
      <c r="C271" s="4">
        <v>0</v>
      </c>
      <c r="D271" s="4">
        <v>1</v>
      </c>
      <c r="E271" s="4">
        <v>230</v>
      </c>
      <c r="F271" s="4">
        <f>ROUND(Source!BA251,O271)</f>
        <v>0</v>
      </c>
      <c r="G271" s="4" t="s">
        <v>355</v>
      </c>
      <c r="H271" s="4" t="s">
        <v>356</v>
      </c>
      <c r="I271" s="4"/>
      <c r="J271" s="4"/>
      <c r="K271" s="4">
        <v>230</v>
      </c>
      <c r="L271" s="4">
        <v>19</v>
      </c>
      <c r="M271" s="4">
        <v>3</v>
      </c>
      <c r="N271" s="4" t="s">
        <v>3</v>
      </c>
      <c r="O271" s="4">
        <v>2</v>
      </c>
      <c r="P271" s="4"/>
      <c r="Q271" s="4"/>
      <c r="R271" s="4"/>
      <c r="S271" s="4"/>
      <c r="T271" s="4"/>
      <c r="U271" s="4"/>
      <c r="V271" s="4"/>
      <c r="W271" s="4">
        <v>0</v>
      </c>
      <c r="X271" s="4">
        <v>1</v>
      </c>
      <c r="Y271" s="4">
        <v>0</v>
      </c>
      <c r="Z271" s="4"/>
      <c r="AA271" s="4"/>
      <c r="AB271" s="4"/>
    </row>
    <row r="272" spans="1:28" x14ac:dyDescent="0.2">
      <c r="A272" s="4">
        <v>50</v>
      </c>
      <c r="B272" s="4">
        <v>0</v>
      </c>
      <c r="C272" s="4">
        <v>0</v>
      </c>
      <c r="D272" s="4">
        <v>1</v>
      </c>
      <c r="E272" s="4">
        <v>206</v>
      </c>
      <c r="F272" s="4">
        <f>ROUND(Source!T251,O272)</f>
        <v>0</v>
      </c>
      <c r="G272" s="4" t="s">
        <v>357</v>
      </c>
      <c r="H272" s="4" t="s">
        <v>358</v>
      </c>
      <c r="I272" s="4"/>
      <c r="J272" s="4"/>
      <c r="K272" s="4">
        <v>206</v>
      </c>
      <c r="L272" s="4">
        <v>20</v>
      </c>
      <c r="M272" s="4">
        <v>3</v>
      </c>
      <c r="N272" s="4" t="s">
        <v>3</v>
      </c>
      <c r="O272" s="4">
        <v>2</v>
      </c>
      <c r="P272" s="4"/>
      <c r="Q272" s="4"/>
      <c r="R272" s="4"/>
      <c r="S272" s="4"/>
      <c r="T272" s="4"/>
      <c r="U272" s="4"/>
      <c r="V272" s="4"/>
      <c r="W272" s="4">
        <v>0</v>
      </c>
      <c r="X272" s="4">
        <v>1</v>
      </c>
      <c r="Y272" s="4">
        <v>0</v>
      </c>
      <c r="Z272" s="4"/>
      <c r="AA272" s="4"/>
      <c r="AB272" s="4"/>
    </row>
    <row r="273" spans="1:206" x14ac:dyDescent="0.2">
      <c r="A273" s="4">
        <v>50</v>
      </c>
      <c r="B273" s="4">
        <v>0</v>
      </c>
      <c r="C273" s="4">
        <v>0</v>
      </c>
      <c r="D273" s="4">
        <v>1</v>
      </c>
      <c r="E273" s="4">
        <v>207</v>
      </c>
      <c r="F273" s="4">
        <f>Source!U251</f>
        <v>3672.27873172</v>
      </c>
      <c r="G273" s="4" t="s">
        <v>359</v>
      </c>
      <c r="H273" s="4" t="s">
        <v>360</v>
      </c>
      <c r="I273" s="4"/>
      <c r="J273" s="4"/>
      <c r="K273" s="4">
        <v>207</v>
      </c>
      <c r="L273" s="4">
        <v>21</v>
      </c>
      <c r="M273" s="4">
        <v>3</v>
      </c>
      <c r="N273" s="4" t="s">
        <v>3</v>
      </c>
      <c r="O273" s="4">
        <v>-1</v>
      </c>
      <c r="P273" s="4"/>
      <c r="Q273" s="4"/>
      <c r="R273" s="4"/>
      <c r="S273" s="4"/>
      <c r="T273" s="4"/>
      <c r="U273" s="4"/>
      <c r="V273" s="4"/>
      <c r="W273" s="4">
        <v>3672.2787317199991</v>
      </c>
      <c r="X273" s="4">
        <v>1</v>
      </c>
      <c r="Y273" s="4">
        <v>3672.2787317199991</v>
      </c>
      <c r="Z273" s="4"/>
      <c r="AA273" s="4"/>
      <c r="AB273" s="4"/>
    </row>
    <row r="274" spans="1:206" x14ac:dyDescent="0.2">
      <c r="A274" s="4">
        <v>50</v>
      </c>
      <c r="B274" s="4">
        <v>0</v>
      </c>
      <c r="C274" s="4">
        <v>0</v>
      </c>
      <c r="D274" s="4">
        <v>1</v>
      </c>
      <c r="E274" s="4">
        <v>208</v>
      </c>
      <c r="F274" s="4">
        <f>Source!V251</f>
        <v>37.396863050000007</v>
      </c>
      <c r="G274" s="4" t="s">
        <v>361</v>
      </c>
      <c r="H274" s="4" t="s">
        <v>362</v>
      </c>
      <c r="I274" s="4"/>
      <c r="J274" s="4"/>
      <c r="K274" s="4">
        <v>208</v>
      </c>
      <c r="L274" s="4">
        <v>22</v>
      </c>
      <c r="M274" s="4">
        <v>3</v>
      </c>
      <c r="N274" s="4" t="s">
        <v>3</v>
      </c>
      <c r="O274" s="4">
        <v>-1</v>
      </c>
      <c r="P274" s="4"/>
      <c r="Q274" s="4"/>
      <c r="R274" s="4"/>
      <c r="S274" s="4"/>
      <c r="T274" s="4"/>
      <c r="U274" s="4"/>
      <c r="V274" s="4"/>
      <c r="W274" s="4">
        <v>37.396863049999986</v>
      </c>
      <c r="X274" s="4">
        <v>1</v>
      </c>
      <c r="Y274" s="4">
        <v>37.396863049999986</v>
      </c>
      <c r="Z274" s="4"/>
      <c r="AA274" s="4"/>
      <c r="AB274" s="4"/>
    </row>
    <row r="275" spans="1:206" x14ac:dyDescent="0.2">
      <c r="A275" s="4">
        <v>50</v>
      </c>
      <c r="B275" s="4">
        <v>0</v>
      </c>
      <c r="C275" s="4">
        <v>0</v>
      </c>
      <c r="D275" s="4">
        <v>1</v>
      </c>
      <c r="E275" s="4">
        <v>209</v>
      </c>
      <c r="F275" s="4">
        <f>ROUND(Source!W251,O275)</f>
        <v>0</v>
      </c>
      <c r="G275" s="4" t="s">
        <v>363</v>
      </c>
      <c r="H275" s="4" t="s">
        <v>364</v>
      </c>
      <c r="I275" s="4"/>
      <c r="J275" s="4"/>
      <c r="K275" s="4">
        <v>209</v>
      </c>
      <c r="L275" s="4">
        <v>23</v>
      </c>
      <c r="M275" s="4">
        <v>3</v>
      </c>
      <c r="N275" s="4" t="s">
        <v>3</v>
      </c>
      <c r="O275" s="4">
        <v>2</v>
      </c>
      <c r="P275" s="4"/>
      <c r="Q275" s="4"/>
      <c r="R275" s="4"/>
      <c r="S275" s="4"/>
      <c r="T275" s="4"/>
      <c r="U275" s="4"/>
      <c r="V275" s="4"/>
      <c r="W275" s="4">
        <v>0</v>
      </c>
      <c r="X275" s="4">
        <v>1</v>
      </c>
      <c r="Y275" s="4">
        <v>0</v>
      </c>
      <c r="Z275" s="4"/>
      <c r="AA275" s="4"/>
      <c r="AB275" s="4"/>
    </row>
    <row r="276" spans="1:206" x14ac:dyDescent="0.2">
      <c r="A276" s="4">
        <v>50</v>
      </c>
      <c r="B276" s="4">
        <v>0</v>
      </c>
      <c r="C276" s="4">
        <v>0</v>
      </c>
      <c r="D276" s="4">
        <v>1</v>
      </c>
      <c r="E276" s="4">
        <v>233</v>
      </c>
      <c r="F276" s="4">
        <f>ROUND(Source!BD251,O276)</f>
        <v>5597.51</v>
      </c>
      <c r="G276" s="4" t="s">
        <v>365</v>
      </c>
      <c r="H276" s="4" t="s">
        <v>366</v>
      </c>
      <c r="I276" s="4"/>
      <c r="J276" s="4"/>
      <c r="K276" s="4">
        <v>233</v>
      </c>
      <c r="L276" s="4">
        <v>24</v>
      </c>
      <c r="M276" s="4">
        <v>3</v>
      </c>
      <c r="N276" s="4" t="s">
        <v>3</v>
      </c>
      <c r="O276" s="4">
        <v>2</v>
      </c>
      <c r="P276" s="4"/>
      <c r="Q276" s="4"/>
      <c r="R276" s="4"/>
      <c r="S276" s="4"/>
      <c r="T276" s="4"/>
      <c r="U276" s="4"/>
      <c r="V276" s="4"/>
      <c r="W276" s="4">
        <v>5597.51</v>
      </c>
      <c r="X276" s="4">
        <v>1</v>
      </c>
      <c r="Y276" s="4">
        <v>5597.51</v>
      </c>
      <c r="Z276" s="4"/>
      <c r="AA276" s="4"/>
      <c r="AB276" s="4"/>
    </row>
    <row r="277" spans="1:206" x14ac:dyDescent="0.2">
      <c r="A277" s="4">
        <v>50</v>
      </c>
      <c r="B277" s="4">
        <v>0</v>
      </c>
      <c r="C277" s="4">
        <v>0</v>
      </c>
      <c r="D277" s="4">
        <v>1</v>
      </c>
      <c r="E277" s="4">
        <v>210</v>
      </c>
      <c r="F277" s="4">
        <f>ROUND(Source!X251,O277)</f>
        <v>1072554.97</v>
      </c>
      <c r="G277" s="4" t="s">
        <v>367</v>
      </c>
      <c r="H277" s="4" t="s">
        <v>368</v>
      </c>
      <c r="I277" s="4"/>
      <c r="J277" s="4"/>
      <c r="K277" s="4">
        <v>210</v>
      </c>
      <c r="L277" s="4">
        <v>25</v>
      </c>
      <c r="M277" s="4">
        <v>3</v>
      </c>
      <c r="N277" s="4" t="s">
        <v>3</v>
      </c>
      <c r="O277" s="4">
        <v>2</v>
      </c>
      <c r="P277" s="4"/>
      <c r="Q277" s="4"/>
      <c r="R277" s="4"/>
      <c r="S277" s="4"/>
      <c r="T277" s="4"/>
      <c r="U277" s="4"/>
      <c r="V277" s="4"/>
      <c r="W277" s="4">
        <v>1072554.97</v>
      </c>
      <c r="X277" s="4">
        <v>1</v>
      </c>
      <c r="Y277" s="4">
        <v>1072554.97</v>
      </c>
      <c r="Z277" s="4"/>
      <c r="AA277" s="4"/>
      <c r="AB277" s="4"/>
    </row>
    <row r="278" spans="1:206" x14ac:dyDescent="0.2">
      <c r="A278" s="4">
        <v>50</v>
      </c>
      <c r="B278" s="4">
        <v>0</v>
      </c>
      <c r="C278" s="4">
        <v>0</v>
      </c>
      <c r="D278" s="4">
        <v>1</v>
      </c>
      <c r="E278" s="4">
        <v>211</v>
      </c>
      <c r="F278" s="4">
        <f>ROUND(Source!Y251,O278)</f>
        <v>521779.92</v>
      </c>
      <c r="G278" s="4" t="s">
        <v>369</v>
      </c>
      <c r="H278" s="4" t="s">
        <v>370</v>
      </c>
      <c r="I278" s="4"/>
      <c r="J278" s="4"/>
      <c r="K278" s="4">
        <v>211</v>
      </c>
      <c r="L278" s="4">
        <v>26</v>
      </c>
      <c r="M278" s="4">
        <v>3</v>
      </c>
      <c r="N278" s="4" t="s">
        <v>3</v>
      </c>
      <c r="O278" s="4">
        <v>2</v>
      </c>
      <c r="P278" s="4"/>
      <c r="Q278" s="4"/>
      <c r="R278" s="4"/>
      <c r="S278" s="4"/>
      <c r="T278" s="4"/>
      <c r="U278" s="4"/>
      <c r="V278" s="4"/>
      <c r="W278" s="4">
        <v>521779.92</v>
      </c>
      <c r="X278" s="4">
        <v>1</v>
      </c>
      <c r="Y278" s="4">
        <v>521779.92</v>
      </c>
      <c r="Z278" s="4"/>
      <c r="AA278" s="4"/>
      <c r="AB278" s="4"/>
    </row>
    <row r="279" spans="1:206" x14ac:dyDescent="0.2">
      <c r="A279" s="4">
        <v>50</v>
      </c>
      <c r="B279" s="4">
        <v>0</v>
      </c>
      <c r="C279" s="4">
        <v>0</v>
      </c>
      <c r="D279" s="4">
        <v>1</v>
      </c>
      <c r="E279" s="4">
        <v>224</v>
      </c>
      <c r="F279" s="4">
        <f>ROUND(Source!AR251,O279)</f>
        <v>4319526.4400000004</v>
      </c>
      <c r="G279" s="4" t="s">
        <v>371</v>
      </c>
      <c r="H279" s="4" t="s">
        <v>372</v>
      </c>
      <c r="I279" s="4"/>
      <c r="J279" s="4"/>
      <c r="K279" s="4">
        <v>224</v>
      </c>
      <c r="L279" s="4">
        <v>27</v>
      </c>
      <c r="M279" s="4">
        <v>3</v>
      </c>
      <c r="N279" s="4" t="s">
        <v>3</v>
      </c>
      <c r="O279" s="4">
        <v>2</v>
      </c>
      <c r="P279" s="4"/>
      <c r="Q279" s="4"/>
      <c r="R279" s="4"/>
      <c r="S279" s="4"/>
      <c r="T279" s="4"/>
      <c r="U279" s="4"/>
      <c r="V279" s="4"/>
      <c r="W279" s="4">
        <v>4319526.4400000004</v>
      </c>
      <c r="X279" s="4">
        <v>1</v>
      </c>
      <c r="Y279" s="4">
        <v>4319526.4400000004</v>
      </c>
      <c r="Z279" s="4"/>
      <c r="AA279" s="4"/>
      <c r="AB279" s="4"/>
    </row>
    <row r="280" spans="1:206" x14ac:dyDescent="0.2">
      <c r="A280" s="4">
        <v>50</v>
      </c>
      <c r="B280" s="4">
        <v>0</v>
      </c>
      <c r="C280" s="4">
        <v>0</v>
      </c>
      <c r="D280" s="4">
        <v>2</v>
      </c>
      <c r="E280" s="4">
        <v>0</v>
      </c>
      <c r="F280" s="4">
        <f>ROUND(0.2*F279,O280)</f>
        <v>863905.29</v>
      </c>
      <c r="G280" s="4" t="s">
        <v>529</v>
      </c>
      <c r="H280" s="4" t="s">
        <v>530</v>
      </c>
      <c r="I280" s="4"/>
      <c r="J280" s="4"/>
      <c r="K280" s="4">
        <v>212</v>
      </c>
      <c r="L280" s="4">
        <v>29</v>
      </c>
      <c r="M280" s="4">
        <v>3</v>
      </c>
      <c r="N280" s="4" t="s">
        <v>3</v>
      </c>
      <c r="O280" s="4">
        <v>2</v>
      </c>
      <c r="P280" s="4"/>
      <c r="Q280" s="4"/>
      <c r="R280" s="4"/>
      <c r="S280" s="4"/>
      <c r="T280" s="4"/>
      <c r="U280" s="4"/>
      <c r="V280" s="4"/>
      <c r="W280" s="4">
        <v>863905.29</v>
      </c>
      <c r="X280" s="4">
        <v>1</v>
      </c>
      <c r="Y280" s="4">
        <v>863905.29</v>
      </c>
      <c r="Z280" s="4"/>
      <c r="AA280" s="4"/>
      <c r="AB280" s="4"/>
    </row>
    <row r="281" spans="1:206" x14ac:dyDescent="0.2">
      <c r="A281" s="4">
        <v>50</v>
      </c>
      <c r="B281" s="4">
        <v>0</v>
      </c>
      <c r="C281" s="4">
        <v>0</v>
      </c>
      <c r="D281" s="4">
        <v>2</v>
      </c>
      <c r="E281" s="4">
        <v>0</v>
      </c>
      <c r="F281" s="4">
        <f>ROUND(F279+F280,O281)</f>
        <v>5183431.7300000004</v>
      </c>
      <c r="G281" s="4" t="s">
        <v>531</v>
      </c>
      <c r="H281" s="4" t="s">
        <v>532</v>
      </c>
      <c r="I281" s="4"/>
      <c r="J281" s="4"/>
      <c r="K281" s="4">
        <v>212</v>
      </c>
      <c r="L281" s="4">
        <v>30</v>
      </c>
      <c r="M281" s="4">
        <v>3</v>
      </c>
      <c r="N281" s="4" t="s">
        <v>3</v>
      </c>
      <c r="O281" s="4">
        <v>2</v>
      </c>
      <c r="P281" s="4"/>
      <c r="Q281" s="4"/>
      <c r="R281" s="4"/>
      <c r="S281" s="4"/>
      <c r="T281" s="4"/>
      <c r="U281" s="4"/>
      <c r="V281" s="4"/>
      <c r="W281" s="4">
        <v>5183431.7300000004</v>
      </c>
      <c r="X281" s="4">
        <v>1</v>
      </c>
      <c r="Y281" s="4">
        <v>5183431.7300000004</v>
      </c>
      <c r="Z281" s="4"/>
      <c r="AA281" s="4"/>
      <c r="AB281" s="4"/>
    </row>
    <row r="283" spans="1:206" x14ac:dyDescent="0.2">
      <c r="A283" s="2">
        <v>51</v>
      </c>
      <c r="B283" s="2">
        <f>B12</f>
        <v>345</v>
      </c>
      <c r="C283" s="2">
        <f>A12</f>
        <v>1</v>
      </c>
      <c r="D283" s="2">
        <f>ROW(A12)</f>
        <v>12</v>
      </c>
      <c r="E283" s="2"/>
      <c r="F283" s="2" t="str">
        <f>IF(F12&lt;&gt;"",F12,"")</f>
        <v>1</v>
      </c>
      <c r="G283" s="2" t="str">
        <f>IF(G12&lt;&gt;"",G12,"")</f>
        <v>Ремонт помещений, системы отопления и крыльца здания столовой инв. № 10-00000050</v>
      </c>
      <c r="H283" s="2">
        <v>0</v>
      </c>
      <c r="I283" s="2"/>
      <c r="J283" s="2"/>
      <c r="K283" s="2"/>
      <c r="L283" s="2"/>
      <c r="M283" s="2"/>
      <c r="N283" s="2"/>
      <c r="O283" s="2">
        <f t="shared" ref="O283:T283" si="259">ROUND(O251,2)</f>
        <v>2719594.04</v>
      </c>
      <c r="P283" s="2">
        <f t="shared" si="259"/>
        <v>1647109.74</v>
      </c>
      <c r="Q283" s="2">
        <f t="shared" si="259"/>
        <v>27086.7</v>
      </c>
      <c r="R283" s="2">
        <f t="shared" si="259"/>
        <v>14448.9</v>
      </c>
      <c r="S283" s="2">
        <f t="shared" si="259"/>
        <v>1045397.6</v>
      </c>
      <c r="T283" s="2">
        <f t="shared" si="259"/>
        <v>0</v>
      </c>
      <c r="U283" s="2">
        <f>U251</f>
        <v>3672.27873172</v>
      </c>
      <c r="V283" s="2">
        <f>V251</f>
        <v>37.396863050000007</v>
      </c>
      <c r="W283" s="2">
        <f>ROUND(W251,2)</f>
        <v>0</v>
      </c>
      <c r="X283" s="2">
        <f>ROUND(X251,2)</f>
        <v>1072554.97</v>
      </c>
      <c r="Y283" s="2">
        <f>ROUND(Y251,2)</f>
        <v>521779.92</v>
      </c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>
        <f t="shared" ref="AO283:BD283" si="260">ROUND(AO251,2)</f>
        <v>0</v>
      </c>
      <c r="AP283" s="2">
        <f t="shared" si="260"/>
        <v>0</v>
      </c>
      <c r="AQ283" s="2">
        <f t="shared" si="260"/>
        <v>0</v>
      </c>
      <c r="AR283" s="2">
        <f t="shared" si="260"/>
        <v>4319526.4400000004</v>
      </c>
      <c r="AS283" s="2">
        <f t="shared" si="260"/>
        <v>4319526.4400000004</v>
      </c>
      <c r="AT283" s="2">
        <f t="shared" si="260"/>
        <v>0</v>
      </c>
      <c r="AU283" s="2">
        <f t="shared" si="260"/>
        <v>0</v>
      </c>
      <c r="AV283" s="2">
        <f t="shared" si="260"/>
        <v>1647109.74</v>
      </c>
      <c r="AW283" s="2">
        <f t="shared" si="260"/>
        <v>1647109.74</v>
      </c>
      <c r="AX283" s="2">
        <f t="shared" si="260"/>
        <v>0</v>
      </c>
      <c r="AY283" s="2">
        <f t="shared" si="260"/>
        <v>1647109.74</v>
      </c>
      <c r="AZ283" s="2">
        <f t="shared" si="260"/>
        <v>0</v>
      </c>
      <c r="BA283" s="2">
        <f t="shared" si="260"/>
        <v>0</v>
      </c>
      <c r="BB283" s="2">
        <f t="shared" si="260"/>
        <v>0</v>
      </c>
      <c r="BC283" s="2">
        <f t="shared" si="260"/>
        <v>0</v>
      </c>
      <c r="BD283" s="2">
        <f t="shared" si="260"/>
        <v>5597.51</v>
      </c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>
        <v>0</v>
      </c>
    </row>
    <row r="285" spans="1:206" x14ac:dyDescent="0.2">
      <c r="A285" s="4">
        <v>50</v>
      </c>
      <c r="B285" s="4">
        <v>1</v>
      </c>
      <c r="C285" s="4">
        <v>0</v>
      </c>
      <c r="D285" s="4">
        <v>1</v>
      </c>
      <c r="E285" s="4">
        <v>201</v>
      </c>
      <c r="F285" s="4">
        <f>ROUND(Source!O283,O285)</f>
        <v>2719594.04</v>
      </c>
      <c r="G285" s="4" t="s">
        <v>319</v>
      </c>
      <c r="H285" s="4" t="s">
        <v>320</v>
      </c>
      <c r="I285" s="4"/>
      <c r="J285" s="4"/>
      <c r="K285" s="4">
        <v>201</v>
      </c>
      <c r="L285" s="4">
        <v>1</v>
      </c>
      <c r="M285" s="4">
        <v>1</v>
      </c>
      <c r="N285" s="4" t="s">
        <v>3</v>
      </c>
      <c r="O285" s="4">
        <v>2</v>
      </c>
      <c r="P285" s="4"/>
      <c r="Q285" s="4"/>
      <c r="R285" s="4"/>
      <c r="S285" s="4"/>
      <c r="T285" s="4"/>
      <c r="U285" s="4"/>
      <c r="V285" s="4"/>
      <c r="W285" s="4">
        <v>2719594.04</v>
      </c>
      <c r="X285" s="4">
        <v>1</v>
      </c>
      <c r="Y285" s="4">
        <v>2719594.04</v>
      </c>
      <c r="Z285" s="4"/>
      <c r="AA285" s="4"/>
      <c r="AB285" s="4"/>
    </row>
    <row r="286" spans="1:206" x14ac:dyDescent="0.2">
      <c r="A286" s="4">
        <v>50</v>
      </c>
      <c r="B286" s="4">
        <v>1</v>
      </c>
      <c r="C286" s="4">
        <v>0</v>
      </c>
      <c r="D286" s="4">
        <v>1</v>
      </c>
      <c r="E286" s="4">
        <v>202</v>
      </c>
      <c r="F286" s="4">
        <f>ROUND(Source!P283,O286)</f>
        <v>1647109.74</v>
      </c>
      <c r="G286" s="4" t="s">
        <v>321</v>
      </c>
      <c r="H286" s="4" t="s">
        <v>322</v>
      </c>
      <c r="I286" s="4"/>
      <c r="J286" s="4"/>
      <c r="K286" s="4">
        <v>202</v>
      </c>
      <c r="L286" s="4">
        <v>2</v>
      </c>
      <c r="M286" s="4">
        <v>1</v>
      </c>
      <c r="N286" s="4" t="s">
        <v>3</v>
      </c>
      <c r="O286" s="4">
        <v>2</v>
      </c>
      <c r="P286" s="4"/>
      <c r="Q286" s="4"/>
      <c r="R286" s="4"/>
      <c r="S286" s="4"/>
      <c r="T286" s="4"/>
      <c r="U286" s="4"/>
      <c r="V286" s="4"/>
      <c r="W286" s="4">
        <v>1647109.74</v>
      </c>
      <c r="X286" s="4">
        <v>1</v>
      </c>
      <c r="Y286" s="4">
        <v>1647109.74</v>
      </c>
      <c r="Z286" s="4"/>
      <c r="AA286" s="4"/>
      <c r="AB286" s="4"/>
    </row>
    <row r="287" spans="1:206" x14ac:dyDescent="0.2">
      <c r="A287" s="4">
        <v>50</v>
      </c>
      <c r="B287" s="4">
        <v>0</v>
      </c>
      <c r="C287" s="4">
        <v>0</v>
      </c>
      <c r="D287" s="4">
        <v>1</v>
      </c>
      <c r="E287" s="4">
        <v>222</v>
      </c>
      <c r="F287" s="4">
        <f>ROUND(Source!AO283,O287)</f>
        <v>0</v>
      </c>
      <c r="G287" s="4" t="s">
        <v>323</v>
      </c>
      <c r="H287" s="4" t="s">
        <v>324</v>
      </c>
      <c r="I287" s="4"/>
      <c r="J287" s="4"/>
      <c r="K287" s="4">
        <v>222</v>
      </c>
      <c r="L287" s="4">
        <v>3</v>
      </c>
      <c r="M287" s="4">
        <v>1</v>
      </c>
      <c r="N287" s="4" t="s">
        <v>3</v>
      </c>
      <c r="O287" s="4">
        <v>2</v>
      </c>
      <c r="P287" s="4"/>
      <c r="Q287" s="4"/>
      <c r="R287" s="4"/>
      <c r="S287" s="4"/>
      <c r="T287" s="4"/>
      <c r="U287" s="4"/>
      <c r="V287" s="4"/>
      <c r="W287" s="4">
        <v>0</v>
      </c>
      <c r="X287" s="4">
        <v>1</v>
      </c>
      <c r="Y287" s="4">
        <v>0</v>
      </c>
      <c r="Z287" s="4"/>
      <c r="AA287" s="4"/>
      <c r="AB287" s="4"/>
    </row>
    <row r="288" spans="1:206" x14ac:dyDescent="0.2">
      <c r="A288" s="4">
        <v>50</v>
      </c>
      <c r="B288" s="4">
        <v>1</v>
      </c>
      <c r="C288" s="4">
        <v>0</v>
      </c>
      <c r="D288" s="4">
        <v>1</v>
      </c>
      <c r="E288" s="4">
        <v>225</v>
      </c>
      <c r="F288" s="4">
        <f>ROUND(Source!AV283,O288)</f>
        <v>1647109.74</v>
      </c>
      <c r="G288" s="4" t="s">
        <v>325</v>
      </c>
      <c r="H288" s="4" t="s">
        <v>326</v>
      </c>
      <c r="I288" s="4"/>
      <c r="J288" s="4"/>
      <c r="K288" s="4">
        <v>225</v>
      </c>
      <c r="L288" s="4">
        <v>4</v>
      </c>
      <c r="M288" s="4">
        <v>1</v>
      </c>
      <c r="N288" s="4" t="s">
        <v>3</v>
      </c>
      <c r="O288" s="4">
        <v>2</v>
      </c>
      <c r="P288" s="4"/>
      <c r="Q288" s="4"/>
      <c r="R288" s="4"/>
      <c r="S288" s="4"/>
      <c r="T288" s="4"/>
      <c r="U288" s="4"/>
      <c r="V288" s="4"/>
      <c r="W288" s="4">
        <v>1647109.74</v>
      </c>
      <c r="X288" s="4">
        <v>1</v>
      </c>
      <c r="Y288" s="4">
        <v>1647109.74</v>
      </c>
      <c r="Z288" s="4"/>
      <c r="AA288" s="4"/>
      <c r="AB288" s="4"/>
    </row>
    <row r="289" spans="1:28" x14ac:dyDescent="0.2">
      <c r="A289" s="4">
        <v>50</v>
      </c>
      <c r="B289" s="4">
        <v>1</v>
      </c>
      <c r="C289" s="4">
        <v>0</v>
      </c>
      <c r="D289" s="4">
        <v>1</v>
      </c>
      <c r="E289" s="4">
        <v>226</v>
      </c>
      <c r="F289" s="4">
        <f>ROUND(Source!AW283,O289)</f>
        <v>1647109.74</v>
      </c>
      <c r="G289" s="4" t="s">
        <v>327</v>
      </c>
      <c r="H289" s="4" t="s">
        <v>328</v>
      </c>
      <c r="I289" s="4"/>
      <c r="J289" s="4"/>
      <c r="K289" s="4">
        <v>226</v>
      </c>
      <c r="L289" s="4">
        <v>5</v>
      </c>
      <c r="M289" s="4">
        <v>1</v>
      </c>
      <c r="N289" s="4" t="s">
        <v>3</v>
      </c>
      <c r="O289" s="4">
        <v>2</v>
      </c>
      <c r="P289" s="4"/>
      <c r="Q289" s="4"/>
      <c r="R289" s="4"/>
      <c r="S289" s="4"/>
      <c r="T289" s="4"/>
      <c r="U289" s="4"/>
      <c r="V289" s="4"/>
      <c r="W289" s="4">
        <v>1647109.74</v>
      </c>
      <c r="X289" s="4">
        <v>1</v>
      </c>
      <c r="Y289" s="4">
        <v>1647109.74</v>
      </c>
      <c r="Z289" s="4"/>
      <c r="AA289" s="4"/>
      <c r="AB289" s="4"/>
    </row>
    <row r="290" spans="1:28" x14ac:dyDescent="0.2">
      <c r="A290" s="4">
        <v>50</v>
      </c>
      <c r="B290" s="4">
        <v>0</v>
      </c>
      <c r="C290" s="4">
        <v>0</v>
      </c>
      <c r="D290" s="4">
        <v>1</v>
      </c>
      <c r="E290" s="4">
        <v>227</v>
      </c>
      <c r="F290" s="4">
        <f>ROUND(Source!AX283,O290)</f>
        <v>0</v>
      </c>
      <c r="G290" s="4" t="s">
        <v>329</v>
      </c>
      <c r="H290" s="4" t="s">
        <v>330</v>
      </c>
      <c r="I290" s="4"/>
      <c r="J290" s="4"/>
      <c r="K290" s="4">
        <v>227</v>
      </c>
      <c r="L290" s="4">
        <v>6</v>
      </c>
      <c r="M290" s="4">
        <v>1</v>
      </c>
      <c r="N290" s="4" t="s">
        <v>3</v>
      </c>
      <c r="O290" s="4">
        <v>2</v>
      </c>
      <c r="P290" s="4"/>
      <c r="Q290" s="4"/>
      <c r="R290" s="4"/>
      <c r="S290" s="4"/>
      <c r="T290" s="4"/>
      <c r="U290" s="4"/>
      <c r="V290" s="4"/>
      <c r="W290" s="4">
        <v>0</v>
      </c>
      <c r="X290" s="4">
        <v>1</v>
      </c>
      <c r="Y290" s="4">
        <v>0</v>
      </c>
      <c r="Z290" s="4"/>
      <c r="AA290" s="4"/>
      <c r="AB290" s="4"/>
    </row>
    <row r="291" spans="1:28" x14ac:dyDescent="0.2">
      <c r="A291" s="4">
        <v>50</v>
      </c>
      <c r="B291" s="4">
        <v>1</v>
      </c>
      <c r="C291" s="4">
        <v>0</v>
      </c>
      <c r="D291" s="4">
        <v>1</v>
      </c>
      <c r="E291" s="4">
        <v>228</v>
      </c>
      <c r="F291" s="4">
        <f>ROUND(Source!AY283,O291)</f>
        <v>1647109.74</v>
      </c>
      <c r="G291" s="4" t="s">
        <v>331</v>
      </c>
      <c r="H291" s="4" t="s">
        <v>332</v>
      </c>
      <c r="I291" s="4"/>
      <c r="J291" s="4"/>
      <c r="K291" s="4">
        <v>228</v>
      </c>
      <c r="L291" s="4">
        <v>7</v>
      </c>
      <c r="M291" s="4">
        <v>1</v>
      </c>
      <c r="N291" s="4" t="s">
        <v>3</v>
      </c>
      <c r="O291" s="4">
        <v>2</v>
      </c>
      <c r="P291" s="4"/>
      <c r="Q291" s="4"/>
      <c r="R291" s="4"/>
      <c r="S291" s="4"/>
      <c r="T291" s="4"/>
      <c r="U291" s="4"/>
      <c r="V291" s="4"/>
      <c r="W291" s="4">
        <v>1647109.74</v>
      </c>
      <c r="X291" s="4">
        <v>1</v>
      </c>
      <c r="Y291" s="4">
        <v>1647109.74</v>
      </c>
      <c r="Z291" s="4"/>
      <c r="AA291" s="4"/>
      <c r="AB291" s="4"/>
    </row>
    <row r="292" spans="1:28" x14ac:dyDescent="0.2">
      <c r="A292" s="4">
        <v>50</v>
      </c>
      <c r="B292" s="4">
        <v>0</v>
      </c>
      <c r="C292" s="4">
        <v>0</v>
      </c>
      <c r="D292" s="4">
        <v>1</v>
      </c>
      <c r="E292" s="4">
        <v>216</v>
      </c>
      <c r="F292" s="4">
        <f>ROUND(Source!AP283,O292)</f>
        <v>0</v>
      </c>
      <c r="G292" s="4" t="s">
        <v>333</v>
      </c>
      <c r="H292" s="4" t="s">
        <v>334</v>
      </c>
      <c r="I292" s="4"/>
      <c r="J292" s="4"/>
      <c r="K292" s="4">
        <v>216</v>
      </c>
      <c r="L292" s="4">
        <v>8</v>
      </c>
      <c r="M292" s="4">
        <v>1</v>
      </c>
      <c r="N292" s="4" t="s">
        <v>3</v>
      </c>
      <c r="O292" s="4">
        <v>2</v>
      </c>
      <c r="P292" s="4"/>
      <c r="Q292" s="4"/>
      <c r="R292" s="4"/>
      <c r="S292" s="4"/>
      <c r="T292" s="4"/>
      <c r="U292" s="4"/>
      <c r="V292" s="4"/>
      <c r="W292" s="4">
        <v>0</v>
      </c>
      <c r="X292" s="4">
        <v>1</v>
      </c>
      <c r="Y292" s="4">
        <v>0</v>
      </c>
      <c r="Z292" s="4"/>
      <c r="AA292" s="4"/>
      <c r="AB292" s="4"/>
    </row>
    <row r="293" spans="1:28" x14ac:dyDescent="0.2">
      <c r="A293" s="4">
        <v>50</v>
      </c>
      <c r="B293" s="4">
        <v>0</v>
      </c>
      <c r="C293" s="4">
        <v>0</v>
      </c>
      <c r="D293" s="4">
        <v>1</v>
      </c>
      <c r="E293" s="4">
        <v>223</v>
      </c>
      <c r="F293" s="4">
        <f>ROUND(Source!AQ283,O293)</f>
        <v>0</v>
      </c>
      <c r="G293" s="4" t="s">
        <v>335</v>
      </c>
      <c r="H293" s="4" t="s">
        <v>336</v>
      </c>
      <c r="I293" s="4"/>
      <c r="J293" s="4"/>
      <c r="K293" s="4">
        <v>223</v>
      </c>
      <c r="L293" s="4">
        <v>9</v>
      </c>
      <c r="M293" s="4">
        <v>1</v>
      </c>
      <c r="N293" s="4" t="s">
        <v>3</v>
      </c>
      <c r="O293" s="4">
        <v>2</v>
      </c>
      <c r="P293" s="4"/>
      <c r="Q293" s="4"/>
      <c r="R293" s="4"/>
      <c r="S293" s="4"/>
      <c r="T293" s="4"/>
      <c r="U293" s="4"/>
      <c r="V293" s="4"/>
      <c r="W293" s="4">
        <v>0</v>
      </c>
      <c r="X293" s="4">
        <v>1</v>
      </c>
      <c r="Y293" s="4">
        <v>0</v>
      </c>
      <c r="Z293" s="4"/>
      <c r="AA293" s="4"/>
      <c r="AB293" s="4"/>
    </row>
    <row r="294" spans="1:28" x14ac:dyDescent="0.2">
      <c r="A294" s="4">
        <v>50</v>
      </c>
      <c r="B294" s="4">
        <v>0</v>
      </c>
      <c r="C294" s="4">
        <v>0</v>
      </c>
      <c r="D294" s="4">
        <v>1</v>
      </c>
      <c r="E294" s="4">
        <v>229</v>
      </c>
      <c r="F294" s="4">
        <f>ROUND(Source!AZ283,O294)</f>
        <v>0</v>
      </c>
      <c r="G294" s="4" t="s">
        <v>337</v>
      </c>
      <c r="H294" s="4" t="s">
        <v>338</v>
      </c>
      <c r="I294" s="4"/>
      <c r="J294" s="4"/>
      <c r="K294" s="4">
        <v>229</v>
      </c>
      <c r="L294" s="4">
        <v>10</v>
      </c>
      <c r="M294" s="4">
        <v>1</v>
      </c>
      <c r="N294" s="4" t="s">
        <v>3</v>
      </c>
      <c r="O294" s="4">
        <v>2</v>
      </c>
      <c r="P294" s="4"/>
      <c r="Q294" s="4"/>
      <c r="R294" s="4"/>
      <c r="S294" s="4"/>
      <c r="T294" s="4"/>
      <c r="U294" s="4"/>
      <c r="V294" s="4"/>
      <c r="W294" s="4">
        <v>0</v>
      </c>
      <c r="X294" s="4">
        <v>1</v>
      </c>
      <c r="Y294" s="4">
        <v>0</v>
      </c>
      <c r="Z294" s="4"/>
      <c r="AA294" s="4"/>
      <c r="AB294" s="4"/>
    </row>
    <row r="295" spans="1:28" x14ac:dyDescent="0.2">
      <c r="A295" s="4">
        <v>50</v>
      </c>
      <c r="B295" s="4">
        <v>1</v>
      </c>
      <c r="C295" s="4">
        <v>0</v>
      </c>
      <c r="D295" s="4">
        <v>1</v>
      </c>
      <c r="E295" s="4">
        <v>203</v>
      </c>
      <c r="F295" s="4">
        <f>ROUND(Source!Q283,O295)</f>
        <v>27086.7</v>
      </c>
      <c r="G295" s="4" t="s">
        <v>339</v>
      </c>
      <c r="H295" s="4" t="s">
        <v>340</v>
      </c>
      <c r="I295" s="4"/>
      <c r="J295" s="4"/>
      <c r="K295" s="4">
        <v>203</v>
      </c>
      <c r="L295" s="4">
        <v>11</v>
      </c>
      <c r="M295" s="4">
        <v>1</v>
      </c>
      <c r="N295" s="4" t="s">
        <v>3</v>
      </c>
      <c r="O295" s="4">
        <v>2</v>
      </c>
      <c r="P295" s="4"/>
      <c r="Q295" s="4"/>
      <c r="R295" s="4"/>
      <c r="S295" s="4"/>
      <c r="T295" s="4"/>
      <c r="U295" s="4"/>
      <c r="V295" s="4"/>
      <c r="W295" s="4">
        <v>27086.7</v>
      </c>
      <c r="X295" s="4">
        <v>1</v>
      </c>
      <c r="Y295" s="4">
        <v>27086.7</v>
      </c>
      <c r="Z295" s="4"/>
      <c r="AA295" s="4"/>
      <c r="AB295" s="4"/>
    </row>
    <row r="296" spans="1:28" x14ac:dyDescent="0.2">
      <c r="A296" s="4">
        <v>50</v>
      </c>
      <c r="B296" s="4">
        <v>0</v>
      </c>
      <c r="C296" s="4">
        <v>0</v>
      </c>
      <c r="D296" s="4">
        <v>1</v>
      </c>
      <c r="E296" s="4">
        <v>231</v>
      </c>
      <c r="F296" s="4">
        <f>ROUND(Source!BB283,O296)</f>
        <v>0</v>
      </c>
      <c r="G296" s="4" t="s">
        <v>341</v>
      </c>
      <c r="H296" s="4" t="s">
        <v>342</v>
      </c>
      <c r="I296" s="4"/>
      <c r="J296" s="4"/>
      <c r="K296" s="4">
        <v>231</v>
      </c>
      <c r="L296" s="4">
        <v>12</v>
      </c>
      <c r="M296" s="4">
        <v>3</v>
      </c>
      <c r="N296" s="4" t="s">
        <v>3</v>
      </c>
      <c r="O296" s="4">
        <v>2</v>
      </c>
      <c r="P296" s="4"/>
      <c r="Q296" s="4"/>
      <c r="R296" s="4"/>
      <c r="S296" s="4"/>
      <c r="T296" s="4"/>
      <c r="U296" s="4"/>
      <c r="V296" s="4"/>
      <c r="W296" s="4">
        <v>0</v>
      </c>
      <c r="X296" s="4">
        <v>1</v>
      </c>
      <c r="Y296" s="4">
        <v>0</v>
      </c>
      <c r="Z296" s="4"/>
      <c r="AA296" s="4"/>
      <c r="AB296" s="4"/>
    </row>
    <row r="297" spans="1:28" x14ac:dyDescent="0.2">
      <c r="A297" s="4">
        <v>50</v>
      </c>
      <c r="B297" s="4">
        <v>1</v>
      </c>
      <c r="C297" s="4">
        <v>0</v>
      </c>
      <c r="D297" s="4">
        <v>1</v>
      </c>
      <c r="E297" s="4">
        <v>204</v>
      </c>
      <c r="F297" s="4">
        <f>ROUND(Source!R283,O297)</f>
        <v>14448.9</v>
      </c>
      <c r="G297" s="4" t="s">
        <v>343</v>
      </c>
      <c r="H297" s="4" t="s">
        <v>344</v>
      </c>
      <c r="I297" s="4"/>
      <c r="J297" s="4"/>
      <c r="K297" s="4">
        <v>204</v>
      </c>
      <c r="L297" s="4">
        <v>13</v>
      </c>
      <c r="M297" s="4">
        <v>1</v>
      </c>
      <c r="N297" s="4" t="s">
        <v>3</v>
      </c>
      <c r="O297" s="4">
        <v>2</v>
      </c>
      <c r="P297" s="4"/>
      <c r="Q297" s="4"/>
      <c r="R297" s="4"/>
      <c r="S297" s="4"/>
      <c r="T297" s="4"/>
      <c r="U297" s="4"/>
      <c r="V297" s="4"/>
      <c r="W297" s="4">
        <v>14448.9</v>
      </c>
      <c r="X297" s="4">
        <v>1</v>
      </c>
      <c r="Y297" s="4">
        <v>14448.9</v>
      </c>
      <c r="Z297" s="4"/>
      <c r="AA297" s="4"/>
      <c r="AB297" s="4"/>
    </row>
    <row r="298" spans="1:28" x14ac:dyDescent="0.2">
      <c r="A298" s="4">
        <v>50</v>
      </c>
      <c r="B298" s="4">
        <v>1</v>
      </c>
      <c r="C298" s="4">
        <v>0</v>
      </c>
      <c r="D298" s="4">
        <v>1</v>
      </c>
      <c r="E298" s="4">
        <v>205</v>
      </c>
      <c r="F298" s="4">
        <f>ROUND(Source!S283,O298)</f>
        <v>1045397.6</v>
      </c>
      <c r="G298" s="4" t="s">
        <v>345</v>
      </c>
      <c r="H298" s="4" t="s">
        <v>346</v>
      </c>
      <c r="I298" s="4"/>
      <c r="J298" s="4"/>
      <c r="K298" s="4">
        <v>205</v>
      </c>
      <c r="L298" s="4">
        <v>14</v>
      </c>
      <c r="M298" s="4">
        <v>1</v>
      </c>
      <c r="N298" s="4" t="s">
        <v>3</v>
      </c>
      <c r="O298" s="4">
        <v>2</v>
      </c>
      <c r="P298" s="4"/>
      <c r="Q298" s="4"/>
      <c r="R298" s="4"/>
      <c r="S298" s="4"/>
      <c r="T298" s="4"/>
      <c r="U298" s="4"/>
      <c r="V298" s="4"/>
      <c r="W298" s="4">
        <v>1045397.6</v>
      </c>
      <c r="X298" s="4">
        <v>1</v>
      </c>
      <c r="Y298" s="4">
        <v>1045397.6</v>
      </c>
      <c r="Z298" s="4"/>
      <c r="AA298" s="4"/>
      <c r="AB298" s="4"/>
    </row>
    <row r="299" spans="1:28" x14ac:dyDescent="0.2">
      <c r="A299" s="4">
        <v>50</v>
      </c>
      <c r="B299" s="4">
        <v>0</v>
      </c>
      <c r="C299" s="4">
        <v>0</v>
      </c>
      <c r="D299" s="4">
        <v>1</v>
      </c>
      <c r="E299" s="4">
        <v>232</v>
      </c>
      <c r="F299" s="4">
        <f>ROUND(Source!BC283,O299)</f>
        <v>0</v>
      </c>
      <c r="G299" s="4" t="s">
        <v>347</v>
      </c>
      <c r="H299" s="4" t="s">
        <v>348</v>
      </c>
      <c r="I299" s="4"/>
      <c r="J299" s="4"/>
      <c r="K299" s="4">
        <v>232</v>
      </c>
      <c r="L299" s="4">
        <v>15</v>
      </c>
      <c r="M299" s="4">
        <v>3</v>
      </c>
      <c r="N299" s="4" t="s">
        <v>3</v>
      </c>
      <c r="O299" s="4">
        <v>2</v>
      </c>
      <c r="P299" s="4"/>
      <c r="Q299" s="4"/>
      <c r="R299" s="4"/>
      <c r="S299" s="4"/>
      <c r="T299" s="4"/>
      <c r="U299" s="4"/>
      <c r="V299" s="4"/>
      <c r="W299" s="4">
        <v>0</v>
      </c>
      <c r="X299" s="4">
        <v>1</v>
      </c>
      <c r="Y299" s="4">
        <v>0</v>
      </c>
      <c r="Z299" s="4"/>
      <c r="AA299" s="4"/>
      <c r="AB299" s="4"/>
    </row>
    <row r="300" spans="1:28" x14ac:dyDescent="0.2">
      <c r="A300" s="4">
        <v>50</v>
      </c>
      <c r="B300" s="4">
        <v>1</v>
      </c>
      <c r="C300" s="4">
        <v>0</v>
      </c>
      <c r="D300" s="4">
        <v>1</v>
      </c>
      <c r="E300" s="4">
        <v>214</v>
      </c>
      <c r="F300" s="4">
        <f>ROUND(Source!AS283,O300)</f>
        <v>4319526.4400000004</v>
      </c>
      <c r="G300" s="4" t="s">
        <v>349</v>
      </c>
      <c r="H300" s="4" t="s">
        <v>350</v>
      </c>
      <c r="I300" s="4"/>
      <c r="J300" s="4"/>
      <c r="K300" s="4">
        <v>214</v>
      </c>
      <c r="L300" s="4">
        <v>16</v>
      </c>
      <c r="M300" s="4">
        <v>1</v>
      </c>
      <c r="N300" s="4" t="s">
        <v>3</v>
      </c>
      <c r="O300" s="4">
        <v>2</v>
      </c>
      <c r="P300" s="4"/>
      <c r="Q300" s="4"/>
      <c r="R300" s="4"/>
      <c r="S300" s="4"/>
      <c r="T300" s="4"/>
      <c r="U300" s="4"/>
      <c r="V300" s="4"/>
      <c r="W300" s="4">
        <v>4319526.4400000004</v>
      </c>
      <c r="X300" s="4">
        <v>1</v>
      </c>
      <c r="Y300" s="4">
        <v>4319526.4400000004</v>
      </c>
      <c r="Z300" s="4"/>
      <c r="AA300" s="4"/>
      <c r="AB300" s="4"/>
    </row>
    <row r="301" spans="1:28" x14ac:dyDescent="0.2">
      <c r="A301" s="4">
        <v>50</v>
      </c>
      <c r="B301" s="4">
        <v>0</v>
      </c>
      <c r="C301" s="4">
        <v>0</v>
      </c>
      <c r="D301" s="4">
        <v>1</v>
      </c>
      <c r="E301" s="4">
        <v>215</v>
      </c>
      <c r="F301" s="4">
        <f>ROUND(Source!AT283,O301)</f>
        <v>0</v>
      </c>
      <c r="G301" s="4" t="s">
        <v>351</v>
      </c>
      <c r="H301" s="4" t="s">
        <v>352</v>
      </c>
      <c r="I301" s="4"/>
      <c r="J301" s="4"/>
      <c r="K301" s="4">
        <v>215</v>
      </c>
      <c r="L301" s="4">
        <v>17</v>
      </c>
      <c r="M301" s="4">
        <v>1</v>
      </c>
      <c r="N301" s="4" t="s">
        <v>3</v>
      </c>
      <c r="O301" s="4">
        <v>2</v>
      </c>
      <c r="P301" s="4"/>
      <c r="Q301" s="4"/>
      <c r="R301" s="4"/>
      <c r="S301" s="4"/>
      <c r="T301" s="4"/>
      <c r="U301" s="4"/>
      <c r="V301" s="4"/>
      <c r="W301" s="4">
        <v>0</v>
      </c>
      <c r="X301" s="4">
        <v>1</v>
      </c>
      <c r="Y301" s="4">
        <v>0</v>
      </c>
      <c r="Z301" s="4"/>
      <c r="AA301" s="4"/>
      <c r="AB301" s="4"/>
    </row>
    <row r="302" spans="1:28" x14ac:dyDescent="0.2">
      <c r="A302" s="4">
        <v>50</v>
      </c>
      <c r="B302" s="4">
        <v>0</v>
      </c>
      <c r="C302" s="4">
        <v>0</v>
      </c>
      <c r="D302" s="4">
        <v>1</v>
      </c>
      <c r="E302" s="4">
        <v>217</v>
      </c>
      <c r="F302" s="4">
        <f>ROUND(Source!AU283,O302)</f>
        <v>0</v>
      </c>
      <c r="G302" s="4" t="s">
        <v>353</v>
      </c>
      <c r="H302" s="4" t="s">
        <v>354</v>
      </c>
      <c r="I302" s="4"/>
      <c r="J302" s="4"/>
      <c r="K302" s="4">
        <v>217</v>
      </c>
      <c r="L302" s="4">
        <v>18</v>
      </c>
      <c r="M302" s="4">
        <v>1</v>
      </c>
      <c r="N302" s="4" t="s">
        <v>3</v>
      </c>
      <c r="O302" s="4">
        <v>2</v>
      </c>
      <c r="P302" s="4"/>
      <c r="Q302" s="4"/>
      <c r="R302" s="4"/>
      <c r="S302" s="4"/>
      <c r="T302" s="4"/>
      <c r="U302" s="4"/>
      <c r="V302" s="4"/>
      <c r="W302" s="4">
        <v>0</v>
      </c>
      <c r="X302" s="4">
        <v>1</v>
      </c>
      <c r="Y302" s="4">
        <v>0</v>
      </c>
      <c r="Z302" s="4"/>
      <c r="AA302" s="4"/>
      <c r="AB302" s="4"/>
    </row>
    <row r="303" spans="1:28" x14ac:dyDescent="0.2">
      <c r="A303" s="4">
        <v>50</v>
      </c>
      <c r="B303" s="4">
        <v>0</v>
      </c>
      <c r="C303" s="4">
        <v>0</v>
      </c>
      <c r="D303" s="4">
        <v>1</v>
      </c>
      <c r="E303" s="4">
        <v>230</v>
      </c>
      <c r="F303" s="4">
        <f>ROUND(Source!BA283,O303)</f>
        <v>0</v>
      </c>
      <c r="G303" s="4" t="s">
        <v>355</v>
      </c>
      <c r="H303" s="4" t="s">
        <v>356</v>
      </c>
      <c r="I303" s="4"/>
      <c r="J303" s="4"/>
      <c r="K303" s="4">
        <v>230</v>
      </c>
      <c r="L303" s="4">
        <v>19</v>
      </c>
      <c r="M303" s="4">
        <v>3</v>
      </c>
      <c r="N303" s="4" t="s">
        <v>3</v>
      </c>
      <c r="O303" s="4">
        <v>2</v>
      </c>
      <c r="P303" s="4"/>
      <c r="Q303" s="4"/>
      <c r="R303" s="4"/>
      <c r="S303" s="4"/>
      <c r="T303" s="4"/>
      <c r="U303" s="4"/>
      <c r="V303" s="4"/>
      <c r="W303" s="4">
        <v>0</v>
      </c>
      <c r="X303" s="4">
        <v>1</v>
      </c>
      <c r="Y303" s="4">
        <v>0</v>
      </c>
      <c r="Z303" s="4"/>
      <c r="AA303" s="4"/>
      <c r="AB303" s="4"/>
    </row>
    <row r="304" spans="1:28" x14ac:dyDescent="0.2">
      <c r="A304" s="4">
        <v>50</v>
      </c>
      <c r="B304" s="4">
        <v>0</v>
      </c>
      <c r="C304" s="4">
        <v>0</v>
      </c>
      <c r="D304" s="4">
        <v>1</v>
      </c>
      <c r="E304" s="4">
        <v>206</v>
      </c>
      <c r="F304" s="4">
        <f>ROUND(Source!T283,O304)</f>
        <v>0</v>
      </c>
      <c r="G304" s="4" t="s">
        <v>357</v>
      </c>
      <c r="H304" s="4" t="s">
        <v>358</v>
      </c>
      <c r="I304" s="4"/>
      <c r="J304" s="4"/>
      <c r="K304" s="4">
        <v>206</v>
      </c>
      <c r="L304" s="4">
        <v>20</v>
      </c>
      <c r="M304" s="4">
        <v>1</v>
      </c>
      <c r="N304" s="4" t="s">
        <v>3</v>
      </c>
      <c r="O304" s="4">
        <v>2</v>
      </c>
      <c r="P304" s="4"/>
      <c r="Q304" s="4"/>
      <c r="R304" s="4"/>
      <c r="S304" s="4"/>
      <c r="T304" s="4"/>
      <c r="U304" s="4"/>
      <c r="V304" s="4"/>
      <c r="W304" s="4">
        <v>0</v>
      </c>
      <c r="X304" s="4">
        <v>1</v>
      </c>
      <c r="Y304" s="4">
        <v>0</v>
      </c>
      <c r="Z304" s="4"/>
      <c r="AA304" s="4"/>
      <c r="AB304" s="4"/>
    </row>
    <row r="305" spans="1:28" x14ac:dyDescent="0.2">
      <c r="A305" s="4">
        <v>50</v>
      </c>
      <c r="B305" s="4">
        <v>1</v>
      </c>
      <c r="C305" s="4">
        <v>0</v>
      </c>
      <c r="D305" s="4">
        <v>1</v>
      </c>
      <c r="E305" s="4">
        <v>207</v>
      </c>
      <c r="F305" s="4">
        <f>Source!U283</f>
        <v>3672.27873172</v>
      </c>
      <c r="G305" s="4" t="s">
        <v>359</v>
      </c>
      <c r="H305" s="4" t="s">
        <v>360</v>
      </c>
      <c r="I305" s="4"/>
      <c r="J305" s="4"/>
      <c r="K305" s="4">
        <v>207</v>
      </c>
      <c r="L305" s="4">
        <v>21</v>
      </c>
      <c r="M305" s="4">
        <v>1</v>
      </c>
      <c r="N305" s="4" t="s">
        <v>3</v>
      </c>
      <c r="O305" s="4">
        <v>-1</v>
      </c>
      <c r="P305" s="4"/>
      <c r="Q305" s="4"/>
      <c r="R305" s="4"/>
      <c r="S305" s="4"/>
      <c r="T305" s="4"/>
      <c r="U305" s="4"/>
      <c r="V305" s="4"/>
      <c r="W305" s="4">
        <v>3672.2787317199991</v>
      </c>
      <c r="X305" s="4">
        <v>1</v>
      </c>
      <c r="Y305" s="4">
        <v>3672.2787317199991</v>
      </c>
      <c r="Z305" s="4"/>
      <c r="AA305" s="4"/>
      <c r="AB305" s="4"/>
    </row>
    <row r="306" spans="1:28" x14ac:dyDescent="0.2">
      <c r="A306" s="4">
        <v>50</v>
      </c>
      <c r="B306" s="4">
        <v>1</v>
      </c>
      <c r="C306" s="4">
        <v>0</v>
      </c>
      <c r="D306" s="4">
        <v>1</v>
      </c>
      <c r="E306" s="4">
        <v>208</v>
      </c>
      <c r="F306" s="4">
        <f>Source!V283</f>
        <v>37.396863050000007</v>
      </c>
      <c r="G306" s="4" t="s">
        <v>361</v>
      </c>
      <c r="H306" s="4" t="s">
        <v>362</v>
      </c>
      <c r="I306" s="4"/>
      <c r="J306" s="4"/>
      <c r="K306" s="4">
        <v>208</v>
      </c>
      <c r="L306" s="4">
        <v>22</v>
      </c>
      <c r="M306" s="4">
        <v>1</v>
      </c>
      <c r="N306" s="4" t="s">
        <v>3</v>
      </c>
      <c r="O306" s="4">
        <v>-1</v>
      </c>
      <c r="P306" s="4"/>
      <c r="Q306" s="4"/>
      <c r="R306" s="4"/>
      <c r="S306" s="4"/>
      <c r="T306" s="4"/>
      <c r="U306" s="4"/>
      <c r="V306" s="4"/>
      <c r="W306" s="4">
        <v>37.396863049999986</v>
      </c>
      <c r="X306" s="4">
        <v>1</v>
      </c>
      <c r="Y306" s="4">
        <v>37.396863049999986</v>
      </c>
      <c r="Z306" s="4"/>
      <c r="AA306" s="4"/>
      <c r="AB306" s="4"/>
    </row>
    <row r="307" spans="1:28" x14ac:dyDescent="0.2">
      <c r="A307" s="4">
        <v>50</v>
      </c>
      <c r="B307" s="4">
        <v>0</v>
      </c>
      <c r="C307" s="4">
        <v>0</v>
      </c>
      <c r="D307" s="4">
        <v>1</v>
      </c>
      <c r="E307" s="4">
        <v>209</v>
      </c>
      <c r="F307" s="4">
        <f>ROUND(Source!W283,O307)</f>
        <v>0</v>
      </c>
      <c r="G307" s="4" t="s">
        <v>363</v>
      </c>
      <c r="H307" s="4" t="s">
        <v>364</v>
      </c>
      <c r="I307" s="4"/>
      <c r="J307" s="4"/>
      <c r="K307" s="4">
        <v>209</v>
      </c>
      <c r="L307" s="4">
        <v>23</v>
      </c>
      <c r="M307" s="4">
        <v>1</v>
      </c>
      <c r="N307" s="4" t="s">
        <v>3</v>
      </c>
      <c r="O307" s="4">
        <v>2</v>
      </c>
      <c r="P307" s="4"/>
      <c r="Q307" s="4"/>
      <c r="R307" s="4"/>
      <c r="S307" s="4"/>
      <c r="T307" s="4"/>
      <c r="U307" s="4"/>
      <c r="V307" s="4"/>
      <c r="W307" s="4">
        <v>0</v>
      </c>
      <c r="X307" s="4">
        <v>1</v>
      </c>
      <c r="Y307" s="4">
        <v>0</v>
      </c>
      <c r="Z307" s="4"/>
      <c r="AA307" s="4"/>
      <c r="AB307" s="4"/>
    </row>
    <row r="308" spans="1:28" x14ac:dyDescent="0.2">
      <c r="A308" s="4">
        <v>50</v>
      </c>
      <c r="B308" s="4">
        <v>1</v>
      </c>
      <c r="C308" s="4">
        <v>0</v>
      </c>
      <c r="D308" s="4">
        <v>1</v>
      </c>
      <c r="E308" s="4">
        <v>233</v>
      </c>
      <c r="F308" s="4">
        <f>ROUND(Source!BD283,O308)</f>
        <v>5597.51</v>
      </c>
      <c r="G308" s="4" t="s">
        <v>365</v>
      </c>
      <c r="H308" s="4" t="s">
        <v>366</v>
      </c>
      <c r="I308" s="4"/>
      <c r="J308" s="4"/>
      <c r="K308" s="4">
        <v>233</v>
      </c>
      <c r="L308" s="4">
        <v>24</v>
      </c>
      <c r="M308" s="4">
        <v>1</v>
      </c>
      <c r="N308" s="4" t="s">
        <v>3</v>
      </c>
      <c r="O308" s="4">
        <v>2</v>
      </c>
      <c r="P308" s="4"/>
      <c r="Q308" s="4"/>
      <c r="R308" s="4"/>
      <c r="S308" s="4"/>
      <c r="T308" s="4"/>
      <c r="U308" s="4"/>
      <c r="V308" s="4"/>
      <c r="W308" s="4">
        <v>5597.51</v>
      </c>
      <c r="X308" s="4">
        <v>1</v>
      </c>
      <c r="Y308" s="4">
        <v>5597.51</v>
      </c>
      <c r="Z308" s="4"/>
      <c r="AA308" s="4"/>
      <c r="AB308" s="4"/>
    </row>
    <row r="309" spans="1:28" x14ac:dyDescent="0.2">
      <c r="A309" s="4">
        <v>50</v>
      </c>
      <c r="B309" s="4">
        <v>1</v>
      </c>
      <c r="C309" s="4">
        <v>0</v>
      </c>
      <c r="D309" s="4">
        <v>1</v>
      </c>
      <c r="E309" s="4">
        <v>210</v>
      </c>
      <c r="F309" s="4">
        <f>ROUND(Source!X283,O309)</f>
        <v>1072554.97</v>
      </c>
      <c r="G309" s="4" t="s">
        <v>367</v>
      </c>
      <c r="H309" s="4" t="s">
        <v>368</v>
      </c>
      <c r="I309" s="4"/>
      <c r="J309" s="4"/>
      <c r="K309" s="4">
        <v>210</v>
      </c>
      <c r="L309" s="4">
        <v>25</v>
      </c>
      <c r="M309" s="4">
        <v>1</v>
      </c>
      <c r="N309" s="4" t="s">
        <v>3</v>
      </c>
      <c r="O309" s="4">
        <v>2</v>
      </c>
      <c r="P309" s="4"/>
      <c r="Q309" s="4"/>
      <c r="R309" s="4"/>
      <c r="S309" s="4"/>
      <c r="T309" s="4"/>
      <c r="U309" s="4"/>
      <c r="V309" s="4"/>
      <c r="W309" s="4">
        <v>1072554.97</v>
      </c>
      <c r="X309" s="4">
        <v>1</v>
      </c>
      <c r="Y309" s="4">
        <v>1072554.97</v>
      </c>
      <c r="Z309" s="4"/>
      <c r="AA309" s="4"/>
      <c r="AB309" s="4"/>
    </row>
    <row r="310" spans="1:28" x14ac:dyDescent="0.2">
      <c r="A310" s="4">
        <v>50</v>
      </c>
      <c r="B310" s="4">
        <v>1</v>
      </c>
      <c r="C310" s="4">
        <v>0</v>
      </c>
      <c r="D310" s="4">
        <v>1</v>
      </c>
      <c r="E310" s="4">
        <v>211</v>
      </c>
      <c r="F310" s="4">
        <f>ROUND(Source!Y283,O310)</f>
        <v>521779.92</v>
      </c>
      <c r="G310" s="4" t="s">
        <v>369</v>
      </c>
      <c r="H310" s="4" t="s">
        <v>370</v>
      </c>
      <c r="I310" s="4"/>
      <c r="J310" s="4"/>
      <c r="K310" s="4">
        <v>211</v>
      </c>
      <c r="L310" s="4">
        <v>26</v>
      </c>
      <c r="M310" s="4">
        <v>1</v>
      </c>
      <c r="N310" s="4" t="s">
        <v>3</v>
      </c>
      <c r="O310" s="4">
        <v>2</v>
      </c>
      <c r="P310" s="4"/>
      <c r="Q310" s="4"/>
      <c r="R310" s="4"/>
      <c r="S310" s="4"/>
      <c r="T310" s="4"/>
      <c r="U310" s="4"/>
      <c r="V310" s="4"/>
      <c r="W310" s="4">
        <v>521779.92</v>
      </c>
      <c r="X310" s="4">
        <v>1</v>
      </c>
      <c r="Y310" s="4">
        <v>521779.92</v>
      </c>
      <c r="Z310" s="4"/>
      <c r="AA310" s="4"/>
      <c r="AB310" s="4"/>
    </row>
    <row r="311" spans="1:28" x14ac:dyDescent="0.2">
      <c r="A311" s="4">
        <v>50</v>
      </c>
      <c r="B311" s="4">
        <v>1</v>
      </c>
      <c r="C311" s="4">
        <v>0</v>
      </c>
      <c r="D311" s="4">
        <v>1</v>
      </c>
      <c r="E311" s="4">
        <v>224</v>
      </c>
      <c r="F311" s="4">
        <f>ROUND(Source!AR283,O311)</f>
        <v>4319526.4400000004</v>
      </c>
      <c r="G311" s="4" t="s">
        <v>371</v>
      </c>
      <c r="H311" s="4" t="s">
        <v>372</v>
      </c>
      <c r="I311" s="4"/>
      <c r="J311" s="4"/>
      <c r="K311" s="4">
        <v>224</v>
      </c>
      <c r="L311" s="4">
        <v>27</v>
      </c>
      <c r="M311" s="4">
        <v>1</v>
      </c>
      <c r="N311" s="4" t="s">
        <v>3</v>
      </c>
      <c r="O311" s="4">
        <v>2</v>
      </c>
      <c r="P311" s="4"/>
      <c r="Q311" s="4"/>
      <c r="R311" s="4"/>
      <c r="S311" s="4"/>
      <c r="T311" s="4"/>
      <c r="U311" s="4"/>
      <c r="V311" s="4"/>
      <c r="W311" s="4">
        <v>4319526.4400000004</v>
      </c>
      <c r="X311" s="4">
        <v>1</v>
      </c>
      <c r="Y311" s="4">
        <v>4319526.4400000004</v>
      </c>
      <c r="Z311" s="4"/>
      <c r="AA311" s="4"/>
      <c r="AB311" s="4"/>
    </row>
    <row r="312" spans="1:28" x14ac:dyDescent="0.2">
      <c r="A312" s="4">
        <v>50</v>
      </c>
      <c r="B312" s="4">
        <v>1</v>
      </c>
      <c r="C312" s="4">
        <v>0</v>
      </c>
      <c r="D312" s="4">
        <v>2</v>
      </c>
      <c r="E312" s="4">
        <v>0</v>
      </c>
      <c r="F312" s="4">
        <f>ROUND(F311*0.2,O312)</f>
        <v>863905.29</v>
      </c>
      <c r="G312" s="4" t="s">
        <v>533</v>
      </c>
      <c r="H312" s="4" t="s">
        <v>534</v>
      </c>
      <c r="I312" s="4"/>
      <c r="J312" s="4"/>
      <c r="K312" s="4">
        <v>212</v>
      </c>
      <c r="L312" s="4">
        <v>28</v>
      </c>
      <c r="M312" s="4">
        <v>1</v>
      </c>
      <c r="N312" s="4" t="s">
        <v>3</v>
      </c>
      <c r="O312" s="4">
        <v>2</v>
      </c>
      <c r="P312" s="4"/>
      <c r="Q312" s="4"/>
      <c r="R312" s="4"/>
      <c r="S312" s="4"/>
      <c r="T312" s="4"/>
      <c r="U312" s="4"/>
      <c r="V312" s="4"/>
      <c r="W312" s="4">
        <v>863905.29</v>
      </c>
      <c r="X312" s="4">
        <v>1</v>
      </c>
      <c r="Y312" s="4">
        <v>863905.29</v>
      </c>
      <c r="Z312" s="4"/>
      <c r="AA312" s="4"/>
      <c r="AB312" s="4"/>
    </row>
    <row r="313" spans="1:28" x14ac:dyDescent="0.2">
      <c r="A313" s="4">
        <v>50</v>
      </c>
      <c r="B313" s="4">
        <v>1</v>
      </c>
      <c r="C313" s="4">
        <v>0</v>
      </c>
      <c r="D313" s="4">
        <v>2</v>
      </c>
      <c r="E313" s="4">
        <v>0</v>
      </c>
      <c r="F313" s="4">
        <f>ROUND(F311+F312,O313)</f>
        <v>5183431.7300000004</v>
      </c>
      <c r="G313" s="4" t="s">
        <v>535</v>
      </c>
      <c r="H313" s="4" t="s">
        <v>532</v>
      </c>
      <c r="I313" s="4"/>
      <c r="J313" s="4"/>
      <c r="K313" s="4">
        <v>212</v>
      </c>
      <c r="L313" s="4">
        <v>29</v>
      </c>
      <c r="M313" s="4">
        <v>1</v>
      </c>
      <c r="N313" s="4" t="s">
        <v>3</v>
      </c>
      <c r="O313" s="4">
        <v>2</v>
      </c>
      <c r="P313" s="4"/>
      <c r="Q313" s="4"/>
      <c r="R313" s="4"/>
      <c r="S313" s="4"/>
      <c r="T313" s="4"/>
      <c r="U313" s="4"/>
      <c r="V313" s="4"/>
      <c r="W313" s="4">
        <v>5183431.7300000004</v>
      </c>
      <c r="X313" s="4">
        <v>1</v>
      </c>
      <c r="Y313" s="4">
        <v>5183431.7300000004</v>
      </c>
      <c r="Z313" s="4"/>
      <c r="AA313" s="4"/>
      <c r="AB313" s="4"/>
    </row>
    <row r="315" spans="1:28" x14ac:dyDescent="0.2">
      <c r="A315" s="5">
        <v>61</v>
      </c>
      <c r="B315" s="5"/>
      <c r="C315" s="5"/>
      <c r="D315" s="5"/>
      <c r="E315" s="5"/>
      <c r="F315" s="5">
        <v>1.2</v>
      </c>
      <c r="G315" s="5" t="s">
        <v>536</v>
      </c>
      <c r="H315" s="5" t="s">
        <v>537</v>
      </c>
    </row>
    <row r="316" spans="1:28" x14ac:dyDescent="0.2">
      <c r="A316" s="5">
        <v>61</v>
      </c>
      <c r="B316" s="5"/>
      <c r="C316" s="5"/>
      <c r="D316" s="5"/>
      <c r="E316" s="5"/>
      <c r="F316" s="5">
        <v>12</v>
      </c>
      <c r="G316" s="5" t="s">
        <v>538</v>
      </c>
      <c r="H316" s="5" t="s">
        <v>537</v>
      </c>
    </row>
    <row r="317" spans="1:28" x14ac:dyDescent="0.2">
      <c r="A317" s="5">
        <v>61</v>
      </c>
      <c r="B317" s="5"/>
      <c r="C317" s="5"/>
      <c r="D317" s="5"/>
      <c r="E317" s="5"/>
      <c r="F317" s="5">
        <v>0</v>
      </c>
      <c r="G317" s="5" t="s">
        <v>539</v>
      </c>
      <c r="H317" s="5" t="s">
        <v>537</v>
      </c>
    </row>
    <row r="320" spans="1:28" x14ac:dyDescent="0.2">
      <c r="A320">
        <v>70</v>
      </c>
      <c r="B320">
        <v>1</v>
      </c>
      <c r="D320">
        <v>1</v>
      </c>
      <c r="E320" t="s">
        <v>540</v>
      </c>
      <c r="F320" t="s">
        <v>541</v>
      </c>
      <c r="G320">
        <v>0</v>
      </c>
      <c r="H320">
        <v>0</v>
      </c>
      <c r="I320" t="s">
        <v>3</v>
      </c>
      <c r="J320">
        <v>1</v>
      </c>
      <c r="K320">
        <v>0</v>
      </c>
      <c r="L320" t="s">
        <v>3</v>
      </c>
      <c r="M320" t="s">
        <v>3</v>
      </c>
      <c r="N320">
        <v>0</v>
      </c>
      <c r="P320" t="s">
        <v>542</v>
      </c>
    </row>
    <row r="321" spans="1:16" x14ac:dyDescent="0.2">
      <c r="A321">
        <v>70</v>
      </c>
      <c r="B321">
        <v>1</v>
      </c>
      <c r="D321">
        <v>2</v>
      </c>
      <c r="E321" t="s">
        <v>543</v>
      </c>
      <c r="F321" t="s">
        <v>544</v>
      </c>
      <c r="G321">
        <v>0</v>
      </c>
      <c r="H321">
        <v>0</v>
      </c>
      <c r="I321" t="s">
        <v>3</v>
      </c>
      <c r="J321">
        <v>1</v>
      </c>
      <c r="K321">
        <v>0</v>
      </c>
      <c r="L321" t="s">
        <v>3</v>
      </c>
      <c r="M321" t="s">
        <v>3</v>
      </c>
      <c r="N321">
        <v>0</v>
      </c>
      <c r="P321" t="s">
        <v>545</v>
      </c>
    </row>
    <row r="322" spans="1:16" x14ac:dyDescent="0.2">
      <c r="A322">
        <v>70</v>
      </c>
      <c r="B322">
        <v>1</v>
      </c>
      <c r="D322">
        <v>3</v>
      </c>
      <c r="E322" t="s">
        <v>546</v>
      </c>
      <c r="F322" t="s">
        <v>547</v>
      </c>
      <c r="G322">
        <v>1</v>
      </c>
      <c r="H322">
        <v>0</v>
      </c>
      <c r="I322" t="s">
        <v>3</v>
      </c>
      <c r="J322">
        <v>1</v>
      </c>
      <c r="K322">
        <v>0</v>
      </c>
      <c r="L322" t="s">
        <v>3</v>
      </c>
      <c r="M322" t="s">
        <v>3</v>
      </c>
      <c r="N322">
        <v>0</v>
      </c>
      <c r="P322" t="s">
        <v>548</v>
      </c>
    </row>
    <row r="323" spans="1:16" x14ac:dyDescent="0.2">
      <c r="A323">
        <v>70</v>
      </c>
      <c r="B323">
        <v>1</v>
      </c>
      <c r="D323">
        <v>4</v>
      </c>
      <c r="E323" t="s">
        <v>549</v>
      </c>
      <c r="F323" t="s">
        <v>550</v>
      </c>
      <c r="G323">
        <v>1</v>
      </c>
      <c r="H323">
        <v>0</v>
      </c>
      <c r="I323" t="s">
        <v>3</v>
      </c>
      <c r="J323">
        <v>2</v>
      </c>
      <c r="K323">
        <v>0</v>
      </c>
      <c r="L323" t="s">
        <v>3</v>
      </c>
      <c r="M323" t="s">
        <v>3</v>
      </c>
      <c r="N323">
        <v>0</v>
      </c>
      <c r="P323" t="s">
        <v>3</v>
      </c>
    </row>
    <row r="324" spans="1:16" x14ac:dyDescent="0.2">
      <c r="A324">
        <v>70</v>
      </c>
      <c r="B324">
        <v>1</v>
      </c>
      <c r="D324">
        <v>5</v>
      </c>
      <c r="E324" t="s">
        <v>551</v>
      </c>
      <c r="F324" t="s">
        <v>552</v>
      </c>
      <c r="G324">
        <v>0</v>
      </c>
      <c r="H324">
        <v>0</v>
      </c>
      <c r="I324" t="s">
        <v>3</v>
      </c>
      <c r="J324">
        <v>2</v>
      </c>
      <c r="K324">
        <v>0</v>
      </c>
      <c r="L324" t="s">
        <v>3</v>
      </c>
      <c r="M324" t="s">
        <v>3</v>
      </c>
      <c r="N324">
        <v>0</v>
      </c>
      <c r="P324" t="s">
        <v>3</v>
      </c>
    </row>
    <row r="325" spans="1:16" x14ac:dyDescent="0.2">
      <c r="A325">
        <v>70</v>
      </c>
      <c r="B325">
        <v>1</v>
      </c>
      <c r="D325">
        <v>6</v>
      </c>
      <c r="E325" t="s">
        <v>553</v>
      </c>
      <c r="F325" t="s">
        <v>554</v>
      </c>
      <c r="G325">
        <v>0</v>
      </c>
      <c r="H325">
        <v>0</v>
      </c>
      <c r="I325" t="s">
        <v>3</v>
      </c>
      <c r="J325">
        <v>2</v>
      </c>
      <c r="K325">
        <v>0</v>
      </c>
      <c r="L325" t="s">
        <v>3</v>
      </c>
      <c r="M325" t="s">
        <v>3</v>
      </c>
      <c r="N325">
        <v>0</v>
      </c>
      <c r="P325" t="s">
        <v>3</v>
      </c>
    </row>
    <row r="326" spans="1:16" x14ac:dyDescent="0.2">
      <c r="A326">
        <v>70</v>
      </c>
      <c r="B326">
        <v>1</v>
      </c>
      <c r="D326">
        <v>7</v>
      </c>
      <c r="E326" t="s">
        <v>555</v>
      </c>
      <c r="F326" t="s">
        <v>556</v>
      </c>
      <c r="G326">
        <v>0</v>
      </c>
      <c r="H326">
        <v>0</v>
      </c>
      <c r="I326" t="s">
        <v>557</v>
      </c>
      <c r="J326">
        <v>0</v>
      </c>
      <c r="K326">
        <v>0</v>
      </c>
      <c r="L326" t="s">
        <v>3</v>
      </c>
      <c r="M326" t="s">
        <v>3</v>
      </c>
      <c r="N326">
        <v>0</v>
      </c>
      <c r="P326" t="s">
        <v>558</v>
      </c>
    </row>
    <row r="327" spans="1:16" x14ac:dyDescent="0.2">
      <c r="A327">
        <v>70</v>
      </c>
      <c r="B327">
        <v>1</v>
      </c>
      <c r="D327">
        <v>8</v>
      </c>
      <c r="E327" t="s">
        <v>559</v>
      </c>
      <c r="F327" t="s">
        <v>560</v>
      </c>
      <c r="G327">
        <v>1</v>
      </c>
      <c r="H327">
        <v>0</v>
      </c>
      <c r="I327" t="s">
        <v>3</v>
      </c>
      <c r="J327">
        <v>5</v>
      </c>
      <c r="K327">
        <v>0</v>
      </c>
      <c r="L327" t="s">
        <v>3</v>
      </c>
      <c r="M327" t="s">
        <v>3</v>
      </c>
      <c r="N327">
        <v>0</v>
      </c>
      <c r="P327" t="s">
        <v>3</v>
      </c>
    </row>
    <row r="328" spans="1:16" x14ac:dyDescent="0.2">
      <c r="A328">
        <v>70</v>
      </c>
      <c r="B328">
        <v>1</v>
      </c>
      <c r="D328">
        <v>9</v>
      </c>
      <c r="E328" t="s">
        <v>561</v>
      </c>
      <c r="F328" t="s">
        <v>562</v>
      </c>
      <c r="G328">
        <v>0</v>
      </c>
      <c r="H328">
        <v>0</v>
      </c>
      <c r="I328" t="s">
        <v>3</v>
      </c>
      <c r="J328">
        <v>5</v>
      </c>
      <c r="K328">
        <v>0</v>
      </c>
      <c r="L328" t="s">
        <v>3</v>
      </c>
      <c r="M328" t="s">
        <v>3</v>
      </c>
      <c r="N328">
        <v>0</v>
      </c>
      <c r="P328" t="s">
        <v>3</v>
      </c>
    </row>
    <row r="329" spans="1:16" x14ac:dyDescent="0.2">
      <c r="A329">
        <v>70</v>
      </c>
      <c r="B329">
        <v>1</v>
      </c>
      <c r="D329">
        <v>10</v>
      </c>
      <c r="E329" t="s">
        <v>563</v>
      </c>
      <c r="F329" t="s">
        <v>564</v>
      </c>
      <c r="G329">
        <v>0</v>
      </c>
      <c r="H329">
        <v>0</v>
      </c>
      <c r="I329" t="s">
        <v>565</v>
      </c>
      <c r="J329">
        <v>5</v>
      </c>
      <c r="K329">
        <v>0</v>
      </c>
      <c r="L329" t="s">
        <v>3</v>
      </c>
      <c r="M329" t="s">
        <v>3</v>
      </c>
      <c r="N329">
        <v>0</v>
      </c>
      <c r="P329" t="s">
        <v>566</v>
      </c>
    </row>
    <row r="330" spans="1:16" x14ac:dyDescent="0.2">
      <c r="A330">
        <v>70</v>
      </c>
      <c r="B330">
        <v>1</v>
      </c>
      <c r="D330">
        <v>11</v>
      </c>
      <c r="E330" t="s">
        <v>567</v>
      </c>
      <c r="F330" t="s">
        <v>568</v>
      </c>
      <c r="G330">
        <v>0</v>
      </c>
      <c r="H330">
        <v>0</v>
      </c>
      <c r="I330" t="s">
        <v>569</v>
      </c>
      <c r="J330">
        <v>0</v>
      </c>
      <c r="K330">
        <v>0</v>
      </c>
      <c r="L330" t="s">
        <v>3</v>
      </c>
      <c r="M330" t="s">
        <v>3</v>
      </c>
      <c r="N330">
        <v>0</v>
      </c>
      <c r="P330" t="s">
        <v>570</v>
      </c>
    </row>
    <row r="331" spans="1:16" x14ac:dyDescent="0.2">
      <c r="A331">
        <v>70</v>
      </c>
      <c r="B331">
        <v>1</v>
      </c>
      <c r="D331">
        <v>12</v>
      </c>
      <c r="E331" t="s">
        <v>571</v>
      </c>
      <c r="F331" t="s">
        <v>572</v>
      </c>
      <c r="G331">
        <v>0</v>
      </c>
      <c r="H331">
        <v>0</v>
      </c>
      <c r="I331" t="s">
        <v>573</v>
      </c>
      <c r="J331">
        <v>0</v>
      </c>
      <c r="K331">
        <v>0</v>
      </c>
      <c r="L331" t="s">
        <v>3</v>
      </c>
      <c r="M331" t="s">
        <v>3</v>
      </c>
      <c r="N331">
        <v>0</v>
      </c>
      <c r="P331" t="s">
        <v>574</v>
      </c>
    </row>
    <row r="332" spans="1:16" x14ac:dyDescent="0.2">
      <c r="A332">
        <v>70</v>
      </c>
      <c r="B332">
        <v>1</v>
      </c>
      <c r="D332">
        <v>13</v>
      </c>
      <c r="E332" t="s">
        <v>575</v>
      </c>
      <c r="F332" t="s">
        <v>576</v>
      </c>
      <c r="G332">
        <v>0</v>
      </c>
      <c r="H332">
        <v>0</v>
      </c>
      <c r="I332" t="s">
        <v>577</v>
      </c>
      <c r="J332">
        <v>0</v>
      </c>
      <c r="K332">
        <v>0</v>
      </c>
      <c r="L332" t="s">
        <v>3</v>
      </c>
      <c r="M332" t="s">
        <v>3</v>
      </c>
      <c r="N332">
        <v>0</v>
      </c>
      <c r="P332" t="s">
        <v>578</v>
      </c>
    </row>
    <row r="333" spans="1:16" x14ac:dyDescent="0.2">
      <c r="A333">
        <v>70</v>
      </c>
      <c r="B333">
        <v>1</v>
      </c>
      <c r="D333">
        <v>14</v>
      </c>
      <c r="E333" t="s">
        <v>579</v>
      </c>
      <c r="F333" t="s">
        <v>580</v>
      </c>
      <c r="G333">
        <v>0</v>
      </c>
      <c r="H333">
        <v>0</v>
      </c>
      <c r="I333" t="s">
        <v>3</v>
      </c>
      <c r="J333">
        <v>0</v>
      </c>
      <c r="K333">
        <v>0</v>
      </c>
      <c r="L333" t="s">
        <v>3</v>
      </c>
      <c r="M333" t="s">
        <v>3</v>
      </c>
      <c r="N333">
        <v>0</v>
      </c>
      <c r="P333" t="s">
        <v>581</v>
      </c>
    </row>
    <row r="334" spans="1:16" x14ac:dyDescent="0.2">
      <c r="A334">
        <v>70</v>
      </c>
      <c r="B334">
        <v>1</v>
      </c>
      <c r="D334">
        <v>15</v>
      </c>
      <c r="E334" t="s">
        <v>582</v>
      </c>
      <c r="F334" t="s">
        <v>583</v>
      </c>
      <c r="G334">
        <v>0</v>
      </c>
      <c r="H334">
        <v>0</v>
      </c>
      <c r="I334" t="s">
        <v>3</v>
      </c>
      <c r="J334">
        <v>3</v>
      </c>
      <c r="K334">
        <v>0</v>
      </c>
      <c r="L334" t="s">
        <v>3</v>
      </c>
      <c r="M334" t="s">
        <v>3</v>
      </c>
      <c r="N334">
        <v>0</v>
      </c>
      <c r="P334" t="s">
        <v>3</v>
      </c>
    </row>
    <row r="335" spans="1:16" x14ac:dyDescent="0.2">
      <c r="A335">
        <v>70</v>
      </c>
      <c r="B335">
        <v>1</v>
      </c>
      <c r="D335">
        <v>16</v>
      </c>
      <c r="E335" t="s">
        <v>584</v>
      </c>
      <c r="F335" t="s">
        <v>585</v>
      </c>
      <c r="G335">
        <v>1</v>
      </c>
      <c r="H335">
        <v>0</v>
      </c>
      <c r="I335" t="s">
        <v>3</v>
      </c>
      <c r="J335">
        <v>3</v>
      </c>
      <c r="K335">
        <v>0</v>
      </c>
      <c r="L335" t="s">
        <v>3</v>
      </c>
      <c r="M335" t="s">
        <v>3</v>
      </c>
      <c r="N335">
        <v>0</v>
      </c>
      <c r="P335" t="s">
        <v>3</v>
      </c>
    </row>
    <row r="336" spans="1:16" x14ac:dyDescent="0.2">
      <c r="A336">
        <v>70</v>
      </c>
      <c r="B336">
        <v>1</v>
      </c>
      <c r="D336">
        <v>1</v>
      </c>
      <c r="E336" t="s">
        <v>586</v>
      </c>
      <c r="F336" t="s">
        <v>587</v>
      </c>
      <c r="G336">
        <v>0.9</v>
      </c>
      <c r="H336">
        <v>1</v>
      </c>
      <c r="I336" t="s">
        <v>588</v>
      </c>
      <c r="J336">
        <v>0</v>
      </c>
      <c r="K336">
        <v>0</v>
      </c>
      <c r="L336" t="s">
        <v>3</v>
      </c>
      <c r="M336" t="s">
        <v>3</v>
      </c>
      <c r="N336">
        <v>0</v>
      </c>
      <c r="P336" t="s">
        <v>589</v>
      </c>
    </row>
    <row r="337" spans="1:40" x14ac:dyDescent="0.2">
      <c r="A337">
        <v>70</v>
      </c>
      <c r="B337">
        <v>1</v>
      </c>
      <c r="D337">
        <v>2</v>
      </c>
      <c r="E337" t="s">
        <v>590</v>
      </c>
      <c r="F337" t="s">
        <v>591</v>
      </c>
      <c r="G337">
        <v>0.85</v>
      </c>
      <c r="H337">
        <v>1</v>
      </c>
      <c r="I337" t="s">
        <v>592</v>
      </c>
      <c r="J337">
        <v>0</v>
      </c>
      <c r="K337">
        <v>0</v>
      </c>
      <c r="L337" t="s">
        <v>3</v>
      </c>
      <c r="M337" t="s">
        <v>3</v>
      </c>
      <c r="N337">
        <v>0</v>
      </c>
      <c r="P337" t="s">
        <v>593</v>
      </c>
    </row>
    <row r="338" spans="1:40" x14ac:dyDescent="0.2">
      <c r="A338">
        <v>70</v>
      </c>
      <c r="B338">
        <v>1</v>
      </c>
      <c r="D338">
        <v>3</v>
      </c>
      <c r="E338" t="s">
        <v>594</v>
      </c>
      <c r="F338" t="s">
        <v>595</v>
      </c>
      <c r="G338">
        <v>1.03</v>
      </c>
      <c r="H338">
        <v>0</v>
      </c>
      <c r="I338" t="s">
        <v>3</v>
      </c>
      <c r="J338">
        <v>0</v>
      </c>
      <c r="K338">
        <v>0</v>
      </c>
      <c r="L338" t="s">
        <v>3</v>
      </c>
      <c r="M338" t="s">
        <v>3</v>
      </c>
      <c r="N338">
        <v>0</v>
      </c>
      <c r="P338" t="s">
        <v>596</v>
      </c>
    </row>
    <row r="339" spans="1:40" x14ac:dyDescent="0.2">
      <c r="A339">
        <v>70</v>
      </c>
      <c r="B339">
        <v>1</v>
      </c>
      <c r="D339">
        <v>4</v>
      </c>
      <c r="E339" t="s">
        <v>597</v>
      </c>
      <c r="F339" t="s">
        <v>598</v>
      </c>
      <c r="G339">
        <v>1.1499999999999999</v>
      </c>
      <c r="H339">
        <v>0</v>
      </c>
      <c r="I339" t="s">
        <v>3</v>
      </c>
      <c r="J339">
        <v>0</v>
      </c>
      <c r="K339">
        <v>0</v>
      </c>
      <c r="L339" t="s">
        <v>3</v>
      </c>
      <c r="M339" t="s">
        <v>3</v>
      </c>
      <c r="N339">
        <v>0</v>
      </c>
      <c r="P339" t="s">
        <v>599</v>
      </c>
    </row>
    <row r="340" spans="1:40" x14ac:dyDescent="0.2">
      <c r="A340">
        <v>70</v>
      </c>
      <c r="B340">
        <v>1</v>
      </c>
      <c r="D340">
        <v>5</v>
      </c>
      <c r="E340" t="s">
        <v>600</v>
      </c>
      <c r="F340" t="s">
        <v>601</v>
      </c>
      <c r="G340">
        <v>7</v>
      </c>
      <c r="H340">
        <v>0</v>
      </c>
      <c r="I340" t="s">
        <v>3</v>
      </c>
      <c r="J340">
        <v>0</v>
      </c>
      <c r="K340">
        <v>0</v>
      </c>
      <c r="L340" t="s">
        <v>3</v>
      </c>
      <c r="M340" t="s">
        <v>3</v>
      </c>
      <c r="N340">
        <v>0</v>
      </c>
      <c r="P340" t="s">
        <v>3</v>
      </c>
    </row>
    <row r="341" spans="1:40" x14ac:dyDescent="0.2">
      <c r="A341">
        <v>70</v>
      </c>
      <c r="B341">
        <v>1</v>
      </c>
      <c r="D341">
        <v>6</v>
      </c>
      <c r="E341" t="s">
        <v>602</v>
      </c>
      <c r="F341" t="s">
        <v>3</v>
      </c>
      <c r="G341">
        <v>2</v>
      </c>
      <c r="H341">
        <v>0</v>
      </c>
      <c r="I341" t="s">
        <v>3</v>
      </c>
      <c r="J341">
        <v>0</v>
      </c>
      <c r="K341">
        <v>0</v>
      </c>
      <c r="L341" t="s">
        <v>3</v>
      </c>
      <c r="M341" t="s">
        <v>3</v>
      </c>
      <c r="N341">
        <v>0</v>
      </c>
      <c r="P341" t="s">
        <v>3</v>
      </c>
    </row>
    <row r="343" spans="1:40" x14ac:dyDescent="0.2">
      <c r="A343">
        <v>-1</v>
      </c>
    </row>
    <row r="345" spans="1:40" x14ac:dyDescent="0.2">
      <c r="A345" s="3">
        <v>75</v>
      </c>
      <c r="B345" s="3" t="s">
        <v>603</v>
      </c>
      <c r="C345" s="3">
        <v>2024</v>
      </c>
      <c r="D345" s="3">
        <v>1</v>
      </c>
      <c r="E345" s="3">
        <v>0</v>
      </c>
      <c r="F345" s="3">
        <v>0</v>
      </c>
      <c r="G345" s="3">
        <v>0</v>
      </c>
      <c r="H345" s="3">
        <v>1</v>
      </c>
      <c r="I345" s="3">
        <v>0</v>
      </c>
      <c r="J345" s="3">
        <v>3</v>
      </c>
      <c r="K345" s="3">
        <v>0</v>
      </c>
      <c r="L345" s="3">
        <v>0</v>
      </c>
      <c r="M345" s="3">
        <v>0</v>
      </c>
      <c r="N345" s="3">
        <v>145026783</v>
      </c>
      <c r="O345" s="3">
        <v>1</v>
      </c>
    </row>
    <row r="346" spans="1:40" x14ac:dyDescent="0.2">
      <c r="A346" s="6">
        <v>3</v>
      </c>
      <c r="B346" s="6" t="s">
        <v>604</v>
      </c>
      <c r="C346" s="6">
        <v>12.38</v>
      </c>
      <c r="D346" s="6">
        <v>8.9</v>
      </c>
      <c r="E346" s="6">
        <v>12.44</v>
      </c>
      <c r="F346" s="6">
        <v>32.01</v>
      </c>
      <c r="G346" s="6">
        <v>32.01</v>
      </c>
      <c r="H346" s="6">
        <v>1</v>
      </c>
      <c r="I346" s="6">
        <v>1</v>
      </c>
      <c r="J346" s="6">
        <v>2</v>
      </c>
      <c r="K346" s="6">
        <v>32.01</v>
      </c>
      <c r="L346" s="6">
        <v>12.38</v>
      </c>
      <c r="M346" s="6">
        <v>12.38</v>
      </c>
      <c r="N346" s="6">
        <v>8.9</v>
      </c>
      <c r="O346" s="6">
        <v>1</v>
      </c>
      <c r="P346" s="6">
        <v>1</v>
      </c>
      <c r="Q346" s="6">
        <v>32.01</v>
      </c>
      <c r="R346" s="6">
        <v>12.38</v>
      </c>
      <c r="S346" s="6" t="s">
        <v>3</v>
      </c>
      <c r="T346" s="6" t="s">
        <v>3</v>
      </c>
      <c r="U346" s="6" t="s">
        <v>3</v>
      </c>
      <c r="V346" s="6" t="s">
        <v>3</v>
      </c>
      <c r="W346" s="6" t="s">
        <v>3</v>
      </c>
      <c r="X346" s="6" t="s">
        <v>3</v>
      </c>
      <c r="Y346" s="6" t="s">
        <v>3</v>
      </c>
      <c r="Z346" s="6" t="s">
        <v>3</v>
      </c>
      <c r="AA346" s="6" t="s">
        <v>3</v>
      </c>
      <c r="AB346" s="6" t="s">
        <v>3</v>
      </c>
      <c r="AC346" s="6" t="s">
        <v>3</v>
      </c>
      <c r="AD346" s="6" t="s">
        <v>3</v>
      </c>
      <c r="AE346" s="6" t="s">
        <v>3</v>
      </c>
      <c r="AF346" s="6" t="s">
        <v>3</v>
      </c>
      <c r="AG346" s="6" t="s">
        <v>3</v>
      </c>
      <c r="AH346" s="6" t="s">
        <v>3</v>
      </c>
      <c r="AI346" s="6"/>
      <c r="AJ346" s="6"/>
      <c r="AK346" s="6"/>
      <c r="AL346" s="6"/>
      <c r="AM346" s="6"/>
      <c r="AN346" s="6">
        <v>145026784</v>
      </c>
    </row>
    <row r="350" spans="1:40" x14ac:dyDescent="0.2">
      <c r="A350">
        <v>65</v>
      </c>
      <c r="C350">
        <v>1</v>
      </c>
      <c r="D350">
        <v>0</v>
      </c>
      <c r="E350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C54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605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0</v>
      </c>
      <c r="L1">
        <v>31883</v>
      </c>
      <c r="M1">
        <v>144896284</v>
      </c>
      <c r="N1">
        <v>11</v>
      </c>
      <c r="O1">
        <v>6</v>
      </c>
      <c r="P1">
        <v>5</v>
      </c>
      <c r="Q1">
        <v>6</v>
      </c>
    </row>
    <row r="4" spans="1:133" x14ac:dyDescent="0.2">
      <c r="A4" s="1">
        <v>1</v>
      </c>
      <c r="B4" s="1">
        <v>1</v>
      </c>
      <c r="C4" s="1">
        <v>-1</v>
      </c>
      <c r="D4" s="1"/>
      <c r="E4" s="1"/>
      <c r="F4" s="1"/>
      <c r="G4" s="1" t="s">
        <v>4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>
        <v>0</v>
      </c>
    </row>
    <row r="12" spans="1:133" x14ac:dyDescent="0.2">
      <c r="A12" s="1">
        <v>1</v>
      </c>
      <c r="B12" s="1">
        <v>53</v>
      </c>
      <c r="C12" s="1">
        <v>0</v>
      </c>
      <c r="D12" s="1"/>
      <c r="E12" s="1">
        <v>0</v>
      </c>
      <c r="F12" s="1" t="s">
        <v>5</v>
      </c>
      <c r="G12" s="1" t="s">
        <v>6</v>
      </c>
      <c r="H12" s="1" t="s">
        <v>3</v>
      </c>
      <c r="I12" s="1">
        <v>0</v>
      </c>
      <c r="J12" s="1" t="s">
        <v>7</v>
      </c>
      <c r="K12" s="1">
        <v>0</v>
      </c>
      <c r="L12" s="1">
        <v>0</v>
      </c>
      <c r="M12" s="1">
        <v>2</v>
      </c>
      <c r="N12" s="1"/>
      <c r="O12" s="1">
        <v>0</v>
      </c>
      <c r="P12" s="1">
        <v>0</v>
      </c>
      <c r="Q12" s="1">
        <v>0</v>
      </c>
      <c r="R12" s="1">
        <v>0</v>
      </c>
      <c r="S12" s="1"/>
      <c r="T12" s="1">
        <v>1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8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>
        <v>0</v>
      </c>
      <c r="BC12" s="1"/>
      <c r="BD12" s="1"/>
      <c r="BE12" s="1"/>
      <c r="BF12" s="1"/>
      <c r="BG12" s="1"/>
      <c r="BH12" s="1" t="s">
        <v>9</v>
      </c>
      <c r="BI12" s="1" t="s">
        <v>10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2</v>
      </c>
      <c r="BQ12" s="1">
        <v>2</v>
      </c>
      <c r="BR12" s="1">
        <v>1</v>
      </c>
      <c r="BS12" s="1">
        <v>0</v>
      </c>
      <c r="BT12" s="1">
        <v>0</v>
      </c>
      <c r="BU12" s="1">
        <v>1</v>
      </c>
      <c r="BV12" s="1">
        <v>1</v>
      </c>
      <c r="BW12" s="1">
        <v>0</v>
      </c>
      <c r="BX12" s="1">
        <v>0</v>
      </c>
      <c r="BY12" s="1" t="s">
        <v>11</v>
      </c>
      <c r="BZ12" s="1" t="s">
        <v>12</v>
      </c>
      <c r="CA12" s="1" t="s">
        <v>13</v>
      </c>
      <c r="CB12" s="1" t="s">
        <v>13</v>
      </c>
      <c r="CC12" s="1" t="s">
        <v>13</v>
      </c>
      <c r="CD12" s="1" t="s">
        <v>13</v>
      </c>
      <c r="CE12" s="1" t="s">
        <v>14</v>
      </c>
      <c r="CF12" s="1">
        <v>0</v>
      </c>
      <c r="CG12" s="1">
        <v>0</v>
      </c>
      <c r="CH12" s="1">
        <v>2621448</v>
      </c>
      <c r="CI12" s="1" t="s">
        <v>3</v>
      </c>
      <c r="CJ12" s="1" t="s">
        <v>3</v>
      </c>
      <c r="CK12" s="1">
        <v>9</v>
      </c>
      <c r="CL12" s="1"/>
      <c r="CM12" s="1"/>
      <c r="CN12" s="1"/>
      <c r="CO12" s="1"/>
      <c r="CP12" s="1"/>
      <c r="CQ12" s="1" t="s">
        <v>862</v>
      </c>
      <c r="CR12" s="1" t="s">
        <v>15</v>
      </c>
      <c r="CS12" s="1">
        <v>44551</v>
      </c>
      <c r="CT12" s="1">
        <v>395</v>
      </c>
      <c r="CU12" s="1"/>
      <c r="CV12" s="1"/>
      <c r="CW12" s="1"/>
      <c r="CX12" s="1"/>
      <c r="CY12" s="1">
        <v>0</v>
      </c>
      <c r="CZ12" s="1" t="s">
        <v>3</v>
      </c>
      <c r="DA12" s="1" t="s">
        <v>3</v>
      </c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1</v>
      </c>
      <c r="C14" s="1">
        <v>0</v>
      </c>
      <c r="D14" s="1">
        <v>145026783</v>
      </c>
      <c r="E14" s="1">
        <v>0</v>
      </c>
      <c r="F14" s="1">
        <v>2</v>
      </c>
      <c r="G14" s="1">
        <v>1</v>
      </c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0</v>
      </c>
      <c r="C16" s="7" t="s">
        <v>16</v>
      </c>
      <c r="D16" s="7" t="s">
        <v>16</v>
      </c>
      <c r="E16" s="8">
        <f>ROUND((Source!F268)/1000,2)</f>
        <v>4319.53</v>
      </c>
      <c r="F16" s="8">
        <f>ROUND((Source!F269)/1000,2)</f>
        <v>0</v>
      </c>
      <c r="G16" s="8">
        <f>ROUND((Source!F260)/1000,2)</f>
        <v>0</v>
      </c>
      <c r="H16" s="8">
        <f>ROUND((Source!F270)/1000+(Source!F271)/1000,2)</f>
        <v>0</v>
      </c>
      <c r="I16" s="8">
        <f>E16+F16+G16+H16</f>
        <v>4319.53</v>
      </c>
      <c r="J16" s="8">
        <f>ROUND((Source!F266+Source!F265)/1000,2)</f>
        <v>1059.8499999999999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2719594.04</v>
      </c>
      <c r="AU16" s="8">
        <v>1647109.74</v>
      </c>
      <c r="AV16" s="8">
        <v>0</v>
      </c>
      <c r="AW16" s="8">
        <v>0</v>
      </c>
      <c r="AX16" s="8">
        <v>0</v>
      </c>
      <c r="AY16" s="8">
        <v>27086.7</v>
      </c>
      <c r="AZ16" s="8">
        <v>14448.9</v>
      </c>
      <c r="BA16" s="8">
        <v>1045397.6</v>
      </c>
      <c r="BB16" s="8">
        <v>4319526.4400000004</v>
      </c>
      <c r="BC16" s="8">
        <v>0</v>
      </c>
      <c r="BD16" s="8">
        <v>0</v>
      </c>
      <c r="BE16" s="8">
        <v>0</v>
      </c>
      <c r="BF16" s="8">
        <v>3672.2787317199991</v>
      </c>
      <c r="BG16" s="8">
        <v>37.396863049999986</v>
      </c>
      <c r="BH16" s="8">
        <v>0</v>
      </c>
      <c r="BI16" s="8">
        <v>1072554.97</v>
      </c>
      <c r="BJ16" s="8">
        <v>521779.92</v>
      </c>
      <c r="BK16" s="8">
        <v>4319526.4400000004</v>
      </c>
    </row>
    <row r="18" spans="1:19" x14ac:dyDescent="0.2">
      <c r="A18">
        <v>51</v>
      </c>
      <c r="E18" s="5">
        <f>SUMIF(A16:A17,3,E16:E17)</f>
        <v>4319.53</v>
      </c>
      <c r="F18" s="5">
        <f>SUMIF(A16:A17,3,F16:F17)</f>
        <v>0</v>
      </c>
      <c r="G18" s="5">
        <f>SUMIF(A16:A17,3,G16:G17)</f>
        <v>0</v>
      </c>
      <c r="H18" s="5">
        <f>SUMIF(A16:A17,3,H16:H17)</f>
        <v>0</v>
      </c>
      <c r="I18" s="5">
        <f>SUMIF(A16:A17,3,I16:I17)</f>
        <v>4319.53</v>
      </c>
      <c r="J18" s="5">
        <f>SUMIF(A16:A17,3,J16:J17)</f>
        <v>1059.8499999999999</v>
      </c>
      <c r="K18" s="5"/>
      <c r="L18" s="5"/>
      <c r="M18" s="5"/>
      <c r="N18" s="5"/>
      <c r="O18" s="5"/>
      <c r="P18" s="5"/>
      <c r="Q18" s="5"/>
      <c r="R18" s="5"/>
      <c r="S18" s="5"/>
    </row>
    <row r="20" spans="1:19" x14ac:dyDescent="0.2">
      <c r="A20" s="4">
        <v>50</v>
      </c>
      <c r="B20" s="4">
        <f>IF(SourceObSm!F20&lt;&gt;0,1,0)</f>
        <v>1</v>
      </c>
      <c r="C20" s="4">
        <v>0</v>
      </c>
      <c r="D20" s="4">
        <v>1</v>
      </c>
      <c r="E20" s="4">
        <v>201</v>
      </c>
      <c r="F20" s="4">
        <v>2719594.04</v>
      </c>
      <c r="G20" s="4" t="s">
        <v>319</v>
      </c>
      <c r="H20" s="4" t="s">
        <v>320</v>
      </c>
      <c r="I20" s="4"/>
      <c r="J20" s="4"/>
      <c r="K20" s="4">
        <v>201</v>
      </c>
      <c r="L20" s="4">
        <v>1</v>
      </c>
      <c r="M20" s="4">
        <v>1</v>
      </c>
      <c r="N20" s="4" t="s">
        <v>3</v>
      </c>
      <c r="O20" s="4">
        <v>2</v>
      </c>
      <c r="P20" s="4"/>
    </row>
    <row r="21" spans="1:19" x14ac:dyDescent="0.2">
      <c r="A21" s="4">
        <v>50</v>
      </c>
      <c r="B21" s="4">
        <f>IF(SourceObSm!F21&lt;&gt;0,1,0)</f>
        <v>1</v>
      </c>
      <c r="C21" s="4">
        <v>0</v>
      </c>
      <c r="D21" s="4">
        <v>1</v>
      </c>
      <c r="E21" s="4">
        <v>202</v>
      </c>
      <c r="F21" s="4">
        <v>1647109.74</v>
      </c>
      <c r="G21" s="4" t="s">
        <v>321</v>
      </c>
      <c r="H21" s="4" t="s">
        <v>322</v>
      </c>
      <c r="I21" s="4"/>
      <c r="J21" s="4"/>
      <c r="K21" s="4">
        <v>202</v>
      </c>
      <c r="L21" s="4">
        <v>2</v>
      </c>
      <c r="M21" s="4">
        <v>1</v>
      </c>
      <c r="N21" s="4" t="s">
        <v>3</v>
      </c>
      <c r="O21" s="4">
        <v>2</v>
      </c>
      <c r="P21" s="4"/>
    </row>
    <row r="22" spans="1:19" x14ac:dyDescent="0.2">
      <c r="A22" s="4">
        <v>50</v>
      </c>
      <c r="B22" s="4">
        <f>IF(SourceObSm!F22&lt;&gt;0,1,0)</f>
        <v>0</v>
      </c>
      <c r="C22" s="4">
        <v>0</v>
      </c>
      <c r="D22" s="4">
        <v>1</v>
      </c>
      <c r="E22" s="4">
        <v>222</v>
      </c>
      <c r="F22" s="4">
        <v>0</v>
      </c>
      <c r="G22" s="4" t="s">
        <v>323</v>
      </c>
      <c r="H22" s="4" t="s">
        <v>324</v>
      </c>
      <c r="I22" s="4"/>
      <c r="J22" s="4"/>
      <c r="K22" s="4">
        <v>222</v>
      </c>
      <c r="L22" s="4">
        <v>3</v>
      </c>
      <c r="M22" s="4">
        <v>1</v>
      </c>
      <c r="N22" s="4" t="s">
        <v>3</v>
      </c>
      <c r="O22" s="4">
        <v>2</v>
      </c>
      <c r="P22" s="4"/>
    </row>
    <row r="23" spans="1:19" x14ac:dyDescent="0.2">
      <c r="A23" s="4">
        <v>50</v>
      </c>
      <c r="B23" s="4">
        <f>IF(SourceObSm!F23&lt;&gt;0,1,0)</f>
        <v>1</v>
      </c>
      <c r="C23" s="4">
        <v>0</v>
      </c>
      <c r="D23" s="4">
        <v>1</v>
      </c>
      <c r="E23" s="4">
        <v>225</v>
      </c>
      <c r="F23" s="4">
        <v>1647109.74</v>
      </c>
      <c r="G23" s="4" t="s">
        <v>325</v>
      </c>
      <c r="H23" s="4" t="s">
        <v>326</v>
      </c>
      <c r="I23" s="4"/>
      <c r="J23" s="4"/>
      <c r="K23" s="4">
        <v>225</v>
      </c>
      <c r="L23" s="4">
        <v>4</v>
      </c>
      <c r="M23" s="4">
        <v>1</v>
      </c>
      <c r="N23" s="4" t="s">
        <v>3</v>
      </c>
      <c r="O23" s="4">
        <v>2</v>
      </c>
      <c r="P23" s="4"/>
    </row>
    <row r="24" spans="1:19" x14ac:dyDescent="0.2">
      <c r="A24" s="4">
        <v>50</v>
      </c>
      <c r="B24" s="4">
        <f>IF(SourceObSm!F24&lt;&gt;0,1,0)</f>
        <v>1</v>
      </c>
      <c r="C24" s="4">
        <v>0</v>
      </c>
      <c r="D24" s="4">
        <v>1</v>
      </c>
      <c r="E24" s="4">
        <v>226</v>
      </c>
      <c r="F24" s="4">
        <v>1647109.74</v>
      </c>
      <c r="G24" s="4" t="s">
        <v>327</v>
      </c>
      <c r="H24" s="4" t="s">
        <v>328</v>
      </c>
      <c r="I24" s="4"/>
      <c r="J24" s="4"/>
      <c r="K24" s="4">
        <v>226</v>
      </c>
      <c r="L24" s="4">
        <v>5</v>
      </c>
      <c r="M24" s="4">
        <v>1</v>
      </c>
      <c r="N24" s="4" t="s">
        <v>3</v>
      </c>
      <c r="O24" s="4">
        <v>2</v>
      </c>
      <c r="P24" s="4"/>
    </row>
    <row r="25" spans="1:19" x14ac:dyDescent="0.2">
      <c r="A25" s="4">
        <v>50</v>
      </c>
      <c r="B25" s="4">
        <f>IF(SourceObSm!F25&lt;&gt;0,1,0)</f>
        <v>0</v>
      </c>
      <c r="C25" s="4">
        <v>0</v>
      </c>
      <c r="D25" s="4">
        <v>1</v>
      </c>
      <c r="E25" s="4">
        <v>227</v>
      </c>
      <c r="F25" s="4">
        <v>0</v>
      </c>
      <c r="G25" s="4" t="s">
        <v>329</v>
      </c>
      <c r="H25" s="4" t="s">
        <v>330</v>
      </c>
      <c r="I25" s="4"/>
      <c r="J25" s="4"/>
      <c r="K25" s="4">
        <v>227</v>
      </c>
      <c r="L25" s="4">
        <v>6</v>
      </c>
      <c r="M25" s="4">
        <v>1</v>
      </c>
      <c r="N25" s="4" t="s">
        <v>3</v>
      </c>
      <c r="O25" s="4">
        <v>2</v>
      </c>
      <c r="P25" s="4"/>
    </row>
    <row r="26" spans="1:19" x14ac:dyDescent="0.2">
      <c r="A26" s="4">
        <v>50</v>
      </c>
      <c r="B26" s="4">
        <f>IF(SourceObSm!F26&lt;&gt;0,1,0)</f>
        <v>1</v>
      </c>
      <c r="C26" s="4">
        <v>0</v>
      </c>
      <c r="D26" s="4">
        <v>1</v>
      </c>
      <c r="E26" s="4">
        <v>228</v>
      </c>
      <c r="F26" s="4">
        <v>1647109.74</v>
      </c>
      <c r="G26" s="4" t="s">
        <v>331</v>
      </c>
      <c r="H26" s="4" t="s">
        <v>332</v>
      </c>
      <c r="I26" s="4"/>
      <c r="J26" s="4"/>
      <c r="K26" s="4">
        <v>228</v>
      </c>
      <c r="L26" s="4">
        <v>7</v>
      </c>
      <c r="M26" s="4">
        <v>1</v>
      </c>
      <c r="N26" s="4" t="s">
        <v>3</v>
      </c>
      <c r="O26" s="4">
        <v>2</v>
      </c>
      <c r="P26" s="4"/>
    </row>
    <row r="27" spans="1:19" x14ac:dyDescent="0.2">
      <c r="A27" s="4">
        <v>50</v>
      </c>
      <c r="B27" s="4">
        <f>IF(SourceObSm!F27&lt;&gt;0,1,0)</f>
        <v>0</v>
      </c>
      <c r="C27" s="4">
        <v>0</v>
      </c>
      <c r="D27" s="4">
        <v>1</v>
      </c>
      <c r="E27" s="4">
        <v>216</v>
      </c>
      <c r="F27" s="4">
        <v>0</v>
      </c>
      <c r="G27" s="4" t="s">
        <v>333</v>
      </c>
      <c r="H27" s="4" t="s">
        <v>334</v>
      </c>
      <c r="I27" s="4"/>
      <c r="J27" s="4"/>
      <c r="K27" s="4">
        <v>216</v>
      </c>
      <c r="L27" s="4">
        <v>8</v>
      </c>
      <c r="M27" s="4">
        <v>1</v>
      </c>
      <c r="N27" s="4" t="s">
        <v>3</v>
      </c>
      <c r="O27" s="4">
        <v>2</v>
      </c>
      <c r="P27" s="4"/>
    </row>
    <row r="28" spans="1:19" x14ac:dyDescent="0.2">
      <c r="A28" s="4">
        <v>50</v>
      </c>
      <c r="B28" s="4">
        <f>IF(SourceObSm!F28&lt;&gt;0,1,0)</f>
        <v>0</v>
      </c>
      <c r="C28" s="4">
        <v>0</v>
      </c>
      <c r="D28" s="4">
        <v>1</v>
      </c>
      <c r="E28" s="4">
        <v>223</v>
      </c>
      <c r="F28" s="4">
        <v>0</v>
      </c>
      <c r="G28" s="4" t="s">
        <v>335</v>
      </c>
      <c r="H28" s="4" t="s">
        <v>336</v>
      </c>
      <c r="I28" s="4"/>
      <c r="J28" s="4"/>
      <c r="K28" s="4">
        <v>223</v>
      </c>
      <c r="L28" s="4">
        <v>9</v>
      </c>
      <c r="M28" s="4">
        <v>1</v>
      </c>
      <c r="N28" s="4" t="s">
        <v>3</v>
      </c>
      <c r="O28" s="4">
        <v>2</v>
      </c>
      <c r="P28" s="4"/>
    </row>
    <row r="29" spans="1:19" x14ac:dyDescent="0.2">
      <c r="A29" s="4">
        <v>50</v>
      </c>
      <c r="B29" s="4">
        <f>IF(SourceObSm!F29&lt;&gt;0,1,0)</f>
        <v>0</v>
      </c>
      <c r="C29" s="4">
        <v>0</v>
      </c>
      <c r="D29" s="4">
        <v>1</v>
      </c>
      <c r="E29" s="4">
        <v>229</v>
      </c>
      <c r="F29" s="4">
        <v>0</v>
      </c>
      <c r="G29" s="4" t="s">
        <v>337</v>
      </c>
      <c r="H29" s="4" t="s">
        <v>338</v>
      </c>
      <c r="I29" s="4"/>
      <c r="J29" s="4"/>
      <c r="K29" s="4">
        <v>229</v>
      </c>
      <c r="L29" s="4">
        <v>10</v>
      </c>
      <c r="M29" s="4">
        <v>1</v>
      </c>
      <c r="N29" s="4" t="s">
        <v>3</v>
      </c>
      <c r="O29" s="4">
        <v>2</v>
      </c>
      <c r="P29" s="4"/>
    </row>
    <row r="30" spans="1:19" x14ac:dyDescent="0.2">
      <c r="A30" s="4">
        <v>50</v>
      </c>
      <c r="B30" s="4">
        <f>IF(SourceObSm!F30&lt;&gt;0,1,0)</f>
        <v>1</v>
      </c>
      <c r="C30" s="4">
        <v>0</v>
      </c>
      <c r="D30" s="4">
        <v>1</v>
      </c>
      <c r="E30" s="4">
        <v>203</v>
      </c>
      <c r="F30" s="4">
        <v>27086.7</v>
      </c>
      <c r="G30" s="4" t="s">
        <v>339</v>
      </c>
      <c r="H30" s="4" t="s">
        <v>340</v>
      </c>
      <c r="I30" s="4"/>
      <c r="J30" s="4"/>
      <c r="K30" s="4">
        <v>203</v>
      </c>
      <c r="L30" s="4">
        <v>11</v>
      </c>
      <c r="M30" s="4">
        <v>1</v>
      </c>
      <c r="N30" s="4" t="s">
        <v>3</v>
      </c>
      <c r="O30" s="4">
        <v>2</v>
      </c>
      <c r="P30" s="4"/>
    </row>
    <row r="31" spans="1:19" x14ac:dyDescent="0.2">
      <c r="A31" s="4">
        <v>50</v>
      </c>
      <c r="B31" s="4">
        <v>0</v>
      </c>
      <c r="C31" s="4">
        <v>0</v>
      </c>
      <c r="D31" s="4">
        <v>1</v>
      </c>
      <c r="E31" s="4">
        <v>231</v>
      </c>
      <c r="F31" s="4">
        <v>0</v>
      </c>
      <c r="G31" s="4" t="s">
        <v>341</v>
      </c>
      <c r="H31" s="4" t="s">
        <v>342</v>
      </c>
      <c r="I31" s="4"/>
      <c r="J31" s="4"/>
      <c r="K31" s="4">
        <v>231</v>
      </c>
      <c r="L31" s="4">
        <v>12</v>
      </c>
      <c r="M31" s="4">
        <v>3</v>
      </c>
      <c r="N31" s="4" t="s">
        <v>3</v>
      </c>
      <c r="O31" s="4">
        <v>2</v>
      </c>
      <c r="P31" s="4"/>
    </row>
    <row r="32" spans="1:19" x14ac:dyDescent="0.2">
      <c r="A32" s="4">
        <v>50</v>
      </c>
      <c r="B32" s="4">
        <f>IF(SourceObSm!F32&lt;&gt;0,1,0)</f>
        <v>1</v>
      </c>
      <c r="C32" s="4">
        <v>0</v>
      </c>
      <c r="D32" s="4">
        <v>1</v>
      </c>
      <c r="E32" s="4">
        <v>204</v>
      </c>
      <c r="F32" s="4">
        <v>14448.9</v>
      </c>
      <c r="G32" s="4" t="s">
        <v>343</v>
      </c>
      <c r="H32" s="4" t="s">
        <v>344</v>
      </c>
      <c r="I32" s="4"/>
      <c r="J32" s="4"/>
      <c r="K32" s="4">
        <v>204</v>
      </c>
      <c r="L32" s="4">
        <v>13</v>
      </c>
      <c r="M32" s="4">
        <v>1</v>
      </c>
      <c r="N32" s="4" t="s">
        <v>3</v>
      </c>
      <c r="O32" s="4">
        <v>2</v>
      </c>
      <c r="P32" s="4"/>
    </row>
    <row r="33" spans="1:16" x14ac:dyDescent="0.2">
      <c r="A33" s="4">
        <v>50</v>
      </c>
      <c r="B33" s="4">
        <f>IF(SourceObSm!F33&lt;&gt;0,1,0)</f>
        <v>1</v>
      </c>
      <c r="C33" s="4">
        <v>0</v>
      </c>
      <c r="D33" s="4">
        <v>1</v>
      </c>
      <c r="E33" s="4">
        <v>205</v>
      </c>
      <c r="F33" s="4">
        <v>1045397.6</v>
      </c>
      <c r="G33" s="4" t="s">
        <v>345</v>
      </c>
      <c r="H33" s="4" t="s">
        <v>346</v>
      </c>
      <c r="I33" s="4"/>
      <c r="J33" s="4"/>
      <c r="K33" s="4">
        <v>205</v>
      </c>
      <c r="L33" s="4">
        <v>14</v>
      </c>
      <c r="M33" s="4">
        <v>1</v>
      </c>
      <c r="N33" s="4" t="s">
        <v>3</v>
      </c>
      <c r="O33" s="4">
        <v>2</v>
      </c>
      <c r="P33" s="4"/>
    </row>
    <row r="34" spans="1:16" x14ac:dyDescent="0.2">
      <c r="A34" s="4">
        <v>50</v>
      </c>
      <c r="B34" s="4">
        <v>0</v>
      </c>
      <c r="C34" s="4">
        <v>0</v>
      </c>
      <c r="D34" s="4">
        <v>1</v>
      </c>
      <c r="E34" s="4">
        <v>232</v>
      </c>
      <c r="F34" s="4">
        <v>0</v>
      </c>
      <c r="G34" s="4" t="s">
        <v>347</v>
      </c>
      <c r="H34" s="4" t="s">
        <v>348</v>
      </c>
      <c r="I34" s="4"/>
      <c r="J34" s="4"/>
      <c r="K34" s="4">
        <v>232</v>
      </c>
      <c r="L34" s="4">
        <v>15</v>
      </c>
      <c r="M34" s="4">
        <v>3</v>
      </c>
      <c r="N34" s="4" t="s">
        <v>3</v>
      </c>
      <c r="O34" s="4">
        <v>2</v>
      </c>
      <c r="P34" s="4"/>
    </row>
    <row r="35" spans="1:16" x14ac:dyDescent="0.2">
      <c r="A35" s="4">
        <v>50</v>
      </c>
      <c r="B35" s="4">
        <f>IF(SourceObSm!F35&lt;&gt;0,1,0)</f>
        <v>1</v>
      </c>
      <c r="C35" s="4">
        <v>0</v>
      </c>
      <c r="D35" s="4">
        <v>1</v>
      </c>
      <c r="E35" s="4">
        <v>214</v>
      </c>
      <c r="F35" s="4">
        <v>4319526.4400000004</v>
      </c>
      <c r="G35" s="4" t="s">
        <v>349</v>
      </c>
      <c r="H35" s="4" t="s">
        <v>350</v>
      </c>
      <c r="I35" s="4"/>
      <c r="J35" s="4"/>
      <c r="K35" s="4">
        <v>214</v>
      </c>
      <c r="L35" s="4">
        <v>16</v>
      </c>
      <c r="M35" s="4">
        <v>1</v>
      </c>
      <c r="N35" s="4" t="s">
        <v>3</v>
      </c>
      <c r="O35" s="4">
        <v>2</v>
      </c>
      <c r="P35" s="4"/>
    </row>
    <row r="36" spans="1:16" x14ac:dyDescent="0.2">
      <c r="A36" s="4">
        <v>50</v>
      </c>
      <c r="B36" s="4">
        <f>IF(SourceObSm!F36&lt;&gt;0,1,0)</f>
        <v>0</v>
      </c>
      <c r="C36" s="4">
        <v>0</v>
      </c>
      <c r="D36" s="4">
        <v>1</v>
      </c>
      <c r="E36" s="4">
        <v>215</v>
      </c>
      <c r="F36" s="4">
        <v>0</v>
      </c>
      <c r="G36" s="4" t="s">
        <v>351</v>
      </c>
      <c r="H36" s="4" t="s">
        <v>352</v>
      </c>
      <c r="I36" s="4"/>
      <c r="J36" s="4"/>
      <c r="K36" s="4">
        <v>215</v>
      </c>
      <c r="L36" s="4">
        <v>17</v>
      </c>
      <c r="M36" s="4">
        <v>1</v>
      </c>
      <c r="N36" s="4" t="s">
        <v>3</v>
      </c>
      <c r="O36" s="4">
        <v>2</v>
      </c>
      <c r="P36" s="4"/>
    </row>
    <row r="37" spans="1:16" x14ac:dyDescent="0.2">
      <c r="A37" s="4">
        <v>50</v>
      </c>
      <c r="B37" s="4">
        <f>IF(SourceObSm!F37&lt;&gt;0,1,0)</f>
        <v>0</v>
      </c>
      <c r="C37" s="4">
        <v>0</v>
      </c>
      <c r="D37" s="4">
        <v>1</v>
      </c>
      <c r="E37" s="4">
        <v>217</v>
      </c>
      <c r="F37" s="4">
        <v>0</v>
      </c>
      <c r="G37" s="4" t="s">
        <v>353</v>
      </c>
      <c r="H37" s="4" t="s">
        <v>354</v>
      </c>
      <c r="I37" s="4"/>
      <c r="J37" s="4"/>
      <c r="K37" s="4">
        <v>217</v>
      </c>
      <c r="L37" s="4">
        <v>18</v>
      </c>
      <c r="M37" s="4">
        <v>1</v>
      </c>
      <c r="N37" s="4" t="s">
        <v>3</v>
      </c>
      <c r="O37" s="4">
        <v>2</v>
      </c>
      <c r="P37" s="4"/>
    </row>
    <row r="38" spans="1:16" x14ac:dyDescent="0.2">
      <c r="A38" s="4">
        <v>50</v>
      </c>
      <c r="B38" s="4">
        <v>0</v>
      </c>
      <c r="C38" s="4">
        <v>0</v>
      </c>
      <c r="D38" s="4">
        <v>1</v>
      </c>
      <c r="E38" s="4">
        <v>230</v>
      </c>
      <c r="F38" s="4">
        <v>0</v>
      </c>
      <c r="G38" s="4" t="s">
        <v>355</v>
      </c>
      <c r="H38" s="4" t="s">
        <v>356</v>
      </c>
      <c r="I38" s="4"/>
      <c r="J38" s="4"/>
      <c r="K38" s="4">
        <v>230</v>
      </c>
      <c r="L38" s="4">
        <v>19</v>
      </c>
      <c r="M38" s="4">
        <v>3</v>
      </c>
      <c r="N38" s="4" t="s">
        <v>3</v>
      </c>
      <c r="O38" s="4">
        <v>2</v>
      </c>
      <c r="P38" s="4"/>
    </row>
    <row r="39" spans="1:16" x14ac:dyDescent="0.2">
      <c r="A39" s="4">
        <v>50</v>
      </c>
      <c r="B39" s="4">
        <f>IF(SourceObSm!F39&lt;&gt;0,1,0)</f>
        <v>0</v>
      </c>
      <c r="C39" s="4">
        <v>0</v>
      </c>
      <c r="D39" s="4">
        <v>1</v>
      </c>
      <c r="E39" s="4">
        <v>206</v>
      </c>
      <c r="F39" s="4">
        <v>0</v>
      </c>
      <c r="G39" s="4" t="s">
        <v>357</v>
      </c>
      <c r="H39" s="4" t="s">
        <v>358</v>
      </c>
      <c r="I39" s="4"/>
      <c r="J39" s="4"/>
      <c r="K39" s="4">
        <v>206</v>
      </c>
      <c r="L39" s="4">
        <v>20</v>
      </c>
      <c r="M39" s="4">
        <v>1</v>
      </c>
      <c r="N39" s="4" t="s">
        <v>3</v>
      </c>
      <c r="O39" s="4">
        <v>2</v>
      </c>
      <c r="P39" s="4"/>
    </row>
    <row r="40" spans="1:16" x14ac:dyDescent="0.2">
      <c r="A40" s="4">
        <v>50</v>
      </c>
      <c r="B40" s="4">
        <f>IF(SourceObSm!F40&lt;&gt;0,1,0)</f>
        <v>1</v>
      </c>
      <c r="C40" s="4">
        <v>0</v>
      </c>
      <c r="D40" s="4">
        <v>1</v>
      </c>
      <c r="E40" s="4">
        <v>207</v>
      </c>
      <c r="F40" s="4">
        <v>3672.2787317199991</v>
      </c>
      <c r="G40" s="4" t="s">
        <v>359</v>
      </c>
      <c r="H40" s="4" t="s">
        <v>360</v>
      </c>
      <c r="I40" s="4"/>
      <c r="J40" s="4"/>
      <c r="K40" s="4">
        <v>207</v>
      </c>
      <c r="L40" s="4">
        <v>21</v>
      </c>
      <c r="M40" s="4">
        <v>1</v>
      </c>
      <c r="N40" s="4" t="s">
        <v>3</v>
      </c>
      <c r="O40" s="4">
        <v>-1</v>
      </c>
      <c r="P40" s="4"/>
    </row>
    <row r="41" spans="1:16" x14ac:dyDescent="0.2">
      <c r="A41" s="4">
        <v>50</v>
      </c>
      <c r="B41" s="4">
        <f>IF(SourceObSm!F41&lt;&gt;0,1,0)</f>
        <v>1</v>
      </c>
      <c r="C41" s="4">
        <v>0</v>
      </c>
      <c r="D41" s="4">
        <v>1</v>
      </c>
      <c r="E41" s="4">
        <v>208</v>
      </c>
      <c r="F41" s="4">
        <v>37.396863049999986</v>
      </c>
      <c r="G41" s="4" t="s">
        <v>361</v>
      </c>
      <c r="H41" s="4" t="s">
        <v>362</v>
      </c>
      <c r="I41" s="4"/>
      <c r="J41" s="4"/>
      <c r="K41" s="4">
        <v>208</v>
      </c>
      <c r="L41" s="4">
        <v>22</v>
      </c>
      <c r="M41" s="4">
        <v>1</v>
      </c>
      <c r="N41" s="4" t="s">
        <v>3</v>
      </c>
      <c r="O41" s="4">
        <v>-1</v>
      </c>
      <c r="P41" s="4"/>
    </row>
    <row r="42" spans="1:16" x14ac:dyDescent="0.2">
      <c r="A42" s="4">
        <v>50</v>
      </c>
      <c r="B42" s="4">
        <f>IF(SourceObSm!F42&lt;&gt;0,1,0)</f>
        <v>0</v>
      </c>
      <c r="C42" s="4">
        <v>0</v>
      </c>
      <c r="D42" s="4">
        <v>1</v>
      </c>
      <c r="E42" s="4">
        <v>209</v>
      </c>
      <c r="F42" s="4">
        <v>0</v>
      </c>
      <c r="G42" s="4" t="s">
        <v>363</v>
      </c>
      <c r="H42" s="4" t="s">
        <v>364</v>
      </c>
      <c r="I42" s="4"/>
      <c r="J42" s="4"/>
      <c r="K42" s="4">
        <v>209</v>
      </c>
      <c r="L42" s="4">
        <v>23</v>
      </c>
      <c r="M42" s="4">
        <v>1</v>
      </c>
      <c r="N42" s="4" t="s">
        <v>3</v>
      </c>
      <c r="O42" s="4">
        <v>2</v>
      </c>
      <c r="P42" s="4"/>
    </row>
    <row r="43" spans="1:16" x14ac:dyDescent="0.2">
      <c r="A43" s="4">
        <v>50</v>
      </c>
      <c r="B43" s="4">
        <f>IF(SourceObSm!F43&lt;&gt;0,1,0)</f>
        <v>1</v>
      </c>
      <c r="C43" s="4">
        <v>0</v>
      </c>
      <c r="D43" s="4">
        <v>1</v>
      </c>
      <c r="E43" s="4">
        <v>233</v>
      </c>
      <c r="F43" s="4">
        <v>5597.51</v>
      </c>
      <c r="G43" s="4" t="s">
        <v>365</v>
      </c>
      <c r="H43" s="4" t="s">
        <v>366</v>
      </c>
      <c r="I43" s="4"/>
      <c r="J43" s="4"/>
      <c r="K43" s="4">
        <v>233</v>
      </c>
      <c r="L43" s="4">
        <v>24</v>
      </c>
      <c r="M43" s="4">
        <v>1</v>
      </c>
      <c r="N43" s="4" t="s">
        <v>3</v>
      </c>
      <c r="O43" s="4">
        <v>2</v>
      </c>
      <c r="P43" s="4"/>
    </row>
    <row r="44" spans="1:16" x14ac:dyDescent="0.2">
      <c r="A44" s="4">
        <v>50</v>
      </c>
      <c r="B44" s="4">
        <f>IF(SourceObSm!F44&lt;&gt;0,1,0)</f>
        <v>1</v>
      </c>
      <c r="C44" s="4">
        <v>0</v>
      </c>
      <c r="D44" s="4">
        <v>1</v>
      </c>
      <c r="E44" s="4">
        <v>210</v>
      </c>
      <c r="F44" s="4">
        <v>1072554.97</v>
      </c>
      <c r="G44" s="4" t="s">
        <v>367</v>
      </c>
      <c r="H44" s="4" t="s">
        <v>368</v>
      </c>
      <c r="I44" s="4"/>
      <c r="J44" s="4"/>
      <c r="K44" s="4">
        <v>210</v>
      </c>
      <c r="L44" s="4">
        <v>25</v>
      </c>
      <c r="M44" s="4">
        <v>1</v>
      </c>
      <c r="N44" s="4" t="s">
        <v>3</v>
      </c>
      <c r="O44" s="4">
        <v>2</v>
      </c>
      <c r="P44" s="4"/>
    </row>
    <row r="45" spans="1:16" x14ac:dyDescent="0.2">
      <c r="A45" s="4">
        <v>50</v>
      </c>
      <c r="B45" s="4">
        <f>IF(SourceObSm!F45&lt;&gt;0,1,0)</f>
        <v>1</v>
      </c>
      <c r="C45" s="4">
        <v>0</v>
      </c>
      <c r="D45" s="4">
        <v>1</v>
      </c>
      <c r="E45" s="4">
        <v>211</v>
      </c>
      <c r="F45" s="4">
        <v>521779.92</v>
      </c>
      <c r="G45" s="4" t="s">
        <v>369</v>
      </c>
      <c r="H45" s="4" t="s">
        <v>370</v>
      </c>
      <c r="I45" s="4"/>
      <c r="J45" s="4"/>
      <c r="K45" s="4">
        <v>211</v>
      </c>
      <c r="L45" s="4">
        <v>26</v>
      </c>
      <c r="M45" s="4">
        <v>1</v>
      </c>
      <c r="N45" s="4" t="s">
        <v>3</v>
      </c>
      <c r="O45" s="4">
        <v>2</v>
      </c>
      <c r="P45" s="4"/>
    </row>
    <row r="46" spans="1:16" x14ac:dyDescent="0.2">
      <c r="A46" s="4">
        <v>50</v>
      </c>
      <c r="B46" s="4">
        <f>IF(SourceObSm!F46&lt;&gt;0,1,0)</f>
        <v>1</v>
      </c>
      <c r="C46" s="4">
        <v>0</v>
      </c>
      <c r="D46" s="4">
        <v>1</v>
      </c>
      <c r="E46" s="4">
        <v>224</v>
      </c>
      <c r="F46" s="4">
        <v>4319526.4400000004</v>
      </c>
      <c r="G46" s="4" t="s">
        <v>371</v>
      </c>
      <c r="H46" s="4" t="s">
        <v>372</v>
      </c>
      <c r="I46" s="4"/>
      <c r="J46" s="4"/>
      <c r="K46" s="4">
        <v>224</v>
      </c>
      <c r="L46" s="4">
        <v>27</v>
      </c>
      <c r="M46" s="4">
        <v>1</v>
      </c>
      <c r="N46" s="4" t="s">
        <v>3</v>
      </c>
      <c r="O46" s="4">
        <v>2</v>
      </c>
      <c r="P46" s="4"/>
    </row>
    <row r="47" spans="1:16" x14ac:dyDescent="0.2">
      <c r="A47" s="4">
        <v>50</v>
      </c>
      <c r="B47" s="4">
        <f>IF(SourceObSm!F47&lt;&gt;0,1,0)</f>
        <v>1</v>
      </c>
      <c r="C47" s="4">
        <v>0</v>
      </c>
      <c r="D47" s="4">
        <v>2</v>
      </c>
      <c r="E47" s="4">
        <v>0</v>
      </c>
      <c r="F47" s="4">
        <v>863905.29</v>
      </c>
      <c r="G47" s="4" t="s">
        <v>533</v>
      </c>
      <c r="H47" s="4" t="s">
        <v>534</v>
      </c>
      <c r="I47" s="4"/>
      <c r="J47" s="4"/>
      <c r="K47" s="4">
        <v>212</v>
      </c>
      <c r="L47" s="4">
        <v>28</v>
      </c>
      <c r="M47" s="4">
        <v>1</v>
      </c>
      <c r="N47" s="4" t="s">
        <v>3</v>
      </c>
      <c r="O47" s="4">
        <v>2</v>
      </c>
      <c r="P47" s="4"/>
    </row>
    <row r="48" spans="1:16" x14ac:dyDescent="0.2">
      <c r="A48" s="4">
        <v>50</v>
      </c>
      <c r="B48" s="4">
        <f>IF(SourceObSm!F48&lt;&gt;0,1,0)</f>
        <v>1</v>
      </c>
      <c r="C48" s="4">
        <v>0</v>
      </c>
      <c r="D48" s="4">
        <v>2</v>
      </c>
      <c r="E48" s="4">
        <v>0</v>
      </c>
      <c r="F48" s="4">
        <v>5183431.7300000004</v>
      </c>
      <c r="G48" s="4" t="s">
        <v>535</v>
      </c>
      <c r="H48" s="4" t="s">
        <v>532</v>
      </c>
      <c r="I48" s="4"/>
      <c r="J48" s="4"/>
      <c r="K48" s="4">
        <v>212</v>
      </c>
      <c r="L48" s="4">
        <v>29</v>
      </c>
      <c r="M48" s="4">
        <v>1</v>
      </c>
      <c r="N48" s="4" t="s">
        <v>3</v>
      </c>
      <c r="O48" s="4">
        <v>2</v>
      </c>
      <c r="P48" s="4"/>
    </row>
    <row r="50" spans="1:40" x14ac:dyDescent="0.2">
      <c r="A50">
        <v>-1</v>
      </c>
    </row>
    <row r="53" spans="1:40" x14ac:dyDescent="0.2">
      <c r="A53" s="3">
        <v>75</v>
      </c>
      <c r="B53" s="3" t="s">
        <v>603</v>
      </c>
      <c r="C53" s="3">
        <v>2024</v>
      </c>
      <c r="D53" s="3">
        <v>1</v>
      </c>
      <c r="E53" s="3">
        <v>0</v>
      </c>
      <c r="F53" s="3">
        <v>0</v>
      </c>
      <c r="G53" s="3">
        <v>0</v>
      </c>
      <c r="H53" s="3">
        <v>1</v>
      </c>
      <c r="I53" s="3">
        <v>0</v>
      </c>
      <c r="J53" s="3">
        <v>3</v>
      </c>
      <c r="K53" s="3">
        <v>0</v>
      </c>
      <c r="L53" s="3">
        <v>0</v>
      </c>
      <c r="M53" s="3">
        <v>0</v>
      </c>
      <c r="N53" s="3">
        <v>145026783</v>
      </c>
      <c r="O53" s="3">
        <v>1</v>
      </c>
    </row>
    <row r="54" spans="1:40" x14ac:dyDescent="0.2">
      <c r="A54" s="6">
        <v>3</v>
      </c>
      <c r="B54" s="6" t="s">
        <v>604</v>
      </c>
      <c r="C54" s="6">
        <v>12.38</v>
      </c>
      <c r="D54" s="6">
        <v>8.9</v>
      </c>
      <c r="E54" s="6">
        <v>12.44</v>
      </c>
      <c r="F54" s="6">
        <v>32.01</v>
      </c>
      <c r="G54" s="6">
        <v>32.01</v>
      </c>
      <c r="H54" s="6">
        <v>1</v>
      </c>
      <c r="I54" s="6">
        <v>1</v>
      </c>
      <c r="J54" s="6">
        <v>2</v>
      </c>
      <c r="K54" s="6">
        <v>32.01</v>
      </c>
      <c r="L54" s="6">
        <v>12.38</v>
      </c>
      <c r="M54" s="6">
        <v>12.38</v>
      </c>
      <c r="N54" s="6">
        <v>8.9</v>
      </c>
      <c r="O54" s="6">
        <v>1</v>
      </c>
      <c r="P54" s="6">
        <v>1</v>
      </c>
      <c r="Q54" s="6">
        <v>32.01</v>
      </c>
      <c r="R54" s="6">
        <v>12.38</v>
      </c>
      <c r="S54" s="6" t="s">
        <v>3</v>
      </c>
      <c r="T54" s="6" t="s">
        <v>3</v>
      </c>
      <c r="U54" s="6" t="s">
        <v>3</v>
      </c>
      <c r="V54" s="6" t="s">
        <v>3</v>
      </c>
      <c r="W54" s="6" t="s">
        <v>3</v>
      </c>
      <c r="X54" s="6" t="s">
        <v>3</v>
      </c>
      <c r="Y54" s="6" t="s">
        <v>3</v>
      </c>
      <c r="Z54" s="6" t="s">
        <v>3</v>
      </c>
      <c r="AA54" s="6" t="s">
        <v>3</v>
      </c>
      <c r="AB54" s="6" t="s">
        <v>3</v>
      </c>
      <c r="AC54" s="6" t="s">
        <v>3</v>
      </c>
      <c r="AD54" s="6" t="s">
        <v>3</v>
      </c>
      <c r="AE54" s="6" t="s">
        <v>3</v>
      </c>
      <c r="AF54" s="6" t="s">
        <v>3</v>
      </c>
      <c r="AG54" s="6" t="s">
        <v>3</v>
      </c>
      <c r="AH54" s="6" t="s">
        <v>3</v>
      </c>
      <c r="AI54" s="6"/>
      <c r="AJ54" s="6"/>
      <c r="AK54" s="6"/>
      <c r="AL54" s="6"/>
      <c r="AM54" s="6"/>
      <c r="AN54" s="6">
        <v>145026784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O251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19" x14ac:dyDescent="0.2">
      <c r="A1">
        <f>ROW(Source!A28)</f>
        <v>28</v>
      </c>
      <c r="B1">
        <v>145026783</v>
      </c>
      <c r="C1">
        <v>145027021</v>
      </c>
      <c r="D1">
        <v>140760031</v>
      </c>
      <c r="E1">
        <v>70</v>
      </c>
      <c r="F1">
        <v>1</v>
      </c>
      <c r="G1">
        <v>1</v>
      </c>
      <c r="H1">
        <v>1</v>
      </c>
      <c r="I1" t="s">
        <v>606</v>
      </c>
      <c r="J1" t="s">
        <v>3</v>
      </c>
      <c r="K1" t="s">
        <v>607</v>
      </c>
      <c r="L1">
        <v>1191</v>
      </c>
      <c r="N1">
        <v>1013</v>
      </c>
      <c r="O1" t="s">
        <v>608</v>
      </c>
      <c r="P1" t="s">
        <v>608</v>
      </c>
      <c r="Q1">
        <v>1</v>
      </c>
      <c r="W1">
        <v>0</v>
      </c>
      <c r="X1">
        <v>-1111239348</v>
      </c>
      <c r="Y1">
        <f t="shared" ref="Y1:Y18" si="0">AT1</f>
        <v>163.30000000000001</v>
      </c>
      <c r="AA1">
        <v>0</v>
      </c>
      <c r="AB1">
        <v>0</v>
      </c>
      <c r="AC1">
        <v>0</v>
      </c>
      <c r="AD1">
        <v>307.94</v>
      </c>
      <c r="AE1">
        <v>0</v>
      </c>
      <c r="AF1">
        <v>0</v>
      </c>
      <c r="AG1">
        <v>0</v>
      </c>
      <c r="AH1">
        <v>9.6199999999999992</v>
      </c>
      <c r="AI1">
        <v>1</v>
      </c>
      <c r="AJ1">
        <v>1</v>
      </c>
      <c r="AK1">
        <v>1</v>
      </c>
      <c r="AL1">
        <v>32.01</v>
      </c>
      <c r="AM1">
        <v>4</v>
      </c>
      <c r="AN1">
        <v>0</v>
      </c>
      <c r="AO1">
        <v>1</v>
      </c>
      <c r="AP1">
        <v>1</v>
      </c>
      <c r="AQ1">
        <v>0</v>
      </c>
      <c r="AR1">
        <v>0</v>
      </c>
      <c r="AS1" t="s">
        <v>3</v>
      </c>
      <c r="AT1">
        <v>163.30000000000001</v>
      </c>
      <c r="AU1" t="s">
        <v>3</v>
      </c>
      <c r="AV1">
        <v>1</v>
      </c>
      <c r="AW1">
        <v>2</v>
      </c>
      <c r="AX1">
        <v>145027025</v>
      </c>
      <c r="AY1">
        <v>1</v>
      </c>
      <c r="AZ1">
        <v>2048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ROUND(Y1*Source!I28,9)</f>
        <v>249.84899999999999</v>
      </c>
      <c r="CY1">
        <f>AD1</f>
        <v>307.94</v>
      </c>
      <c r="CZ1">
        <f>AH1</f>
        <v>9.6199999999999992</v>
      </c>
      <c r="DA1">
        <f>AL1</f>
        <v>32.01</v>
      </c>
      <c r="DB1">
        <f t="shared" ref="DB1:DB18" si="1">ROUND(ROUND(AT1*CZ1,2),2)</f>
        <v>1570.95</v>
      </c>
      <c r="DC1">
        <f t="shared" ref="DC1:DC18" si="2">ROUND(ROUND(AT1*AG1,2),2)</f>
        <v>0</v>
      </c>
      <c r="DD1" t="s">
        <v>3</v>
      </c>
      <c r="DE1" t="s">
        <v>3</v>
      </c>
      <c r="DF1">
        <f t="shared" ref="DF1:DF6" si="3">ROUND(ROUND(AE1,2)*CX1,2)</f>
        <v>0</v>
      </c>
      <c r="DG1">
        <f>ROUND(ROUND(AF1,2)*CX1,2)</f>
        <v>0</v>
      </c>
      <c r="DH1">
        <f>ROUND(ROUND(AG1,2)*CX1,2)</f>
        <v>0</v>
      </c>
      <c r="DI1">
        <f>ROUND(ROUND(AH1*AL1,2)*CX1,2)</f>
        <v>76938.5</v>
      </c>
      <c r="DJ1">
        <f>DI1</f>
        <v>76938.5</v>
      </c>
      <c r="DK1">
        <v>0</v>
      </c>
      <c r="DL1" t="s">
        <v>3</v>
      </c>
      <c r="DM1">
        <v>0</v>
      </c>
      <c r="DN1" t="s">
        <v>3</v>
      </c>
      <c r="DO1">
        <v>0</v>
      </c>
    </row>
    <row r="2" spans="1:119" x14ac:dyDescent="0.2">
      <c r="A2">
        <f>ROW(Source!A28)</f>
        <v>28</v>
      </c>
      <c r="B2">
        <v>145026783</v>
      </c>
      <c r="C2">
        <v>145027021</v>
      </c>
      <c r="D2">
        <v>140760225</v>
      </c>
      <c r="E2">
        <v>70</v>
      </c>
      <c r="F2">
        <v>1</v>
      </c>
      <c r="G2">
        <v>1</v>
      </c>
      <c r="H2">
        <v>1</v>
      </c>
      <c r="I2" t="s">
        <v>609</v>
      </c>
      <c r="J2" t="s">
        <v>3</v>
      </c>
      <c r="K2" t="s">
        <v>610</v>
      </c>
      <c r="L2">
        <v>1191</v>
      </c>
      <c r="N2">
        <v>1013</v>
      </c>
      <c r="O2" t="s">
        <v>608</v>
      </c>
      <c r="P2" t="s">
        <v>608</v>
      </c>
      <c r="Q2">
        <v>1</v>
      </c>
      <c r="W2">
        <v>0</v>
      </c>
      <c r="X2">
        <v>-1417349443</v>
      </c>
      <c r="Y2">
        <f t="shared" si="0"/>
        <v>0.08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32.01</v>
      </c>
      <c r="AL2">
        <v>1</v>
      </c>
      <c r="AM2">
        <v>4</v>
      </c>
      <c r="AN2">
        <v>0</v>
      </c>
      <c r="AO2">
        <v>1</v>
      </c>
      <c r="AP2">
        <v>1</v>
      </c>
      <c r="AQ2">
        <v>0</v>
      </c>
      <c r="AR2">
        <v>0</v>
      </c>
      <c r="AS2" t="s">
        <v>3</v>
      </c>
      <c r="AT2">
        <v>0.08</v>
      </c>
      <c r="AU2" t="s">
        <v>3</v>
      </c>
      <c r="AV2">
        <v>2</v>
      </c>
      <c r="AW2">
        <v>2</v>
      </c>
      <c r="AX2">
        <v>145027026</v>
      </c>
      <c r="AY2">
        <v>1</v>
      </c>
      <c r="AZ2">
        <v>2048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ROUND(Y2*Source!I28,9)</f>
        <v>0.12239999999999999</v>
      </c>
      <c r="CY2">
        <f>AD2</f>
        <v>0</v>
      </c>
      <c r="CZ2">
        <f>AH2</f>
        <v>0</v>
      </c>
      <c r="DA2">
        <f>AL2</f>
        <v>1</v>
      </c>
      <c r="DB2">
        <f t="shared" si="1"/>
        <v>0</v>
      </c>
      <c r="DC2">
        <f t="shared" si="2"/>
        <v>0</v>
      </c>
      <c r="DD2" t="s">
        <v>3</v>
      </c>
      <c r="DE2" t="s">
        <v>3</v>
      </c>
      <c r="DF2">
        <f t="shared" si="3"/>
        <v>0</v>
      </c>
      <c r="DG2">
        <f>ROUND(ROUND(AF2,2)*CX2,2)</f>
        <v>0</v>
      </c>
      <c r="DH2">
        <f>ROUND(ROUND(AG2*AK2,2)*CX2,2)</f>
        <v>0</v>
      </c>
      <c r="DI2">
        <f>ROUND(ROUND(AH2,2)*CX2,2)</f>
        <v>0</v>
      </c>
      <c r="DJ2">
        <f>DI2</f>
        <v>0</v>
      </c>
      <c r="DK2">
        <v>0</v>
      </c>
      <c r="DL2" t="s">
        <v>3</v>
      </c>
      <c r="DM2">
        <v>0</v>
      </c>
      <c r="DN2" t="s">
        <v>3</v>
      </c>
      <c r="DO2">
        <v>0</v>
      </c>
    </row>
    <row r="3" spans="1:119" x14ac:dyDescent="0.2">
      <c r="A3">
        <f>ROW(Source!A28)</f>
        <v>28</v>
      </c>
      <c r="B3">
        <v>145026783</v>
      </c>
      <c r="C3">
        <v>145027021</v>
      </c>
      <c r="D3">
        <v>140923145</v>
      </c>
      <c r="E3">
        <v>1</v>
      </c>
      <c r="F3">
        <v>1</v>
      </c>
      <c r="G3">
        <v>1</v>
      </c>
      <c r="H3">
        <v>2</v>
      </c>
      <c r="I3" t="s">
        <v>611</v>
      </c>
      <c r="J3" t="s">
        <v>612</v>
      </c>
      <c r="K3" t="s">
        <v>613</v>
      </c>
      <c r="L3">
        <v>1367</v>
      </c>
      <c r="N3">
        <v>1011</v>
      </c>
      <c r="O3" t="s">
        <v>614</v>
      </c>
      <c r="P3" t="s">
        <v>614</v>
      </c>
      <c r="Q3">
        <v>1</v>
      </c>
      <c r="W3">
        <v>0</v>
      </c>
      <c r="X3">
        <v>1232162608</v>
      </c>
      <c r="Y3">
        <f t="shared" si="0"/>
        <v>0.08</v>
      </c>
      <c r="AA3">
        <v>0</v>
      </c>
      <c r="AB3">
        <v>388.87</v>
      </c>
      <c r="AC3">
        <v>432.14</v>
      </c>
      <c r="AD3">
        <v>0</v>
      </c>
      <c r="AE3">
        <v>0</v>
      </c>
      <c r="AF3">
        <v>31.26</v>
      </c>
      <c r="AG3">
        <v>13.5</v>
      </c>
      <c r="AH3">
        <v>0</v>
      </c>
      <c r="AI3">
        <v>1</v>
      </c>
      <c r="AJ3">
        <v>12.44</v>
      </c>
      <c r="AK3">
        <v>32.01</v>
      </c>
      <c r="AL3">
        <v>1</v>
      </c>
      <c r="AM3">
        <v>4</v>
      </c>
      <c r="AN3">
        <v>0</v>
      </c>
      <c r="AO3">
        <v>1</v>
      </c>
      <c r="AP3">
        <v>1</v>
      </c>
      <c r="AQ3">
        <v>0</v>
      </c>
      <c r="AR3">
        <v>0</v>
      </c>
      <c r="AS3" t="s">
        <v>3</v>
      </c>
      <c r="AT3">
        <v>0.08</v>
      </c>
      <c r="AU3" t="s">
        <v>3</v>
      </c>
      <c r="AV3">
        <v>0</v>
      </c>
      <c r="AW3">
        <v>2</v>
      </c>
      <c r="AX3">
        <v>145027027</v>
      </c>
      <c r="AY3">
        <v>1</v>
      </c>
      <c r="AZ3">
        <v>2048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ROUND(Y3*Source!I28,9)</f>
        <v>0.12239999999999999</v>
      </c>
      <c r="CY3">
        <f>AB3</f>
        <v>388.87</v>
      </c>
      <c r="CZ3">
        <f>AF3</f>
        <v>31.26</v>
      </c>
      <c r="DA3">
        <f>AJ3</f>
        <v>12.44</v>
      </c>
      <c r="DB3">
        <f t="shared" si="1"/>
        <v>2.5</v>
      </c>
      <c r="DC3">
        <f t="shared" si="2"/>
        <v>1.08</v>
      </c>
      <c r="DD3" t="s">
        <v>3</v>
      </c>
      <c r="DE3" t="s">
        <v>3</v>
      </c>
      <c r="DF3">
        <f t="shared" si="3"/>
        <v>0</v>
      </c>
      <c r="DG3">
        <f>ROUND(ROUND(AF3*AJ3,2)*CX3,2)</f>
        <v>47.6</v>
      </c>
      <c r="DH3">
        <f>ROUND(ROUND(AG3*AK3,2)*CX3,2)</f>
        <v>52.89</v>
      </c>
      <c r="DI3">
        <f>ROUND(ROUND(AH3,2)*CX3,2)</f>
        <v>0</v>
      </c>
      <c r="DJ3">
        <f>DG3</f>
        <v>47.6</v>
      </c>
      <c r="DK3">
        <v>0</v>
      </c>
      <c r="DL3" t="s">
        <v>3</v>
      </c>
      <c r="DM3">
        <v>0</v>
      </c>
      <c r="DN3" t="s">
        <v>3</v>
      </c>
      <c r="DO3">
        <v>0</v>
      </c>
    </row>
    <row r="4" spans="1:119" x14ac:dyDescent="0.2">
      <c r="A4">
        <f>ROW(Source!A30)</f>
        <v>30</v>
      </c>
      <c r="B4">
        <v>145026783</v>
      </c>
      <c r="C4">
        <v>145027030</v>
      </c>
      <c r="D4">
        <v>140759935</v>
      </c>
      <c r="E4">
        <v>70</v>
      </c>
      <c r="F4">
        <v>1</v>
      </c>
      <c r="G4">
        <v>1</v>
      </c>
      <c r="H4">
        <v>1</v>
      </c>
      <c r="I4" t="s">
        <v>615</v>
      </c>
      <c r="J4" t="s">
        <v>3</v>
      </c>
      <c r="K4" t="s">
        <v>616</v>
      </c>
      <c r="L4">
        <v>1191</v>
      </c>
      <c r="N4">
        <v>1013</v>
      </c>
      <c r="O4" t="s">
        <v>608</v>
      </c>
      <c r="P4" t="s">
        <v>608</v>
      </c>
      <c r="Q4">
        <v>1</v>
      </c>
      <c r="W4">
        <v>0</v>
      </c>
      <c r="X4">
        <v>2031828327</v>
      </c>
      <c r="Y4">
        <f t="shared" si="0"/>
        <v>11.39</v>
      </c>
      <c r="AA4">
        <v>0</v>
      </c>
      <c r="AB4">
        <v>0</v>
      </c>
      <c r="AC4">
        <v>0</v>
      </c>
      <c r="AD4">
        <v>249.68</v>
      </c>
      <c r="AE4">
        <v>0</v>
      </c>
      <c r="AF4">
        <v>0</v>
      </c>
      <c r="AG4">
        <v>0</v>
      </c>
      <c r="AH4">
        <v>7.8</v>
      </c>
      <c r="AI4">
        <v>1</v>
      </c>
      <c r="AJ4">
        <v>1</v>
      </c>
      <c r="AK4">
        <v>1</v>
      </c>
      <c r="AL4">
        <v>32.01</v>
      </c>
      <c r="AM4">
        <v>4</v>
      </c>
      <c r="AN4">
        <v>0</v>
      </c>
      <c r="AO4">
        <v>1</v>
      </c>
      <c r="AP4">
        <v>1</v>
      </c>
      <c r="AQ4">
        <v>0</v>
      </c>
      <c r="AR4">
        <v>0</v>
      </c>
      <c r="AS4" t="s">
        <v>3</v>
      </c>
      <c r="AT4">
        <v>11.39</v>
      </c>
      <c r="AU4" t="s">
        <v>3</v>
      </c>
      <c r="AV4">
        <v>1</v>
      </c>
      <c r="AW4">
        <v>2</v>
      </c>
      <c r="AX4">
        <v>145027035</v>
      </c>
      <c r="AY4">
        <v>1</v>
      </c>
      <c r="AZ4">
        <v>0</v>
      </c>
      <c r="BA4">
        <v>5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ROUND(Y4*Source!I30,9)</f>
        <v>1.8224</v>
      </c>
      <c r="CY4">
        <f>AD4</f>
        <v>249.68</v>
      </c>
      <c r="CZ4">
        <f>AH4</f>
        <v>7.8</v>
      </c>
      <c r="DA4">
        <f>AL4</f>
        <v>32.01</v>
      </c>
      <c r="DB4">
        <f t="shared" si="1"/>
        <v>88.84</v>
      </c>
      <c r="DC4">
        <f t="shared" si="2"/>
        <v>0</v>
      </c>
      <c r="DD4" t="s">
        <v>3</v>
      </c>
      <c r="DE4" t="s">
        <v>3</v>
      </c>
      <c r="DF4">
        <f t="shared" si="3"/>
        <v>0</v>
      </c>
      <c r="DG4">
        <f>ROUND(ROUND(AF4,2)*CX4,2)</f>
        <v>0</v>
      </c>
      <c r="DH4">
        <f>ROUND(ROUND(AG4,2)*CX4,2)</f>
        <v>0</v>
      </c>
      <c r="DI4">
        <f>ROUND(ROUND(AH4*AL4,2)*CX4,2)</f>
        <v>455.02</v>
      </c>
      <c r="DJ4">
        <f>DI4</f>
        <v>455.02</v>
      </c>
      <c r="DK4">
        <v>0</v>
      </c>
      <c r="DL4" t="s">
        <v>3</v>
      </c>
      <c r="DM4">
        <v>0</v>
      </c>
      <c r="DN4" t="s">
        <v>3</v>
      </c>
      <c r="DO4">
        <v>0</v>
      </c>
    </row>
    <row r="5" spans="1:119" x14ac:dyDescent="0.2">
      <c r="A5">
        <f>ROW(Source!A30)</f>
        <v>30</v>
      </c>
      <c r="B5">
        <v>145026783</v>
      </c>
      <c r="C5">
        <v>145027030</v>
      </c>
      <c r="D5">
        <v>140760225</v>
      </c>
      <c r="E5">
        <v>70</v>
      </c>
      <c r="F5">
        <v>1</v>
      </c>
      <c r="G5">
        <v>1</v>
      </c>
      <c r="H5">
        <v>1</v>
      </c>
      <c r="I5" t="s">
        <v>609</v>
      </c>
      <c r="J5" t="s">
        <v>3</v>
      </c>
      <c r="K5" t="s">
        <v>610</v>
      </c>
      <c r="L5">
        <v>1191</v>
      </c>
      <c r="N5">
        <v>1013</v>
      </c>
      <c r="O5" t="s">
        <v>608</v>
      </c>
      <c r="P5" t="s">
        <v>608</v>
      </c>
      <c r="Q5">
        <v>1</v>
      </c>
      <c r="W5">
        <v>0</v>
      </c>
      <c r="X5">
        <v>-1417349443</v>
      </c>
      <c r="Y5">
        <f t="shared" si="0"/>
        <v>0.13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1</v>
      </c>
      <c r="AJ5">
        <v>1</v>
      </c>
      <c r="AK5">
        <v>32.01</v>
      </c>
      <c r="AL5">
        <v>1</v>
      </c>
      <c r="AM5">
        <v>4</v>
      </c>
      <c r="AN5">
        <v>0</v>
      </c>
      <c r="AO5">
        <v>1</v>
      </c>
      <c r="AP5">
        <v>1</v>
      </c>
      <c r="AQ5">
        <v>0</v>
      </c>
      <c r="AR5">
        <v>0</v>
      </c>
      <c r="AS5" t="s">
        <v>3</v>
      </c>
      <c r="AT5">
        <v>0.13</v>
      </c>
      <c r="AU5" t="s">
        <v>3</v>
      </c>
      <c r="AV5">
        <v>2</v>
      </c>
      <c r="AW5">
        <v>2</v>
      </c>
      <c r="AX5">
        <v>145027036</v>
      </c>
      <c r="AY5">
        <v>1</v>
      </c>
      <c r="AZ5">
        <v>0</v>
      </c>
      <c r="BA5">
        <v>6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ROUND(Y5*Source!I30,9)</f>
        <v>2.0799999999999999E-2</v>
      </c>
      <c r="CY5">
        <f>AD5</f>
        <v>0</v>
      </c>
      <c r="CZ5">
        <f>AH5</f>
        <v>0</v>
      </c>
      <c r="DA5">
        <f>AL5</f>
        <v>1</v>
      </c>
      <c r="DB5">
        <f t="shared" si="1"/>
        <v>0</v>
      </c>
      <c r="DC5">
        <f t="shared" si="2"/>
        <v>0</v>
      </c>
      <c r="DD5" t="s">
        <v>3</v>
      </c>
      <c r="DE5" t="s">
        <v>3</v>
      </c>
      <c r="DF5">
        <f t="shared" si="3"/>
        <v>0</v>
      </c>
      <c r="DG5">
        <f>ROUND(ROUND(AF5,2)*CX5,2)</f>
        <v>0</v>
      </c>
      <c r="DH5">
        <f>ROUND(ROUND(AG5*AK5,2)*CX5,2)</f>
        <v>0</v>
      </c>
      <c r="DI5">
        <f>ROUND(ROUND(AH5,2)*CX5,2)</f>
        <v>0</v>
      </c>
      <c r="DJ5">
        <f>DI5</f>
        <v>0</v>
      </c>
      <c r="DK5">
        <v>0</v>
      </c>
      <c r="DL5" t="s">
        <v>3</v>
      </c>
      <c r="DM5">
        <v>0</v>
      </c>
      <c r="DN5" t="s">
        <v>3</v>
      </c>
      <c r="DO5">
        <v>0</v>
      </c>
    </row>
    <row r="6" spans="1:119" x14ac:dyDescent="0.2">
      <c r="A6">
        <f>ROW(Source!A30)</f>
        <v>30</v>
      </c>
      <c r="B6">
        <v>145026783</v>
      </c>
      <c r="C6">
        <v>145027030</v>
      </c>
      <c r="D6">
        <v>140923145</v>
      </c>
      <c r="E6">
        <v>1</v>
      </c>
      <c r="F6">
        <v>1</v>
      </c>
      <c r="G6">
        <v>1</v>
      </c>
      <c r="H6">
        <v>2</v>
      </c>
      <c r="I6" t="s">
        <v>611</v>
      </c>
      <c r="J6" t="s">
        <v>612</v>
      </c>
      <c r="K6" t="s">
        <v>613</v>
      </c>
      <c r="L6">
        <v>1367</v>
      </c>
      <c r="N6">
        <v>1011</v>
      </c>
      <c r="O6" t="s">
        <v>614</v>
      </c>
      <c r="P6" t="s">
        <v>614</v>
      </c>
      <c r="Q6">
        <v>1</v>
      </c>
      <c r="W6">
        <v>0</v>
      </c>
      <c r="X6">
        <v>1232162608</v>
      </c>
      <c r="Y6">
        <f t="shared" si="0"/>
        <v>0.13</v>
      </c>
      <c r="AA6">
        <v>0</v>
      </c>
      <c r="AB6">
        <v>388.87</v>
      </c>
      <c r="AC6">
        <v>432.14</v>
      </c>
      <c r="AD6">
        <v>0</v>
      </c>
      <c r="AE6">
        <v>0</v>
      </c>
      <c r="AF6">
        <v>31.26</v>
      </c>
      <c r="AG6">
        <v>13.5</v>
      </c>
      <c r="AH6">
        <v>0</v>
      </c>
      <c r="AI6">
        <v>1</v>
      </c>
      <c r="AJ6">
        <v>12.44</v>
      </c>
      <c r="AK6">
        <v>32.01</v>
      </c>
      <c r="AL6">
        <v>1</v>
      </c>
      <c r="AM6">
        <v>4</v>
      </c>
      <c r="AN6">
        <v>0</v>
      </c>
      <c r="AO6">
        <v>1</v>
      </c>
      <c r="AP6">
        <v>1</v>
      </c>
      <c r="AQ6">
        <v>0</v>
      </c>
      <c r="AR6">
        <v>0</v>
      </c>
      <c r="AS6" t="s">
        <v>3</v>
      </c>
      <c r="AT6">
        <v>0.13</v>
      </c>
      <c r="AU6" t="s">
        <v>3</v>
      </c>
      <c r="AV6">
        <v>0</v>
      </c>
      <c r="AW6">
        <v>2</v>
      </c>
      <c r="AX6">
        <v>145027037</v>
      </c>
      <c r="AY6">
        <v>1</v>
      </c>
      <c r="AZ6">
        <v>0</v>
      </c>
      <c r="BA6">
        <v>7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ROUND(Y6*Source!I30,9)</f>
        <v>2.0799999999999999E-2</v>
      </c>
      <c r="CY6">
        <f>AB6</f>
        <v>388.87</v>
      </c>
      <c r="CZ6">
        <f>AF6</f>
        <v>31.26</v>
      </c>
      <c r="DA6">
        <f>AJ6</f>
        <v>12.44</v>
      </c>
      <c r="DB6">
        <f t="shared" si="1"/>
        <v>4.0599999999999996</v>
      </c>
      <c r="DC6">
        <f t="shared" si="2"/>
        <v>1.76</v>
      </c>
      <c r="DD6" t="s">
        <v>3</v>
      </c>
      <c r="DE6" t="s">
        <v>3</v>
      </c>
      <c r="DF6">
        <f t="shared" si="3"/>
        <v>0</v>
      </c>
      <c r="DG6">
        <f>ROUND(ROUND(AF6*AJ6,2)*CX6,2)</f>
        <v>8.09</v>
      </c>
      <c r="DH6">
        <f>ROUND(ROUND(AG6*AK6,2)*CX6,2)</f>
        <v>8.99</v>
      </c>
      <c r="DI6">
        <f>ROUND(ROUND(AH6,2)*CX6,2)</f>
        <v>0</v>
      </c>
      <c r="DJ6">
        <f>DG6</f>
        <v>8.09</v>
      </c>
      <c r="DK6">
        <v>0</v>
      </c>
      <c r="DL6" t="s">
        <v>3</v>
      </c>
      <c r="DM6">
        <v>0</v>
      </c>
      <c r="DN6" t="s">
        <v>3</v>
      </c>
      <c r="DO6">
        <v>0</v>
      </c>
    </row>
    <row r="7" spans="1:119" x14ac:dyDescent="0.2">
      <c r="A7">
        <f>ROW(Source!A30)</f>
        <v>30</v>
      </c>
      <c r="B7">
        <v>145026783</v>
      </c>
      <c r="C7">
        <v>145027030</v>
      </c>
      <c r="D7">
        <v>140765020</v>
      </c>
      <c r="E7">
        <v>70</v>
      </c>
      <c r="F7">
        <v>1</v>
      </c>
      <c r="G7">
        <v>1</v>
      </c>
      <c r="H7">
        <v>3</v>
      </c>
      <c r="I7" t="s">
        <v>47</v>
      </c>
      <c r="J7" t="s">
        <v>3</v>
      </c>
      <c r="K7" t="s">
        <v>48</v>
      </c>
      <c r="L7">
        <v>1348</v>
      </c>
      <c r="N7">
        <v>1009</v>
      </c>
      <c r="O7" t="s">
        <v>49</v>
      </c>
      <c r="P7" t="s">
        <v>49</v>
      </c>
      <c r="Q7">
        <v>1000</v>
      </c>
      <c r="W7">
        <v>0</v>
      </c>
      <c r="X7">
        <v>2102561428</v>
      </c>
      <c r="Y7">
        <f t="shared" si="0"/>
        <v>0.47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8.9</v>
      </c>
      <c r="AJ7">
        <v>1</v>
      </c>
      <c r="AK7">
        <v>1</v>
      </c>
      <c r="AL7">
        <v>1</v>
      </c>
      <c r="AM7">
        <v>0</v>
      </c>
      <c r="AN7">
        <v>0</v>
      </c>
      <c r="AO7">
        <v>0</v>
      </c>
      <c r="AP7">
        <v>1</v>
      </c>
      <c r="AQ7">
        <v>0</v>
      </c>
      <c r="AR7">
        <v>0</v>
      </c>
      <c r="AS7" t="s">
        <v>3</v>
      </c>
      <c r="AT7">
        <v>0.47</v>
      </c>
      <c r="AU7" t="s">
        <v>3</v>
      </c>
      <c r="AV7">
        <v>0</v>
      </c>
      <c r="AW7">
        <v>2</v>
      </c>
      <c r="AX7">
        <v>145027038</v>
      </c>
      <c r="AY7">
        <v>1</v>
      </c>
      <c r="AZ7">
        <v>0</v>
      </c>
      <c r="BA7">
        <v>8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ROUND(Y7*Source!I30,9)</f>
        <v>7.5200000000000003E-2</v>
      </c>
      <c r="CY7">
        <f>AA7</f>
        <v>0</v>
      </c>
      <c r="CZ7">
        <f>AE7</f>
        <v>0</v>
      </c>
      <c r="DA7">
        <f>AI7</f>
        <v>8.9</v>
      </c>
      <c r="DB7">
        <f t="shared" si="1"/>
        <v>0</v>
      </c>
      <c r="DC7">
        <f t="shared" si="2"/>
        <v>0</v>
      </c>
      <c r="DD7" t="s">
        <v>3</v>
      </c>
      <c r="DE7" t="s">
        <v>3</v>
      </c>
      <c r="DF7">
        <f>ROUND(ROUND(AE7*AI7,2)*CX7,2)</f>
        <v>0</v>
      </c>
      <c r="DG7">
        <f>ROUND(ROUND(AF7,2)*CX7,2)</f>
        <v>0</v>
      </c>
      <c r="DH7">
        <f>ROUND(ROUND(AG7,2)*CX7,2)</f>
        <v>0</v>
      </c>
      <c r="DI7">
        <f>ROUND(ROUND(AH7,2)*CX7,2)</f>
        <v>0</v>
      </c>
      <c r="DJ7">
        <f>DF7</f>
        <v>0</v>
      </c>
      <c r="DK7">
        <v>0</v>
      </c>
      <c r="DL7" t="s">
        <v>3</v>
      </c>
      <c r="DM7">
        <v>0</v>
      </c>
      <c r="DN7" t="s">
        <v>3</v>
      </c>
      <c r="DO7">
        <v>0</v>
      </c>
    </row>
    <row r="8" spans="1:119" x14ac:dyDescent="0.2">
      <c r="A8">
        <f>ROW(Source!A32)</f>
        <v>32</v>
      </c>
      <c r="B8">
        <v>145026783</v>
      </c>
      <c r="C8">
        <v>145027040</v>
      </c>
      <c r="D8">
        <v>140759935</v>
      </c>
      <c r="E8">
        <v>70</v>
      </c>
      <c r="F8">
        <v>1</v>
      </c>
      <c r="G8">
        <v>1</v>
      </c>
      <c r="H8">
        <v>1</v>
      </c>
      <c r="I8" t="s">
        <v>615</v>
      </c>
      <c r="J8" t="s">
        <v>3</v>
      </c>
      <c r="K8" t="s">
        <v>616</v>
      </c>
      <c r="L8">
        <v>1191</v>
      </c>
      <c r="N8">
        <v>1013</v>
      </c>
      <c r="O8" t="s">
        <v>608</v>
      </c>
      <c r="P8" t="s">
        <v>608</v>
      </c>
      <c r="Q8">
        <v>1</v>
      </c>
      <c r="W8">
        <v>0</v>
      </c>
      <c r="X8">
        <v>2031828327</v>
      </c>
      <c r="Y8">
        <f t="shared" si="0"/>
        <v>3.77</v>
      </c>
      <c r="AA8">
        <v>0</v>
      </c>
      <c r="AB8">
        <v>0</v>
      </c>
      <c r="AC8">
        <v>0</v>
      </c>
      <c r="AD8">
        <v>249.68</v>
      </c>
      <c r="AE8">
        <v>0</v>
      </c>
      <c r="AF8">
        <v>0</v>
      </c>
      <c r="AG8">
        <v>0</v>
      </c>
      <c r="AH8">
        <v>7.8</v>
      </c>
      <c r="AI8">
        <v>1</v>
      </c>
      <c r="AJ8">
        <v>1</v>
      </c>
      <c r="AK8">
        <v>1</v>
      </c>
      <c r="AL8">
        <v>32.01</v>
      </c>
      <c r="AM8">
        <v>4</v>
      </c>
      <c r="AN8">
        <v>0</v>
      </c>
      <c r="AO8">
        <v>1</v>
      </c>
      <c r="AP8">
        <v>1</v>
      </c>
      <c r="AQ8">
        <v>0</v>
      </c>
      <c r="AR8">
        <v>0</v>
      </c>
      <c r="AS8" t="s">
        <v>3</v>
      </c>
      <c r="AT8">
        <v>3.77</v>
      </c>
      <c r="AU8" t="s">
        <v>3</v>
      </c>
      <c r="AV8">
        <v>1</v>
      </c>
      <c r="AW8">
        <v>2</v>
      </c>
      <c r="AX8">
        <v>145027043</v>
      </c>
      <c r="AY8">
        <v>1</v>
      </c>
      <c r="AZ8">
        <v>0</v>
      </c>
      <c r="BA8">
        <v>9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ROUND(Y8*Source!I32,9)</f>
        <v>5.3986400000000003</v>
      </c>
      <c r="CY8">
        <f>AD8</f>
        <v>249.68</v>
      </c>
      <c r="CZ8">
        <f>AH8</f>
        <v>7.8</v>
      </c>
      <c r="DA8">
        <f>AL8</f>
        <v>32.01</v>
      </c>
      <c r="DB8">
        <f t="shared" si="1"/>
        <v>29.41</v>
      </c>
      <c r="DC8">
        <f t="shared" si="2"/>
        <v>0</v>
      </c>
      <c r="DD8" t="s">
        <v>3</v>
      </c>
      <c r="DE8" t="s">
        <v>3</v>
      </c>
      <c r="DF8">
        <f>ROUND(ROUND(AE8,2)*CX8,2)</f>
        <v>0</v>
      </c>
      <c r="DG8">
        <f>ROUND(ROUND(AF8,2)*CX8,2)</f>
        <v>0</v>
      </c>
      <c r="DH8">
        <f>ROUND(ROUND(AG8,2)*CX8,2)</f>
        <v>0</v>
      </c>
      <c r="DI8">
        <f>ROUND(ROUND(AH8*AL8,2)*CX8,2)</f>
        <v>1347.93</v>
      </c>
      <c r="DJ8">
        <f>DI8</f>
        <v>1347.93</v>
      </c>
      <c r="DK8">
        <v>0</v>
      </c>
      <c r="DL8" t="s">
        <v>3</v>
      </c>
      <c r="DM8">
        <v>0</v>
      </c>
      <c r="DN8" t="s">
        <v>3</v>
      </c>
      <c r="DO8">
        <v>0</v>
      </c>
    </row>
    <row r="9" spans="1:119" x14ac:dyDescent="0.2">
      <c r="A9">
        <f>ROW(Source!A32)</f>
        <v>32</v>
      </c>
      <c r="B9">
        <v>145026783</v>
      </c>
      <c r="C9">
        <v>145027040</v>
      </c>
      <c r="D9">
        <v>140765020</v>
      </c>
      <c r="E9">
        <v>70</v>
      </c>
      <c r="F9">
        <v>1</v>
      </c>
      <c r="G9">
        <v>1</v>
      </c>
      <c r="H9">
        <v>3</v>
      </c>
      <c r="I9" t="s">
        <v>47</v>
      </c>
      <c r="J9" t="s">
        <v>3</v>
      </c>
      <c r="K9" t="s">
        <v>48</v>
      </c>
      <c r="L9">
        <v>1348</v>
      </c>
      <c r="N9">
        <v>1009</v>
      </c>
      <c r="O9" t="s">
        <v>49</v>
      </c>
      <c r="P9" t="s">
        <v>49</v>
      </c>
      <c r="Q9">
        <v>1000</v>
      </c>
      <c r="W9">
        <v>0</v>
      </c>
      <c r="X9">
        <v>2102561428</v>
      </c>
      <c r="Y9">
        <f t="shared" si="0"/>
        <v>0.11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8.9</v>
      </c>
      <c r="AJ9">
        <v>1</v>
      </c>
      <c r="AK9">
        <v>1</v>
      </c>
      <c r="AL9">
        <v>1</v>
      </c>
      <c r="AM9">
        <v>0</v>
      </c>
      <c r="AN9">
        <v>0</v>
      </c>
      <c r="AO9">
        <v>0</v>
      </c>
      <c r="AP9">
        <v>1</v>
      </c>
      <c r="AQ9">
        <v>0</v>
      </c>
      <c r="AR9">
        <v>0</v>
      </c>
      <c r="AS9" t="s">
        <v>3</v>
      </c>
      <c r="AT9">
        <v>0.11</v>
      </c>
      <c r="AU9" t="s">
        <v>3</v>
      </c>
      <c r="AV9">
        <v>0</v>
      </c>
      <c r="AW9">
        <v>2</v>
      </c>
      <c r="AX9">
        <v>145027044</v>
      </c>
      <c r="AY9">
        <v>1</v>
      </c>
      <c r="AZ9">
        <v>0</v>
      </c>
      <c r="BA9">
        <v>10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ROUND(Y9*Source!I32,9)</f>
        <v>0.15751999999999999</v>
      </c>
      <c r="CY9">
        <f>AA9</f>
        <v>0</v>
      </c>
      <c r="CZ9">
        <f>AE9</f>
        <v>0</v>
      </c>
      <c r="DA9">
        <f>AI9</f>
        <v>8.9</v>
      </c>
      <c r="DB9">
        <f t="shared" si="1"/>
        <v>0</v>
      </c>
      <c r="DC9">
        <f t="shared" si="2"/>
        <v>0</v>
      </c>
      <c r="DD9" t="s">
        <v>3</v>
      </c>
      <c r="DE9" t="s">
        <v>3</v>
      </c>
      <c r="DF9">
        <f>ROUND(ROUND(AE9*AI9,2)*CX9,2)</f>
        <v>0</v>
      </c>
      <c r="DG9">
        <f>ROUND(ROUND(AF9,2)*CX9,2)</f>
        <v>0</v>
      </c>
      <c r="DH9">
        <f>ROUND(ROUND(AG9,2)*CX9,2)</f>
        <v>0</v>
      </c>
      <c r="DI9">
        <f>ROUND(ROUND(AH9,2)*CX9,2)</f>
        <v>0</v>
      </c>
      <c r="DJ9">
        <f>DF9</f>
        <v>0</v>
      </c>
      <c r="DK9">
        <v>0</v>
      </c>
      <c r="DL9" t="s">
        <v>3</v>
      </c>
      <c r="DM9">
        <v>0</v>
      </c>
      <c r="DN9" t="s">
        <v>3</v>
      </c>
      <c r="DO9">
        <v>0</v>
      </c>
    </row>
    <row r="10" spans="1:119" x14ac:dyDescent="0.2">
      <c r="A10">
        <f>ROW(Source!A34)</f>
        <v>34</v>
      </c>
      <c r="B10">
        <v>145026783</v>
      </c>
      <c r="C10">
        <v>145027046</v>
      </c>
      <c r="D10">
        <v>140759950</v>
      </c>
      <c r="E10">
        <v>70</v>
      </c>
      <c r="F10">
        <v>1</v>
      </c>
      <c r="G10">
        <v>1</v>
      </c>
      <c r="H10">
        <v>1</v>
      </c>
      <c r="I10" t="s">
        <v>617</v>
      </c>
      <c r="J10" t="s">
        <v>3</v>
      </c>
      <c r="K10" t="s">
        <v>618</v>
      </c>
      <c r="L10">
        <v>1191</v>
      </c>
      <c r="N10">
        <v>1013</v>
      </c>
      <c r="O10" t="s">
        <v>608</v>
      </c>
      <c r="P10" t="s">
        <v>608</v>
      </c>
      <c r="Q10">
        <v>1</v>
      </c>
      <c r="W10">
        <v>0</v>
      </c>
      <c r="X10">
        <v>1903864200</v>
      </c>
      <c r="Y10">
        <f t="shared" si="0"/>
        <v>179.3</v>
      </c>
      <c r="AA10">
        <v>0</v>
      </c>
      <c r="AB10">
        <v>0</v>
      </c>
      <c r="AC10">
        <v>0</v>
      </c>
      <c r="AD10">
        <v>256.72000000000003</v>
      </c>
      <c r="AE10">
        <v>0</v>
      </c>
      <c r="AF10">
        <v>0</v>
      </c>
      <c r="AG10">
        <v>0</v>
      </c>
      <c r="AH10">
        <v>8.02</v>
      </c>
      <c r="AI10">
        <v>1</v>
      </c>
      <c r="AJ10">
        <v>1</v>
      </c>
      <c r="AK10">
        <v>1</v>
      </c>
      <c r="AL10">
        <v>32.01</v>
      </c>
      <c r="AM10">
        <v>4</v>
      </c>
      <c r="AN10">
        <v>0</v>
      </c>
      <c r="AO10">
        <v>1</v>
      </c>
      <c r="AP10">
        <v>1</v>
      </c>
      <c r="AQ10">
        <v>0</v>
      </c>
      <c r="AR10">
        <v>0</v>
      </c>
      <c r="AS10" t="s">
        <v>3</v>
      </c>
      <c r="AT10">
        <v>179.3</v>
      </c>
      <c r="AU10" t="s">
        <v>3</v>
      </c>
      <c r="AV10">
        <v>1</v>
      </c>
      <c r="AW10">
        <v>2</v>
      </c>
      <c r="AX10">
        <v>145027051</v>
      </c>
      <c r="AY10">
        <v>1</v>
      </c>
      <c r="AZ10">
        <v>0</v>
      </c>
      <c r="BA10">
        <v>11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ROUND(Y10*Source!I34,9)</f>
        <v>3.5859999999999999</v>
      </c>
      <c r="CY10">
        <f>AD10</f>
        <v>256.72000000000003</v>
      </c>
      <c r="CZ10">
        <f>AH10</f>
        <v>8.02</v>
      </c>
      <c r="DA10">
        <f>AL10</f>
        <v>32.01</v>
      </c>
      <c r="DB10">
        <f t="shared" si="1"/>
        <v>1437.99</v>
      </c>
      <c r="DC10">
        <f t="shared" si="2"/>
        <v>0</v>
      </c>
      <c r="DD10" t="s">
        <v>3</v>
      </c>
      <c r="DE10" t="s">
        <v>3</v>
      </c>
      <c r="DF10">
        <f>ROUND(ROUND(AE10,2)*CX10,2)</f>
        <v>0</v>
      </c>
      <c r="DG10">
        <f>ROUND(ROUND(AF10,2)*CX10,2)</f>
        <v>0</v>
      </c>
      <c r="DH10">
        <f>ROUND(ROUND(AG10,2)*CX10,2)</f>
        <v>0</v>
      </c>
      <c r="DI10">
        <f>ROUND(ROUND(AH10*AL10,2)*CX10,2)</f>
        <v>920.6</v>
      </c>
      <c r="DJ10">
        <f>DI10</f>
        <v>920.6</v>
      </c>
      <c r="DK10">
        <v>0</v>
      </c>
      <c r="DL10" t="s">
        <v>3</v>
      </c>
      <c r="DM10">
        <v>0</v>
      </c>
      <c r="DN10" t="s">
        <v>3</v>
      </c>
      <c r="DO10">
        <v>0</v>
      </c>
    </row>
    <row r="11" spans="1:119" x14ac:dyDescent="0.2">
      <c r="A11">
        <f>ROW(Source!A34)</f>
        <v>34</v>
      </c>
      <c r="B11">
        <v>145026783</v>
      </c>
      <c r="C11">
        <v>145027046</v>
      </c>
      <c r="D11">
        <v>140924121</v>
      </c>
      <c r="E11">
        <v>1</v>
      </c>
      <c r="F11">
        <v>1</v>
      </c>
      <c r="G11">
        <v>1</v>
      </c>
      <c r="H11">
        <v>2</v>
      </c>
      <c r="I11" t="s">
        <v>619</v>
      </c>
      <c r="J11" t="s">
        <v>620</v>
      </c>
      <c r="K11" t="s">
        <v>621</v>
      </c>
      <c r="L11">
        <v>1367</v>
      </c>
      <c r="N11">
        <v>1011</v>
      </c>
      <c r="O11" t="s">
        <v>614</v>
      </c>
      <c r="P11" t="s">
        <v>614</v>
      </c>
      <c r="Q11">
        <v>1</v>
      </c>
      <c r="W11">
        <v>0</v>
      </c>
      <c r="X11">
        <v>-1506375854</v>
      </c>
      <c r="Y11">
        <f t="shared" si="0"/>
        <v>3.97</v>
      </c>
      <c r="AA11">
        <v>0</v>
      </c>
      <c r="AB11">
        <v>607.20000000000005</v>
      </c>
      <c r="AC11">
        <v>0</v>
      </c>
      <c r="AD11">
        <v>0</v>
      </c>
      <c r="AE11">
        <v>0</v>
      </c>
      <c r="AF11">
        <v>48.81</v>
      </c>
      <c r="AG11">
        <v>0</v>
      </c>
      <c r="AH11">
        <v>0</v>
      </c>
      <c r="AI11">
        <v>1</v>
      </c>
      <c r="AJ11">
        <v>12.44</v>
      </c>
      <c r="AK11">
        <v>32.01</v>
      </c>
      <c r="AL11">
        <v>1</v>
      </c>
      <c r="AM11">
        <v>4</v>
      </c>
      <c r="AN11">
        <v>0</v>
      </c>
      <c r="AO11">
        <v>1</v>
      </c>
      <c r="AP11">
        <v>1</v>
      </c>
      <c r="AQ11">
        <v>0</v>
      </c>
      <c r="AR11">
        <v>0</v>
      </c>
      <c r="AS11" t="s">
        <v>3</v>
      </c>
      <c r="AT11">
        <v>3.97</v>
      </c>
      <c r="AU11" t="s">
        <v>3</v>
      </c>
      <c r="AV11">
        <v>0</v>
      </c>
      <c r="AW11">
        <v>2</v>
      </c>
      <c r="AX11">
        <v>145027052</v>
      </c>
      <c r="AY11">
        <v>1</v>
      </c>
      <c r="AZ11">
        <v>0</v>
      </c>
      <c r="BA11">
        <v>12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ROUND(Y11*Source!I34,9)</f>
        <v>7.9399999999999998E-2</v>
      </c>
      <c r="CY11">
        <f>AB11</f>
        <v>607.20000000000005</v>
      </c>
      <c r="CZ11">
        <f>AF11</f>
        <v>48.81</v>
      </c>
      <c r="DA11">
        <f>AJ11</f>
        <v>12.44</v>
      </c>
      <c r="DB11">
        <f t="shared" si="1"/>
        <v>193.78</v>
      </c>
      <c r="DC11">
        <f t="shared" si="2"/>
        <v>0</v>
      </c>
      <c r="DD11" t="s">
        <v>3</v>
      </c>
      <c r="DE11" t="s">
        <v>3</v>
      </c>
      <c r="DF11">
        <f>ROUND(ROUND(AE11,2)*CX11,2)</f>
        <v>0</v>
      </c>
      <c r="DG11">
        <f>ROUND(ROUND(AF11*AJ11,2)*CX11,2)</f>
        <v>48.21</v>
      </c>
      <c r="DH11">
        <f>ROUND(ROUND(AG11*AK11,2)*CX11,2)</f>
        <v>0</v>
      </c>
      <c r="DI11">
        <f>ROUND(ROUND(AH11,2)*CX11,2)</f>
        <v>0</v>
      </c>
      <c r="DJ11">
        <f>DG11</f>
        <v>48.21</v>
      </c>
      <c r="DK11">
        <v>0</v>
      </c>
      <c r="DL11" t="s">
        <v>3</v>
      </c>
      <c r="DM11">
        <v>0</v>
      </c>
      <c r="DN11" t="s">
        <v>3</v>
      </c>
      <c r="DO11">
        <v>0</v>
      </c>
    </row>
    <row r="12" spans="1:119" x14ac:dyDescent="0.2">
      <c r="A12">
        <f>ROW(Source!A34)</f>
        <v>34</v>
      </c>
      <c r="B12">
        <v>145026783</v>
      </c>
      <c r="C12">
        <v>145027046</v>
      </c>
      <c r="D12">
        <v>140924577</v>
      </c>
      <c r="E12">
        <v>1</v>
      </c>
      <c r="F12">
        <v>1</v>
      </c>
      <c r="G12">
        <v>1</v>
      </c>
      <c r="H12">
        <v>2</v>
      </c>
      <c r="I12" t="s">
        <v>622</v>
      </c>
      <c r="J12" t="s">
        <v>623</v>
      </c>
      <c r="K12" t="s">
        <v>624</v>
      </c>
      <c r="L12">
        <v>1367</v>
      </c>
      <c r="N12">
        <v>1011</v>
      </c>
      <c r="O12" t="s">
        <v>614</v>
      </c>
      <c r="P12" t="s">
        <v>614</v>
      </c>
      <c r="Q12">
        <v>1</v>
      </c>
      <c r="W12">
        <v>0</v>
      </c>
      <c r="X12">
        <v>1998121820</v>
      </c>
      <c r="Y12">
        <f t="shared" si="0"/>
        <v>7.93</v>
      </c>
      <c r="AA12">
        <v>0</v>
      </c>
      <c r="AB12">
        <v>19.03</v>
      </c>
      <c r="AC12">
        <v>0</v>
      </c>
      <c r="AD12">
        <v>0</v>
      </c>
      <c r="AE12">
        <v>0</v>
      </c>
      <c r="AF12">
        <v>1.53</v>
      </c>
      <c r="AG12">
        <v>0</v>
      </c>
      <c r="AH12">
        <v>0</v>
      </c>
      <c r="AI12">
        <v>1</v>
      </c>
      <c r="AJ12">
        <v>12.44</v>
      </c>
      <c r="AK12">
        <v>32.01</v>
      </c>
      <c r="AL12">
        <v>1</v>
      </c>
      <c r="AM12">
        <v>4</v>
      </c>
      <c r="AN12">
        <v>0</v>
      </c>
      <c r="AO12">
        <v>1</v>
      </c>
      <c r="AP12">
        <v>1</v>
      </c>
      <c r="AQ12">
        <v>0</v>
      </c>
      <c r="AR12">
        <v>0</v>
      </c>
      <c r="AS12" t="s">
        <v>3</v>
      </c>
      <c r="AT12">
        <v>7.93</v>
      </c>
      <c r="AU12" t="s">
        <v>3</v>
      </c>
      <c r="AV12">
        <v>0</v>
      </c>
      <c r="AW12">
        <v>2</v>
      </c>
      <c r="AX12">
        <v>145027053</v>
      </c>
      <c r="AY12">
        <v>1</v>
      </c>
      <c r="AZ12">
        <v>0</v>
      </c>
      <c r="BA12">
        <v>13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ROUND(Y12*Source!I34,9)</f>
        <v>0.15859999999999999</v>
      </c>
      <c r="CY12">
        <f>AB12</f>
        <v>19.03</v>
      </c>
      <c r="CZ12">
        <f>AF12</f>
        <v>1.53</v>
      </c>
      <c r="DA12">
        <f>AJ12</f>
        <v>12.44</v>
      </c>
      <c r="DB12">
        <f t="shared" si="1"/>
        <v>12.13</v>
      </c>
      <c r="DC12">
        <f t="shared" si="2"/>
        <v>0</v>
      </c>
      <c r="DD12" t="s">
        <v>3</v>
      </c>
      <c r="DE12" t="s">
        <v>3</v>
      </c>
      <c r="DF12">
        <f>ROUND(ROUND(AE12,2)*CX12,2)</f>
        <v>0</v>
      </c>
      <c r="DG12">
        <f>ROUND(ROUND(AF12*AJ12,2)*CX12,2)</f>
        <v>3.02</v>
      </c>
      <c r="DH12">
        <f>ROUND(ROUND(AG12*AK12,2)*CX12,2)</f>
        <v>0</v>
      </c>
      <c r="DI12">
        <f>ROUND(ROUND(AH12,2)*CX12,2)</f>
        <v>0</v>
      </c>
      <c r="DJ12">
        <f>DG12</f>
        <v>3.02</v>
      </c>
      <c r="DK12">
        <v>0</v>
      </c>
      <c r="DL12" t="s">
        <v>3</v>
      </c>
      <c r="DM12">
        <v>0</v>
      </c>
      <c r="DN12" t="s">
        <v>3</v>
      </c>
      <c r="DO12">
        <v>0</v>
      </c>
    </row>
    <row r="13" spans="1:119" x14ac:dyDescent="0.2">
      <c r="A13">
        <f>ROW(Source!A34)</f>
        <v>34</v>
      </c>
      <c r="B13">
        <v>145026783</v>
      </c>
      <c r="C13">
        <v>145027046</v>
      </c>
      <c r="D13">
        <v>140765020</v>
      </c>
      <c r="E13">
        <v>70</v>
      </c>
      <c r="F13">
        <v>1</v>
      </c>
      <c r="G13">
        <v>1</v>
      </c>
      <c r="H13">
        <v>3</v>
      </c>
      <c r="I13" t="s">
        <v>47</v>
      </c>
      <c r="J13" t="s">
        <v>3</v>
      </c>
      <c r="K13" t="s">
        <v>48</v>
      </c>
      <c r="L13">
        <v>1348</v>
      </c>
      <c r="N13">
        <v>1009</v>
      </c>
      <c r="O13" t="s">
        <v>49</v>
      </c>
      <c r="P13" t="s">
        <v>49</v>
      </c>
      <c r="Q13">
        <v>1000</v>
      </c>
      <c r="W13">
        <v>0</v>
      </c>
      <c r="X13">
        <v>2102561428</v>
      </c>
      <c r="Y13">
        <f t="shared" si="0"/>
        <v>10.5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8.9</v>
      </c>
      <c r="AJ13">
        <v>1</v>
      </c>
      <c r="AK13">
        <v>1</v>
      </c>
      <c r="AL13">
        <v>1</v>
      </c>
      <c r="AM13">
        <v>0</v>
      </c>
      <c r="AN13">
        <v>0</v>
      </c>
      <c r="AO13">
        <v>0</v>
      </c>
      <c r="AP13">
        <v>1</v>
      </c>
      <c r="AQ13">
        <v>0</v>
      </c>
      <c r="AR13">
        <v>0</v>
      </c>
      <c r="AS13" t="s">
        <v>3</v>
      </c>
      <c r="AT13">
        <v>10.5</v>
      </c>
      <c r="AU13" t="s">
        <v>3</v>
      </c>
      <c r="AV13">
        <v>0</v>
      </c>
      <c r="AW13">
        <v>2</v>
      </c>
      <c r="AX13">
        <v>145027054</v>
      </c>
      <c r="AY13">
        <v>1</v>
      </c>
      <c r="AZ13">
        <v>0</v>
      </c>
      <c r="BA13">
        <v>14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ROUND(Y13*Source!I34,9)</f>
        <v>0.21</v>
      </c>
      <c r="CY13">
        <f>AA13</f>
        <v>0</v>
      </c>
      <c r="CZ13">
        <f>AE13</f>
        <v>0</v>
      </c>
      <c r="DA13">
        <f>AI13</f>
        <v>8.9</v>
      </c>
      <c r="DB13">
        <f t="shared" si="1"/>
        <v>0</v>
      </c>
      <c r="DC13">
        <f t="shared" si="2"/>
        <v>0</v>
      </c>
      <c r="DD13" t="s">
        <v>3</v>
      </c>
      <c r="DE13" t="s">
        <v>3</v>
      </c>
      <c r="DF13">
        <f>ROUND(ROUND(AE13*AI13,2)*CX13,2)</f>
        <v>0</v>
      </c>
      <c r="DG13">
        <f t="shared" ref="DG13:DG20" si="4">ROUND(ROUND(AF13,2)*CX13,2)</f>
        <v>0</v>
      </c>
      <c r="DH13">
        <f t="shared" ref="DH13:DH19" si="5">ROUND(ROUND(AG13,2)*CX13,2)</f>
        <v>0</v>
      </c>
      <c r="DI13">
        <f>ROUND(ROUND(AH13,2)*CX13,2)</f>
        <v>0</v>
      </c>
      <c r="DJ13">
        <f>DF13</f>
        <v>0</v>
      </c>
      <c r="DK13">
        <v>0</v>
      </c>
      <c r="DL13" t="s">
        <v>3</v>
      </c>
      <c r="DM13">
        <v>0</v>
      </c>
      <c r="DN13" t="s">
        <v>3</v>
      </c>
      <c r="DO13">
        <v>0</v>
      </c>
    </row>
    <row r="14" spans="1:119" x14ac:dyDescent="0.2">
      <c r="A14">
        <f>ROW(Source!A36)</f>
        <v>36</v>
      </c>
      <c r="B14">
        <v>145026783</v>
      </c>
      <c r="C14">
        <v>145027056</v>
      </c>
      <c r="D14">
        <v>140759945</v>
      </c>
      <c r="E14">
        <v>70</v>
      </c>
      <c r="F14">
        <v>1</v>
      </c>
      <c r="G14">
        <v>1</v>
      </c>
      <c r="H14">
        <v>1</v>
      </c>
      <c r="I14" t="s">
        <v>625</v>
      </c>
      <c r="J14" t="s">
        <v>3</v>
      </c>
      <c r="K14" t="s">
        <v>626</v>
      </c>
      <c r="L14">
        <v>1191</v>
      </c>
      <c r="N14">
        <v>1013</v>
      </c>
      <c r="O14" t="s">
        <v>608</v>
      </c>
      <c r="P14" t="s">
        <v>608</v>
      </c>
      <c r="Q14">
        <v>1</v>
      </c>
      <c r="W14">
        <v>0</v>
      </c>
      <c r="X14">
        <v>-366857280</v>
      </c>
      <c r="Y14">
        <f t="shared" si="0"/>
        <v>36.28</v>
      </c>
      <c r="AA14">
        <v>0</v>
      </c>
      <c r="AB14">
        <v>0</v>
      </c>
      <c r="AC14">
        <v>0</v>
      </c>
      <c r="AD14">
        <v>254.16</v>
      </c>
      <c r="AE14">
        <v>0</v>
      </c>
      <c r="AF14">
        <v>0</v>
      </c>
      <c r="AG14">
        <v>0</v>
      </c>
      <c r="AH14">
        <v>7.94</v>
      </c>
      <c r="AI14">
        <v>1</v>
      </c>
      <c r="AJ14">
        <v>1</v>
      </c>
      <c r="AK14">
        <v>1</v>
      </c>
      <c r="AL14">
        <v>32.01</v>
      </c>
      <c r="AM14">
        <v>4</v>
      </c>
      <c r="AN14">
        <v>0</v>
      </c>
      <c r="AO14">
        <v>1</v>
      </c>
      <c r="AP14">
        <v>1</v>
      </c>
      <c r="AQ14">
        <v>0</v>
      </c>
      <c r="AR14">
        <v>0</v>
      </c>
      <c r="AS14" t="s">
        <v>3</v>
      </c>
      <c r="AT14">
        <v>36.28</v>
      </c>
      <c r="AU14" t="s">
        <v>3</v>
      </c>
      <c r="AV14">
        <v>1</v>
      </c>
      <c r="AW14">
        <v>2</v>
      </c>
      <c r="AX14">
        <v>145027059</v>
      </c>
      <c r="AY14">
        <v>1</v>
      </c>
      <c r="AZ14">
        <v>0</v>
      </c>
      <c r="BA14">
        <v>15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ROUND(Y14*Source!I36,9)</f>
        <v>1.066632</v>
      </c>
      <c r="CY14">
        <f>AD14</f>
        <v>254.16</v>
      </c>
      <c r="CZ14">
        <f>AH14</f>
        <v>7.94</v>
      </c>
      <c r="DA14">
        <f>AL14</f>
        <v>32.01</v>
      </c>
      <c r="DB14">
        <f t="shared" si="1"/>
        <v>288.06</v>
      </c>
      <c r="DC14">
        <f t="shared" si="2"/>
        <v>0</v>
      </c>
      <c r="DD14" t="s">
        <v>3</v>
      </c>
      <c r="DE14" t="s">
        <v>3</v>
      </c>
      <c r="DF14">
        <f>ROUND(ROUND(AE14,2)*CX14,2)</f>
        <v>0</v>
      </c>
      <c r="DG14">
        <f t="shared" si="4"/>
        <v>0</v>
      </c>
      <c r="DH14">
        <f t="shared" si="5"/>
        <v>0</v>
      </c>
      <c r="DI14">
        <f>ROUND(ROUND(AH14*AL14,2)*CX14,2)</f>
        <v>271.10000000000002</v>
      </c>
      <c r="DJ14">
        <f>DI14</f>
        <v>271.10000000000002</v>
      </c>
      <c r="DK14">
        <v>0</v>
      </c>
      <c r="DL14" t="s">
        <v>3</v>
      </c>
      <c r="DM14">
        <v>0</v>
      </c>
      <c r="DN14" t="s">
        <v>3</v>
      </c>
      <c r="DO14">
        <v>0</v>
      </c>
    </row>
    <row r="15" spans="1:119" x14ac:dyDescent="0.2">
      <c r="A15">
        <f>ROW(Source!A36)</f>
        <v>36</v>
      </c>
      <c r="B15">
        <v>145026783</v>
      </c>
      <c r="C15">
        <v>145027056</v>
      </c>
      <c r="D15">
        <v>140765020</v>
      </c>
      <c r="E15">
        <v>70</v>
      </c>
      <c r="F15">
        <v>1</v>
      </c>
      <c r="G15">
        <v>1</v>
      </c>
      <c r="H15">
        <v>3</v>
      </c>
      <c r="I15" t="s">
        <v>47</v>
      </c>
      <c r="J15" t="s">
        <v>3</v>
      </c>
      <c r="K15" t="s">
        <v>48</v>
      </c>
      <c r="L15">
        <v>1348</v>
      </c>
      <c r="N15">
        <v>1009</v>
      </c>
      <c r="O15" t="s">
        <v>49</v>
      </c>
      <c r="P15" t="s">
        <v>49</v>
      </c>
      <c r="Q15">
        <v>1000</v>
      </c>
      <c r="W15">
        <v>0</v>
      </c>
      <c r="X15">
        <v>2102561428</v>
      </c>
      <c r="Y15">
        <f t="shared" si="0"/>
        <v>1.18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8.9</v>
      </c>
      <c r="AJ15">
        <v>1</v>
      </c>
      <c r="AK15">
        <v>1</v>
      </c>
      <c r="AL15">
        <v>1</v>
      </c>
      <c r="AM15">
        <v>0</v>
      </c>
      <c r="AN15">
        <v>0</v>
      </c>
      <c r="AO15">
        <v>0</v>
      </c>
      <c r="AP15">
        <v>1</v>
      </c>
      <c r="AQ15">
        <v>0</v>
      </c>
      <c r="AR15">
        <v>0</v>
      </c>
      <c r="AS15" t="s">
        <v>3</v>
      </c>
      <c r="AT15">
        <v>1.18</v>
      </c>
      <c r="AU15" t="s">
        <v>3</v>
      </c>
      <c r="AV15">
        <v>0</v>
      </c>
      <c r="AW15">
        <v>2</v>
      </c>
      <c r="AX15">
        <v>145027060</v>
      </c>
      <c r="AY15">
        <v>1</v>
      </c>
      <c r="AZ15">
        <v>0</v>
      </c>
      <c r="BA15">
        <v>16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ROUND(Y15*Source!I36,9)</f>
        <v>3.4692000000000001E-2</v>
      </c>
      <c r="CY15">
        <f>AA15</f>
        <v>0</v>
      </c>
      <c r="CZ15">
        <f>AE15</f>
        <v>0</v>
      </c>
      <c r="DA15">
        <f>AI15</f>
        <v>8.9</v>
      </c>
      <c r="DB15">
        <f t="shared" si="1"/>
        <v>0</v>
      </c>
      <c r="DC15">
        <f t="shared" si="2"/>
        <v>0</v>
      </c>
      <c r="DD15" t="s">
        <v>3</v>
      </c>
      <c r="DE15" t="s">
        <v>3</v>
      </c>
      <c r="DF15">
        <f>ROUND(ROUND(AE15*AI15,2)*CX15,2)</f>
        <v>0</v>
      </c>
      <c r="DG15">
        <f t="shared" si="4"/>
        <v>0</v>
      </c>
      <c r="DH15">
        <f t="shared" si="5"/>
        <v>0</v>
      </c>
      <c r="DI15">
        <f>ROUND(ROUND(AH15,2)*CX15,2)</f>
        <v>0</v>
      </c>
      <c r="DJ15">
        <f>DF15</f>
        <v>0</v>
      </c>
      <c r="DK15">
        <v>0</v>
      </c>
      <c r="DL15" t="s">
        <v>3</v>
      </c>
      <c r="DM15">
        <v>0</v>
      </c>
      <c r="DN15" t="s">
        <v>3</v>
      </c>
      <c r="DO15">
        <v>0</v>
      </c>
    </row>
    <row r="16" spans="1:119" x14ac:dyDescent="0.2">
      <c r="A16">
        <f>ROW(Source!A38)</f>
        <v>38</v>
      </c>
      <c r="B16">
        <v>145026783</v>
      </c>
      <c r="C16">
        <v>145027109</v>
      </c>
      <c r="D16">
        <v>140759909</v>
      </c>
      <c r="E16">
        <v>70</v>
      </c>
      <c r="F16">
        <v>1</v>
      </c>
      <c r="G16">
        <v>1</v>
      </c>
      <c r="H16">
        <v>1</v>
      </c>
      <c r="I16" t="s">
        <v>627</v>
      </c>
      <c r="J16" t="s">
        <v>3</v>
      </c>
      <c r="K16" t="s">
        <v>628</v>
      </c>
      <c r="L16">
        <v>1191</v>
      </c>
      <c r="N16">
        <v>1013</v>
      </c>
      <c r="O16" t="s">
        <v>608</v>
      </c>
      <c r="P16" t="s">
        <v>608</v>
      </c>
      <c r="Q16">
        <v>1</v>
      </c>
      <c r="W16">
        <v>0</v>
      </c>
      <c r="X16">
        <v>980964037</v>
      </c>
      <c r="Y16">
        <f t="shared" si="0"/>
        <v>0.57999999999999996</v>
      </c>
      <c r="AA16">
        <v>0</v>
      </c>
      <c r="AB16">
        <v>0</v>
      </c>
      <c r="AC16">
        <v>0</v>
      </c>
      <c r="AD16">
        <v>242</v>
      </c>
      <c r="AE16">
        <v>0</v>
      </c>
      <c r="AF16">
        <v>0</v>
      </c>
      <c r="AG16">
        <v>0</v>
      </c>
      <c r="AH16">
        <v>7.56</v>
      </c>
      <c r="AI16">
        <v>1</v>
      </c>
      <c r="AJ16">
        <v>1</v>
      </c>
      <c r="AK16">
        <v>1</v>
      </c>
      <c r="AL16">
        <v>32.01</v>
      </c>
      <c r="AM16">
        <v>4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0.57999999999999996</v>
      </c>
      <c r="AU16" t="s">
        <v>3</v>
      </c>
      <c r="AV16">
        <v>1</v>
      </c>
      <c r="AW16">
        <v>2</v>
      </c>
      <c r="AX16">
        <v>145027117</v>
      </c>
      <c r="AY16">
        <v>1</v>
      </c>
      <c r="AZ16">
        <v>0</v>
      </c>
      <c r="BA16">
        <v>17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ROUND(Y16*Source!I38,9)</f>
        <v>250.56</v>
      </c>
      <c r="CY16">
        <f>AD16</f>
        <v>242</v>
      </c>
      <c r="CZ16">
        <f>AH16</f>
        <v>7.56</v>
      </c>
      <c r="DA16">
        <f>AL16</f>
        <v>32.01</v>
      </c>
      <c r="DB16">
        <f t="shared" si="1"/>
        <v>4.38</v>
      </c>
      <c r="DC16">
        <f t="shared" si="2"/>
        <v>0</v>
      </c>
      <c r="DD16" t="s">
        <v>3</v>
      </c>
      <c r="DE16" t="s">
        <v>3</v>
      </c>
      <c r="DF16">
        <f>ROUND(ROUND(AE16,2)*CX16,2)</f>
        <v>0</v>
      </c>
      <c r="DG16">
        <f t="shared" si="4"/>
        <v>0</v>
      </c>
      <c r="DH16">
        <f t="shared" si="5"/>
        <v>0</v>
      </c>
      <c r="DI16">
        <f>ROUND(ROUND(AH16*AL16,2)*CX16,2)</f>
        <v>60635.519999999997</v>
      </c>
      <c r="DJ16">
        <f>DI16</f>
        <v>60635.519999999997</v>
      </c>
      <c r="DK16">
        <v>0</v>
      </c>
      <c r="DL16" t="s">
        <v>3</v>
      </c>
      <c r="DM16">
        <v>0</v>
      </c>
      <c r="DN16" t="s">
        <v>3</v>
      </c>
      <c r="DO16">
        <v>0</v>
      </c>
    </row>
    <row r="17" spans="1:119" x14ac:dyDescent="0.2">
      <c r="A17">
        <f>ROW(Source!A39)</f>
        <v>39</v>
      </c>
      <c r="B17">
        <v>145026783</v>
      </c>
      <c r="C17">
        <v>145028599</v>
      </c>
      <c r="D17">
        <v>134450423</v>
      </c>
      <c r="E17">
        <v>56</v>
      </c>
      <c r="F17">
        <v>1</v>
      </c>
      <c r="G17">
        <v>1</v>
      </c>
      <c r="H17">
        <v>1</v>
      </c>
      <c r="I17" t="s">
        <v>615</v>
      </c>
      <c r="J17" t="s">
        <v>3</v>
      </c>
      <c r="K17" t="s">
        <v>629</v>
      </c>
      <c r="L17">
        <v>1191</v>
      </c>
      <c r="N17">
        <v>1013</v>
      </c>
      <c r="O17" t="s">
        <v>608</v>
      </c>
      <c r="P17" t="s">
        <v>608</v>
      </c>
      <c r="Q17">
        <v>1</v>
      </c>
      <c r="W17">
        <v>0</v>
      </c>
      <c r="X17">
        <v>735429535</v>
      </c>
      <c r="Y17">
        <f t="shared" si="0"/>
        <v>10.4</v>
      </c>
      <c r="AA17">
        <v>0</v>
      </c>
      <c r="AB17">
        <v>0</v>
      </c>
      <c r="AC17">
        <v>0</v>
      </c>
      <c r="AD17">
        <v>249.68</v>
      </c>
      <c r="AE17">
        <v>0</v>
      </c>
      <c r="AF17">
        <v>0</v>
      </c>
      <c r="AG17">
        <v>0</v>
      </c>
      <c r="AH17">
        <v>7.8</v>
      </c>
      <c r="AI17">
        <v>1</v>
      </c>
      <c r="AJ17">
        <v>1</v>
      </c>
      <c r="AK17">
        <v>1</v>
      </c>
      <c r="AL17">
        <v>32.01</v>
      </c>
      <c r="AM17">
        <v>4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10.4</v>
      </c>
      <c r="AU17" t="s">
        <v>3</v>
      </c>
      <c r="AV17">
        <v>1</v>
      </c>
      <c r="AW17">
        <v>2</v>
      </c>
      <c r="AX17">
        <v>145028600</v>
      </c>
      <c r="AY17">
        <v>1</v>
      </c>
      <c r="AZ17">
        <v>0</v>
      </c>
      <c r="BA17">
        <v>18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ROUND(Y17*Source!I39,9)</f>
        <v>16.89376</v>
      </c>
      <c r="CY17">
        <f>AD17</f>
        <v>249.68</v>
      </c>
      <c r="CZ17">
        <f>AH17</f>
        <v>7.8</v>
      </c>
      <c r="DA17">
        <f>AL17</f>
        <v>32.01</v>
      </c>
      <c r="DB17">
        <f t="shared" si="1"/>
        <v>81.12</v>
      </c>
      <c r="DC17">
        <f t="shared" si="2"/>
        <v>0</v>
      </c>
      <c r="DD17" t="s">
        <v>3</v>
      </c>
      <c r="DE17" t="s">
        <v>3</v>
      </c>
      <c r="DF17">
        <f>ROUND(ROUND(AE17,2)*CX17,2)</f>
        <v>0</v>
      </c>
      <c r="DG17">
        <f t="shared" si="4"/>
        <v>0</v>
      </c>
      <c r="DH17">
        <f t="shared" si="5"/>
        <v>0</v>
      </c>
      <c r="DI17">
        <f>ROUND(ROUND(AH17*AL17,2)*CX17,2)</f>
        <v>4218.03</v>
      </c>
      <c r="DJ17">
        <f>DI17</f>
        <v>4218.03</v>
      </c>
      <c r="DK17">
        <v>0</v>
      </c>
      <c r="DL17" t="s">
        <v>3</v>
      </c>
      <c r="DM17">
        <v>0</v>
      </c>
      <c r="DN17" t="s">
        <v>3</v>
      </c>
      <c r="DO17">
        <v>0</v>
      </c>
    </row>
    <row r="18" spans="1:119" x14ac:dyDescent="0.2">
      <c r="A18">
        <f>ROW(Source!A39)</f>
        <v>39</v>
      </c>
      <c r="B18">
        <v>145026783</v>
      </c>
      <c r="C18">
        <v>145028599</v>
      </c>
      <c r="D18">
        <v>134455487</v>
      </c>
      <c r="E18">
        <v>56</v>
      </c>
      <c r="F18">
        <v>1</v>
      </c>
      <c r="G18">
        <v>1</v>
      </c>
      <c r="H18">
        <v>3</v>
      </c>
      <c r="I18" t="s">
        <v>47</v>
      </c>
      <c r="J18" t="s">
        <v>3</v>
      </c>
      <c r="K18" t="s">
        <v>48</v>
      </c>
      <c r="L18">
        <v>1348</v>
      </c>
      <c r="N18">
        <v>1009</v>
      </c>
      <c r="O18" t="s">
        <v>49</v>
      </c>
      <c r="P18" t="s">
        <v>49</v>
      </c>
      <c r="Q18">
        <v>1000</v>
      </c>
      <c r="W18">
        <v>0</v>
      </c>
      <c r="X18">
        <v>2102561428</v>
      </c>
      <c r="Y18">
        <f t="shared" si="0"/>
        <v>0.03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8.9</v>
      </c>
      <c r="AJ18">
        <v>1</v>
      </c>
      <c r="AK18">
        <v>1</v>
      </c>
      <c r="AL18">
        <v>1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 t="s">
        <v>3</v>
      </c>
      <c r="AT18">
        <v>0.03</v>
      </c>
      <c r="AU18" t="s">
        <v>3</v>
      </c>
      <c r="AV18">
        <v>0</v>
      </c>
      <c r="AW18">
        <v>2</v>
      </c>
      <c r="AX18">
        <v>145028601</v>
      </c>
      <c r="AY18">
        <v>1</v>
      </c>
      <c r="AZ18">
        <v>0</v>
      </c>
      <c r="BA18">
        <v>19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ROUND(Y18*Source!I39,9)</f>
        <v>4.8731999999999998E-2</v>
      </c>
      <c r="CY18">
        <f>AA18</f>
        <v>0</v>
      </c>
      <c r="CZ18">
        <f>AE18</f>
        <v>0</v>
      </c>
      <c r="DA18">
        <f>AI18</f>
        <v>8.9</v>
      </c>
      <c r="DB18">
        <f t="shared" si="1"/>
        <v>0</v>
      </c>
      <c r="DC18">
        <f t="shared" si="2"/>
        <v>0</v>
      </c>
      <c r="DD18" t="s">
        <v>3</v>
      </c>
      <c r="DE18" t="s">
        <v>3</v>
      </c>
      <c r="DF18">
        <f>ROUND(ROUND(AE18*AI18,2)*CX18,2)</f>
        <v>0</v>
      </c>
      <c r="DG18">
        <f t="shared" si="4"/>
        <v>0</v>
      </c>
      <c r="DH18">
        <f t="shared" si="5"/>
        <v>0</v>
      </c>
      <c r="DI18">
        <f>ROUND(ROUND(AH18,2)*CX18,2)</f>
        <v>0</v>
      </c>
      <c r="DJ18">
        <f>DF18</f>
        <v>0</v>
      </c>
      <c r="DK18">
        <v>0</v>
      </c>
      <c r="DL18" t="s">
        <v>3</v>
      </c>
      <c r="DM18">
        <v>0</v>
      </c>
      <c r="DN18" t="s">
        <v>3</v>
      </c>
      <c r="DO18">
        <v>0</v>
      </c>
    </row>
    <row r="19" spans="1:119" x14ac:dyDescent="0.2">
      <c r="A19">
        <f>ROW(Source!A41)</f>
        <v>41</v>
      </c>
      <c r="B19">
        <v>145026783</v>
      </c>
      <c r="C19">
        <v>145040937</v>
      </c>
      <c r="D19">
        <v>140759991</v>
      </c>
      <c r="E19">
        <v>70</v>
      </c>
      <c r="F19">
        <v>1</v>
      </c>
      <c r="G19">
        <v>1</v>
      </c>
      <c r="H19">
        <v>1</v>
      </c>
      <c r="I19" t="s">
        <v>630</v>
      </c>
      <c r="J19" t="s">
        <v>3</v>
      </c>
      <c r="K19" t="s">
        <v>631</v>
      </c>
      <c r="L19">
        <v>1191</v>
      </c>
      <c r="N19">
        <v>1013</v>
      </c>
      <c r="O19" t="s">
        <v>608</v>
      </c>
      <c r="P19" t="s">
        <v>608</v>
      </c>
      <c r="Q19">
        <v>1</v>
      </c>
      <c r="W19">
        <v>0</v>
      </c>
      <c r="X19">
        <v>-112797078</v>
      </c>
      <c r="Y19">
        <f>(AT19*0.8)</f>
        <v>64.616</v>
      </c>
      <c r="AA19">
        <v>0</v>
      </c>
      <c r="AB19">
        <v>0</v>
      </c>
      <c r="AC19">
        <v>0</v>
      </c>
      <c r="AD19">
        <v>287.13</v>
      </c>
      <c r="AE19">
        <v>0</v>
      </c>
      <c r="AF19">
        <v>0</v>
      </c>
      <c r="AG19">
        <v>0</v>
      </c>
      <c r="AH19">
        <v>8.9700000000000006</v>
      </c>
      <c r="AI19">
        <v>1</v>
      </c>
      <c r="AJ19">
        <v>1</v>
      </c>
      <c r="AK19">
        <v>1</v>
      </c>
      <c r="AL19">
        <v>32.01</v>
      </c>
      <c r="AM19">
        <v>4</v>
      </c>
      <c r="AN19">
        <v>0</v>
      </c>
      <c r="AO19">
        <v>1</v>
      </c>
      <c r="AP19">
        <v>1</v>
      </c>
      <c r="AQ19">
        <v>0</v>
      </c>
      <c r="AR19">
        <v>0</v>
      </c>
      <c r="AS19" t="s">
        <v>3</v>
      </c>
      <c r="AT19">
        <v>80.77</v>
      </c>
      <c r="AU19" t="s">
        <v>94</v>
      </c>
      <c r="AV19">
        <v>1</v>
      </c>
      <c r="AW19">
        <v>2</v>
      </c>
      <c r="AX19">
        <v>145040963</v>
      </c>
      <c r="AY19">
        <v>1</v>
      </c>
      <c r="AZ19">
        <v>0</v>
      </c>
      <c r="BA19">
        <v>20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ROUND(Y19*Source!I41,9)</f>
        <v>113.5044656</v>
      </c>
      <c r="CY19">
        <f>AD19</f>
        <v>287.13</v>
      </c>
      <c r="CZ19">
        <f>AH19</f>
        <v>8.9700000000000006</v>
      </c>
      <c r="DA19">
        <f>AL19</f>
        <v>32.01</v>
      </c>
      <c r="DB19">
        <f>ROUND((ROUND(AT19*CZ19,2)*0.8),2)</f>
        <v>579.61</v>
      </c>
      <c r="DC19">
        <f>ROUND((ROUND(AT19*AG19,2)*0.8),2)</f>
        <v>0</v>
      </c>
      <c r="DD19" t="s">
        <v>3</v>
      </c>
      <c r="DE19" t="s">
        <v>3</v>
      </c>
      <c r="DF19">
        <f>ROUND(ROUND(AE19,2)*CX19,2)</f>
        <v>0</v>
      </c>
      <c r="DG19">
        <f t="shared" si="4"/>
        <v>0</v>
      </c>
      <c r="DH19">
        <f t="shared" si="5"/>
        <v>0</v>
      </c>
      <c r="DI19">
        <f>ROUND(ROUND(AH19*AL19,2)*CX19,2)</f>
        <v>32590.54</v>
      </c>
      <c r="DJ19">
        <f>DI19</f>
        <v>32590.54</v>
      </c>
      <c r="DK19">
        <v>0</v>
      </c>
      <c r="DL19" t="s">
        <v>3</v>
      </c>
      <c r="DM19">
        <v>0</v>
      </c>
      <c r="DN19" t="s">
        <v>3</v>
      </c>
      <c r="DO19">
        <v>0</v>
      </c>
    </row>
    <row r="20" spans="1:119" x14ac:dyDescent="0.2">
      <c r="A20">
        <f>ROW(Source!A41)</f>
        <v>41</v>
      </c>
      <c r="B20">
        <v>145026783</v>
      </c>
      <c r="C20">
        <v>145040937</v>
      </c>
      <c r="D20">
        <v>140760225</v>
      </c>
      <c r="E20">
        <v>70</v>
      </c>
      <c r="F20">
        <v>1</v>
      </c>
      <c r="G20">
        <v>1</v>
      </c>
      <c r="H20">
        <v>1</v>
      </c>
      <c r="I20" t="s">
        <v>609</v>
      </c>
      <c r="J20" t="s">
        <v>3</v>
      </c>
      <c r="K20" t="s">
        <v>610</v>
      </c>
      <c r="L20">
        <v>1191</v>
      </c>
      <c r="N20">
        <v>1013</v>
      </c>
      <c r="O20" t="s">
        <v>608</v>
      </c>
      <c r="P20" t="s">
        <v>608</v>
      </c>
      <c r="Q20">
        <v>1</v>
      </c>
      <c r="W20">
        <v>0</v>
      </c>
      <c r="X20">
        <v>-1417349443</v>
      </c>
      <c r="Y20">
        <f>(AT20*0.8)</f>
        <v>0.11200000000000002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32.01</v>
      </c>
      <c r="AL20">
        <v>1</v>
      </c>
      <c r="AM20">
        <v>4</v>
      </c>
      <c r="AN20">
        <v>0</v>
      </c>
      <c r="AO20">
        <v>1</v>
      </c>
      <c r="AP20">
        <v>1</v>
      </c>
      <c r="AQ20">
        <v>0</v>
      </c>
      <c r="AR20">
        <v>0</v>
      </c>
      <c r="AS20" t="s">
        <v>3</v>
      </c>
      <c r="AT20">
        <v>0.14000000000000001</v>
      </c>
      <c r="AU20" t="s">
        <v>94</v>
      </c>
      <c r="AV20">
        <v>2</v>
      </c>
      <c r="AW20">
        <v>2</v>
      </c>
      <c r="AX20">
        <v>145040964</v>
      </c>
      <c r="AY20">
        <v>1</v>
      </c>
      <c r="AZ20">
        <v>0</v>
      </c>
      <c r="BA20">
        <v>21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ROUND(Y20*Source!I41,9)</f>
        <v>0.1967392</v>
      </c>
      <c r="CY20">
        <f>AD20</f>
        <v>0</v>
      </c>
      <c r="CZ20">
        <f>AH20</f>
        <v>0</v>
      </c>
      <c r="DA20">
        <f>AL20</f>
        <v>1</v>
      </c>
      <c r="DB20">
        <f>ROUND((ROUND(AT20*CZ20,2)*0.8),2)</f>
        <v>0</v>
      </c>
      <c r="DC20">
        <f>ROUND((ROUND(AT20*AG20,2)*0.8),2)</f>
        <v>0</v>
      </c>
      <c r="DD20" t="s">
        <v>3</v>
      </c>
      <c r="DE20" t="s">
        <v>3</v>
      </c>
      <c r="DF20">
        <f>ROUND(ROUND(AE20,2)*CX20,2)</f>
        <v>0</v>
      </c>
      <c r="DG20">
        <f t="shared" si="4"/>
        <v>0</v>
      </c>
      <c r="DH20">
        <f>ROUND(ROUND(AG20*AK20,2)*CX20,2)</f>
        <v>0</v>
      </c>
      <c r="DI20">
        <f t="shared" ref="DI20:DI34" si="6">ROUND(ROUND(AH20,2)*CX20,2)</f>
        <v>0</v>
      </c>
      <c r="DJ20">
        <f>DI20</f>
        <v>0</v>
      </c>
      <c r="DK20">
        <v>0</v>
      </c>
      <c r="DL20" t="s">
        <v>3</v>
      </c>
      <c r="DM20">
        <v>0</v>
      </c>
      <c r="DN20" t="s">
        <v>3</v>
      </c>
      <c r="DO20">
        <v>0</v>
      </c>
    </row>
    <row r="21" spans="1:119" x14ac:dyDescent="0.2">
      <c r="A21">
        <f>ROW(Source!A41)</f>
        <v>41</v>
      </c>
      <c r="B21">
        <v>145026783</v>
      </c>
      <c r="C21">
        <v>145040937</v>
      </c>
      <c r="D21">
        <v>140923142</v>
      </c>
      <c r="E21">
        <v>1</v>
      </c>
      <c r="F21">
        <v>1</v>
      </c>
      <c r="G21">
        <v>1</v>
      </c>
      <c r="H21">
        <v>2</v>
      </c>
      <c r="I21" t="s">
        <v>632</v>
      </c>
      <c r="J21" t="s">
        <v>633</v>
      </c>
      <c r="K21" t="s">
        <v>634</v>
      </c>
      <c r="L21">
        <v>1367</v>
      </c>
      <c r="N21">
        <v>1011</v>
      </c>
      <c r="O21" t="s">
        <v>614</v>
      </c>
      <c r="P21" t="s">
        <v>614</v>
      </c>
      <c r="Q21">
        <v>1</v>
      </c>
      <c r="W21">
        <v>0</v>
      </c>
      <c r="X21">
        <v>-777582489</v>
      </c>
      <c r="Y21">
        <f>(AT21*0.8)</f>
        <v>0.11200000000000002</v>
      </c>
      <c r="AA21">
        <v>0</v>
      </c>
      <c r="AB21">
        <v>302.67</v>
      </c>
      <c r="AC21">
        <v>322.02</v>
      </c>
      <c r="AD21">
        <v>0</v>
      </c>
      <c r="AE21">
        <v>0</v>
      </c>
      <c r="AF21">
        <v>24.33</v>
      </c>
      <c r="AG21">
        <v>10.06</v>
      </c>
      <c r="AH21">
        <v>0</v>
      </c>
      <c r="AI21">
        <v>1</v>
      </c>
      <c r="AJ21">
        <v>12.44</v>
      </c>
      <c r="AK21">
        <v>32.01</v>
      </c>
      <c r="AL21">
        <v>1</v>
      </c>
      <c r="AM21">
        <v>4</v>
      </c>
      <c r="AN21">
        <v>0</v>
      </c>
      <c r="AO21">
        <v>1</v>
      </c>
      <c r="AP21">
        <v>1</v>
      </c>
      <c r="AQ21">
        <v>0</v>
      </c>
      <c r="AR21">
        <v>0</v>
      </c>
      <c r="AS21" t="s">
        <v>3</v>
      </c>
      <c r="AT21">
        <v>0.14000000000000001</v>
      </c>
      <c r="AU21" t="s">
        <v>94</v>
      </c>
      <c r="AV21">
        <v>0</v>
      </c>
      <c r="AW21">
        <v>2</v>
      </c>
      <c r="AX21">
        <v>145040965</v>
      </c>
      <c r="AY21">
        <v>1</v>
      </c>
      <c r="AZ21">
        <v>0</v>
      </c>
      <c r="BA21">
        <v>22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ROUND(Y21*Source!I41,9)</f>
        <v>0.1967392</v>
      </c>
      <c r="CY21">
        <f>AB21</f>
        <v>302.67</v>
      </c>
      <c r="CZ21">
        <f>AF21</f>
        <v>24.33</v>
      </c>
      <c r="DA21">
        <f>AJ21</f>
        <v>12.44</v>
      </c>
      <c r="DB21">
        <f>ROUND((ROUND(AT21*CZ21,2)*0.8),2)</f>
        <v>2.73</v>
      </c>
      <c r="DC21">
        <f>ROUND((ROUND(AT21*AG21,2)*0.8),2)</f>
        <v>1.1299999999999999</v>
      </c>
      <c r="DD21" t="s">
        <v>3</v>
      </c>
      <c r="DE21" t="s">
        <v>3</v>
      </c>
      <c r="DF21">
        <f>ROUND(ROUND(AE21,2)*CX21,2)</f>
        <v>0</v>
      </c>
      <c r="DG21">
        <f>ROUND(ROUND(AF21*AJ21,2)*CX21,2)</f>
        <v>59.55</v>
      </c>
      <c r="DH21">
        <f>ROUND(ROUND(AG21*AK21,2)*CX21,2)</f>
        <v>63.35</v>
      </c>
      <c r="DI21">
        <f t="shared" si="6"/>
        <v>0</v>
      </c>
      <c r="DJ21">
        <f>DG21</f>
        <v>59.55</v>
      </c>
      <c r="DK21">
        <v>0</v>
      </c>
      <c r="DL21" t="s">
        <v>3</v>
      </c>
      <c r="DM21">
        <v>0</v>
      </c>
      <c r="DN21" t="s">
        <v>3</v>
      </c>
      <c r="DO21">
        <v>0</v>
      </c>
    </row>
    <row r="22" spans="1:119" x14ac:dyDescent="0.2">
      <c r="A22">
        <f>ROW(Source!A41)</f>
        <v>41</v>
      </c>
      <c r="B22">
        <v>145026783</v>
      </c>
      <c r="C22">
        <v>145040937</v>
      </c>
      <c r="D22">
        <v>140772680</v>
      </c>
      <c r="E22">
        <v>1</v>
      </c>
      <c r="F22">
        <v>1</v>
      </c>
      <c r="G22">
        <v>1</v>
      </c>
      <c r="H22">
        <v>3</v>
      </c>
      <c r="I22" t="s">
        <v>635</v>
      </c>
      <c r="J22" t="s">
        <v>636</v>
      </c>
      <c r="K22" t="s">
        <v>637</v>
      </c>
      <c r="L22">
        <v>1339</v>
      </c>
      <c r="N22">
        <v>1007</v>
      </c>
      <c r="O22" t="s">
        <v>638</v>
      </c>
      <c r="P22" t="s">
        <v>638</v>
      </c>
      <c r="Q22">
        <v>1</v>
      </c>
      <c r="W22">
        <v>0</v>
      </c>
      <c r="X22">
        <v>-143474561</v>
      </c>
      <c r="Y22">
        <f t="shared" ref="Y22:Y34" si="7">(AT22*0)</f>
        <v>0</v>
      </c>
      <c r="AA22">
        <v>21.72</v>
      </c>
      <c r="AB22">
        <v>0</v>
      </c>
      <c r="AC22">
        <v>0</v>
      </c>
      <c r="AD22">
        <v>0</v>
      </c>
      <c r="AE22">
        <v>2.44</v>
      </c>
      <c r="AF22">
        <v>0</v>
      </c>
      <c r="AG22">
        <v>0</v>
      </c>
      <c r="AH22">
        <v>0</v>
      </c>
      <c r="AI22">
        <v>8.9</v>
      </c>
      <c r="AJ22">
        <v>1</v>
      </c>
      <c r="AK22">
        <v>1</v>
      </c>
      <c r="AL22">
        <v>1</v>
      </c>
      <c r="AM22">
        <v>4</v>
      </c>
      <c r="AN22">
        <v>0</v>
      </c>
      <c r="AO22">
        <v>1</v>
      </c>
      <c r="AP22">
        <v>1</v>
      </c>
      <c r="AQ22">
        <v>0</v>
      </c>
      <c r="AR22">
        <v>0</v>
      </c>
      <c r="AS22" t="s">
        <v>3</v>
      </c>
      <c r="AT22">
        <v>3.5000000000000003E-2</v>
      </c>
      <c r="AU22" t="s">
        <v>93</v>
      </c>
      <c r="AV22">
        <v>0</v>
      </c>
      <c r="AW22">
        <v>2</v>
      </c>
      <c r="AX22">
        <v>145040967</v>
      </c>
      <c r="AY22">
        <v>1</v>
      </c>
      <c r="AZ22">
        <v>0</v>
      </c>
      <c r="BA22">
        <v>24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ROUND(Y22*Source!I41,9)</f>
        <v>0</v>
      </c>
      <c r="CY22">
        <f t="shared" ref="CY22:CY34" si="8">AA22</f>
        <v>21.72</v>
      </c>
      <c r="CZ22">
        <f t="shared" ref="CZ22:CZ34" si="9">AE22</f>
        <v>2.44</v>
      </c>
      <c r="DA22">
        <f t="shared" ref="DA22:DA34" si="10">AI22</f>
        <v>8.9</v>
      </c>
      <c r="DB22">
        <f t="shared" ref="DB22:DB34" si="11">ROUND((ROUND(AT22*CZ22,2)*0),2)</f>
        <v>0</v>
      </c>
      <c r="DC22">
        <f t="shared" ref="DC22:DC34" si="12">ROUND((ROUND(AT22*AG22,2)*0),2)</f>
        <v>0</v>
      </c>
      <c r="DD22" t="s">
        <v>3</v>
      </c>
      <c r="DE22" t="s">
        <v>3</v>
      </c>
      <c r="DF22">
        <f t="shared" ref="DF22:DF34" si="13">ROUND(ROUND(AE22*AI22,2)*CX22,2)</f>
        <v>0</v>
      </c>
      <c r="DG22">
        <f t="shared" ref="DG22:DG36" si="14">ROUND(ROUND(AF22,2)*CX22,2)</f>
        <v>0</v>
      </c>
      <c r="DH22">
        <f t="shared" ref="DH22:DH35" si="15">ROUND(ROUND(AG22,2)*CX22,2)</f>
        <v>0</v>
      </c>
      <c r="DI22">
        <f t="shared" si="6"/>
        <v>0</v>
      </c>
      <c r="DJ22">
        <f t="shared" ref="DJ22:DJ34" si="16">DF22</f>
        <v>0</v>
      </c>
      <c r="DK22">
        <v>0</v>
      </c>
      <c r="DL22" t="s">
        <v>3</v>
      </c>
      <c r="DM22">
        <v>0</v>
      </c>
      <c r="DN22" t="s">
        <v>3</v>
      </c>
      <c r="DO22">
        <v>0</v>
      </c>
    </row>
    <row r="23" spans="1:119" x14ac:dyDescent="0.2">
      <c r="A23">
        <f>ROW(Source!A41)</f>
        <v>41</v>
      </c>
      <c r="B23">
        <v>145026783</v>
      </c>
      <c r="C23">
        <v>145040937</v>
      </c>
      <c r="D23">
        <v>140772927</v>
      </c>
      <c r="E23">
        <v>1</v>
      </c>
      <c r="F23">
        <v>1</v>
      </c>
      <c r="G23">
        <v>1</v>
      </c>
      <c r="H23">
        <v>3</v>
      </c>
      <c r="I23" t="s">
        <v>639</v>
      </c>
      <c r="J23" t="s">
        <v>640</v>
      </c>
      <c r="K23" t="s">
        <v>641</v>
      </c>
      <c r="L23">
        <v>1301</v>
      </c>
      <c r="N23">
        <v>1003</v>
      </c>
      <c r="O23" t="s">
        <v>191</v>
      </c>
      <c r="P23" t="s">
        <v>191</v>
      </c>
      <c r="Q23">
        <v>1</v>
      </c>
      <c r="W23">
        <v>0</v>
      </c>
      <c r="X23">
        <v>2073110045</v>
      </c>
      <c r="Y23">
        <f t="shared" si="7"/>
        <v>0</v>
      </c>
      <c r="AA23">
        <v>5.34</v>
      </c>
      <c r="AB23">
        <v>0</v>
      </c>
      <c r="AC23">
        <v>0</v>
      </c>
      <c r="AD23">
        <v>0</v>
      </c>
      <c r="AE23">
        <v>0.6</v>
      </c>
      <c r="AF23">
        <v>0</v>
      </c>
      <c r="AG23">
        <v>0</v>
      </c>
      <c r="AH23">
        <v>0</v>
      </c>
      <c r="AI23">
        <v>8.9</v>
      </c>
      <c r="AJ23">
        <v>1</v>
      </c>
      <c r="AK23">
        <v>1</v>
      </c>
      <c r="AL23">
        <v>1</v>
      </c>
      <c r="AM23">
        <v>4</v>
      </c>
      <c r="AN23">
        <v>0</v>
      </c>
      <c r="AO23">
        <v>1</v>
      </c>
      <c r="AP23">
        <v>1</v>
      </c>
      <c r="AQ23">
        <v>0</v>
      </c>
      <c r="AR23">
        <v>0</v>
      </c>
      <c r="AS23" t="s">
        <v>3</v>
      </c>
      <c r="AT23">
        <v>93.81</v>
      </c>
      <c r="AU23" t="s">
        <v>93</v>
      </c>
      <c r="AV23">
        <v>0</v>
      </c>
      <c r="AW23">
        <v>2</v>
      </c>
      <c r="AX23">
        <v>145040968</v>
      </c>
      <c r="AY23">
        <v>1</v>
      </c>
      <c r="AZ23">
        <v>0</v>
      </c>
      <c r="BA23">
        <v>25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ROUND(Y23*Source!I41,9)</f>
        <v>0</v>
      </c>
      <c r="CY23">
        <f t="shared" si="8"/>
        <v>5.34</v>
      </c>
      <c r="CZ23">
        <f t="shared" si="9"/>
        <v>0.6</v>
      </c>
      <c r="DA23">
        <f t="shared" si="10"/>
        <v>8.9</v>
      </c>
      <c r="DB23">
        <f t="shared" si="11"/>
        <v>0</v>
      </c>
      <c r="DC23">
        <f t="shared" si="12"/>
        <v>0</v>
      </c>
      <c r="DD23" t="s">
        <v>3</v>
      </c>
      <c r="DE23" t="s">
        <v>3</v>
      </c>
      <c r="DF23">
        <f t="shared" si="13"/>
        <v>0</v>
      </c>
      <c r="DG23">
        <f t="shared" si="14"/>
        <v>0</v>
      </c>
      <c r="DH23">
        <f t="shared" si="15"/>
        <v>0</v>
      </c>
      <c r="DI23">
        <f t="shared" si="6"/>
        <v>0</v>
      </c>
      <c r="DJ23">
        <f t="shared" si="16"/>
        <v>0</v>
      </c>
      <c r="DK23">
        <v>0</v>
      </c>
      <c r="DL23" t="s">
        <v>3</v>
      </c>
      <c r="DM23">
        <v>0</v>
      </c>
      <c r="DN23" t="s">
        <v>3</v>
      </c>
      <c r="DO23">
        <v>0</v>
      </c>
    </row>
    <row r="24" spans="1:119" x14ac:dyDescent="0.2">
      <c r="A24">
        <f>ROW(Source!A41)</f>
        <v>41</v>
      </c>
      <c r="B24">
        <v>145026783</v>
      </c>
      <c r="C24">
        <v>145040937</v>
      </c>
      <c r="D24">
        <v>140772954</v>
      </c>
      <c r="E24">
        <v>1</v>
      </c>
      <c r="F24">
        <v>1</v>
      </c>
      <c r="G24">
        <v>1</v>
      </c>
      <c r="H24">
        <v>3</v>
      </c>
      <c r="I24" t="s">
        <v>642</v>
      </c>
      <c r="J24" t="s">
        <v>643</v>
      </c>
      <c r="K24" t="s">
        <v>644</v>
      </c>
      <c r="L24">
        <v>1301</v>
      </c>
      <c r="N24">
        <v>1003</v>
      </c>
      <c r="O24" t="s">
        <v>191</v>
      </c>
      <c r="P24" t="s">
        <v>191</v>
      </c>
      <c r="Q24">
        <v>1</v>
      </c>
      <c r="W24">
        <v>0</v>
      </c>
      <c r="X24">
        <v>-1512342129</v>
      </c>
      <c r="Y24">
        <f t="shared" si="7"/>
        <v>0</v>
      </c>
      <c r="AA24">
        <v>1.51</v>
      </c>
      <c r="AB24">
        <v>0</v>
      </c>
      <c r="AC24">
        <v>0</v>
      </c>
      <c r="AD24">
        <v>0</v>
      </c>
      <c r="AE24">
        <v>0.17</v>
      </c>
      <c r="AF24">
        <v>0</v>
      </c>
      <c r="AG24">
        <v>0</v>
      </c>
      <c r="AH24">
        <v>0</v>
      </c>
      <c r="AI24">
        <v>8.9</v>
      </c>
      <c r="AJ24">
        <v>1</v>
      </c>
      <c r="AK24">
        <v>1</v>
      </c>
      <c r="AL24">
        <v>1</v>
      </c>
      <c r="AM24">
        <v>4</v>
      </c>
      <c r="AN24">
        <v>0</v>
      </c>
      <c r="AO24">
        <v>1</v>
      </c>
      <c r="AP24">
        <v>1</v>
      </c>
      <c r="AQ24">
        <v>0</v>
      </c>
      <c r="AR24">
        <v>0</v>
      </c>
      <c r="AS24" t="s">
        <v>3</v>
      </c>
      <c r="AT24">
        <v>130</v>
      </c>
      <c r="AU24" t="s">
        <v>93</v>
      </c>
      <c r="AV24">
        <v>0</v>
      </c>
      <c r="AW24">
        <v>2</v>
      </c>
      <c r="AX24">
        <v>145040969</v>
      </c>
      <c r="AY24">
        <v>1</v>
      </c>
      <c r="AZ24">
        <v>0</v>
      </c>
      <c r="BA24">
        <v>26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ROUND(Y24*Source!I41,9)</f>
        <v>0</v>
      </c>
      <c r="CY24">
        <f t="shared" si="8"/>
        <v>1.51</v>
      </c>
      <c r="CZ24">
        <f t="shared" si="9"/>
        <v>0.17</v>
      </c>
      <c r="DA24">
        <f t="shared" si="10"/>
        <v>8.9</v>
      </c>
      <c r="DB24">
        <f t="shared" si="11"/>
        <v>0</v>
      </c>
      <c r="DC24">
        <f t="shared" si="12"/>
        <v>0</v>
      </c>
      <c r="DD24" t="s">
        <v>3</v>
      </c>
      <c r="DE24" t="s">
        <v>3</v>
      </c>
      <c r="DF24">
        <f t="shared" si="13"/>
        <v>0</v>
      </c>
      <c r="DG24">
        <f t="shared" si="14"/>
        <v>0</v>
      </c>
      <c r="DH24">
        <f t="shared" si="15"/>
        <v>0</v>
      </c>
      <c r="DI24">
        <f t="shared" si="6"/>
        <v>0</v>
      </c>
      <c r="DJ24">
        <f t="shared" si="16"/>
        <v>0</v>
      </c>
      <c r="DK24">
        <v>0</v>
      </c>
      <c r="DL24" t="s">
        <v>3</v>
      </c>
      <c r="DM24">
        <v>0</v>
      </c>
      <c r="DN24" t="s">
        <v>3</v>
      </c>
      <c r="DO24">
        <v>0</v>
      </c>
    </row>
    <row r="25" spans="1:119" x14ac:dyDescent="0.2">
      <c r="A25">
        <f>ROW(Source!A41)</f>
        <v>41</v>
      </c>
      <c r="B25">
        <v>145026783</v>
      </c>
      <c r="C25">
        <v>145040937</v>
      </c>
      <c r="D25">
        <v>140772959</v>
      </c>
      <c r="E25">
        <v>1</v>
      </c>
      <c r="F25">
        <v>1</v>
      </c>
      <c r="G25">
        <v>1</v>
      </c>
      <c r="H25">
        <v>3</v>
      </c>
      <c r="I25" t="s">
        <v>645</v>
      </c>
      <c r="J25" t="s">
        <v>646</v>
      </c>
      <c r="K25" t="s">
        <v>647</v>
      </c>
      <c r="L25">
        <v>1308</v>
      </c>
      <c r="N25">
        <v>1003</v>
      </c>
      <c r="O25" t="s">
        <v>53</v>
      </c>
      <c r="P25" t="s">
        <v>53</v>
      </c>
      <c r="Q25">
        <v>100</v>
      </c>
      <c r="W25">
        <v>0</v>
      </c>
      <c r="X25">
        <v>1983229322</v>
      </c>
      <c r="Y25">
        <f t="shared" si="7"/>
        <v>0</v>
      </c>
      <c r="AA25">
        <v>1539.7</v>
      </c>
      <c r="AB25">
        <v>0</v>
      </c>
      <c r="AC25">
        <v>0</v>
      </c>
      <c r="AD25">
        <v>0</v>
      </c>
      <c r="AE25">
        <v>173</v>
      </c>
      <c r="AF25">
        <v>0</v>
      </c>
      <c r="AG25">
        <v>0</v>
      </c>
      <c r="AH25">
        <v>0</v>
      </c>
      <c r="AI25">
        <v>8.9</v>
      </c>
      <c r="AJ25">
        <v>1</v>
      </c>
      <c r="AK25">
        <v>1</v>
      </c>
      <c r="AL25">
        <v>1</v>
      </c>
      <c r="AM25">
        <v>4</v>
      </c>
      <c r="AN25">
        <v>0</v>
      </c>
      <c r="AO25">
        <v>1</v>
      </c>
      <c r="AP25">
        <v>1</v>
      </c>
      <c r="AQ25">
        <v>0</v>
      </c>
      <c r="AR25">
        <v>0</v>
      </c>
      <c r="AS25" t="s">
        <v>3</v>
      </c>
      <c r="AT25">
        <v>0.33329999999999999</v>
      </c>
      <c r="AU25" t="s">
        <v>93</v>
      </c>
      <c r="AV25">
        <v>0</v>
      </c>
      <c r="AW25">
        <v>2</v>
      </c>
      <c r="AX25">
        <v>145040970</v>
      </c>
      <c r="AY25">
        <v>1</v>
      </c>
      <c r="AZ25">
        <v>0</v>
      </c>
      <c r="BA25">
        <v>27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ROUND(Y25*Source!I41,9)</f>
        <v>0</v>
      </c>
      <c r="CY25">
        <f t="shared" si="8"/>
        <v>1539.7</v>
      </c>
      <c r="CZ25">
        <f t="shared" si="9"/>
        <v>173</v>
      </c>
      <c r="DA25">
        <f t="shared" si="10"/>
        <v>8.9</v>
      </c>
      <c r="DB25">
        <f t="shared" si="11"/>
        <v>0</v>
      </c>
      <c r="DC25">
        <f t="shared" si="12"/>
        <v>0</v>
      </c>
      <c r="DD25" t="s">
        <v>3</v>
      </c>
      <c r="DE25" t="s">
        <v>3</v>
      </c>
      <c r="DF25">
        <f t="shared" si="13"/>
        <v>0</v>
      </c>
      <c r="DG25">
        <f t="shared" si="14"/>
        <v>0</v>
      </c>
      <c r="DH25">
        <f t="shared" si="15"/>
        <v>0</v>
      </c>
      <c r="DI25">
        <f t="shared" si="6"/>
        <v>0</v>
      </c>
      <c r="DJ25">
        <f t="shared" si="16"/>
        <v>0</v>
      </c>
      <c r="DK25">
        <v>0</v>
      </c>
      <c r="DL25" t="s">
        <v>3</v>
      </c>
      <c r="DM25">
        <v>0</v>
      </c>
      <c r="DN25" t="s">
        <v>3</v>
      </c>
      <c r="DO25">
        <v>0</v>
      </c>
    </row>
    <row r="26" spans="1:119" x14ac:dyDescent="0.2">
      <c r="A26">
        <f>ROW(Source!A41)</f>
        <v>41</v>
      </c>
      <c r="B26">
        <v>145026783</v>
      </c>
      <c r="C26">
        <v>145040937</v>
      </c>
      <c r="D26">
        <v>140775228</v>
      </c>
      <c r="E26">
        <v>1</v>
      </c>
      <c r="F26">
        <v>1</v>
      </c>
      <c r="G26">
        <v>1</v>
      </c>
      <c r="H26">
        <v>3</v>
      </c>
      <c r="I26" t="s">
        <v>648</v>
      </c>
      <c r="J26" t="s">
        <v>649</v>
      </c>
      <c r="K26" t="s">
        <v>650</v>
      </c>
      <c r="L26">
        <v>1425</v>
      </c>
      <c r="N26">
        <v>1013</v>
      </c>
      <c r="O26" t="s">
        <v>21</v>
      </c>
      <c r="P26" t="s">
        <v>21</v>
      </c>
      <c r="Q26">
        <v>1</v>
      </c>
      <c r="W26">
        <v>0</v>
      </c>
      <c r="X26">
        <v>1343353334</v>
      </c>
      <c r="Y26">
        <f t="shared" si="7"/>
        <v>0</v>
      </c>
      <c r="AA26">
        <v>71.2</v>
      </c>
      <c r="AB26">
        <v>0</v>
      </c>
      <c r="AC26">
        <v>0</v>
      </c>
      <c r="AD26">
        <v>0</v>
      </c>
      <c r="AE26">
        <v>8</v>
      </c>
      <c r="AF26">
        <v>0</v>
      </c>
      <c r="AG26">
        <v>0</v>
      </c>
      <c r="AH26">
        <v>0</v>
      </c>
      <c r="AI26">
        <v>8.9</v>
      </c>
      <c r="AJ26">
        <v>1</v>
      </c>
      <c r="AK26">
        <v>1</v>
      </c>
      <c r="AL26">
        <v>1</v>
      </c>
      <c r="AM26">
        <v>4</v>
      </c>
      <c r="AN26">
        <v>0</v>
      </c>
      <c r="AO26">
        <v>1</v>
      </c>
      <c r="AP26">
        <v>1</v>
      </c>
      <c r="AQ26">
        <v>0</v>
      </c>
      <c r="AR26">
        <v>0</v>
      </c>
      <c r="AS26" t="s">
        <v>3</v>
      </c>
      <c r="AT26">
        <v>3.53</v>
      </c>
      <c r="AU26" t="s">
        <v>93</v>
      </c>
      <c r="AV26">
        <v>0</v>
      </c>
      <c r="AW26">
        <v>2</v>
      </c>
      <c r="AX26">
        <v>145040971</v>
      </c>
      <c r="AY26">
        <v>1</v>
      </c>
      <c r="AZ26">
        <v>0</v>
      </c>
      <c r="BA26">
        <v>28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ROUND(Y26*Source!I41,9)</f>
        <v>0</v>
      </c>
      <c r="CY26">
        <f t="shared" si="8"/>
        <v>71.2</v>
      </c>
      <c r="CZ26">
        <f t="shared" si="9"/>
        <v>8</v>
      </c>
      <c r="DA26">
        <f t="shared" si="10"/>
        <v>8.9</v>
      </c>
      <c r="DB26">
        <f t="shared" si="11"/>
        <v>0</v>
      </c>
      <c r="DC26">
        <f t="shared" si="12"/>
        <v>0</v>
      </c>
      <c r="DD26" t="s">
        <v>3</v>
      </c>
      <c r="DE26" t="s">
        <v>3</v>
      </c>
      <c r="DF26">
        <f t="shared" si="13"/>
        <v>0</v>
      </c>
      <c r="DG26">
        <f t="shared" si="14"/>
        <v>0</v>
      </c>
      <c r="DH26">
        <f t="shared" si="15"/>
        <v>0</v>
      </c>
      <c r="DI26">
        <f t="shared" si="6"/>
        <v>0</v>
      </c>
      <c r="DJ26">
        <f t="shared" si="16"/>
        <v>0</v>
      </c>
      <c r="DK26">
        <v>0</v>
      </c>
      <c r="DL26" t="s">
        <v>3</v>
      </c>
      <c r="DM26">
        <v>0</v>
      </c>
      <c r="DN26" t="s">
        <v>3</v>
      </c>
      <c r="DO26">
        <v>0</v>
      </c>
    </row>
    <row r="27" spans="1:119" x14ac:dyDescent="0.2">
      <c r="A27">
        <f>ROW(Source!A41)</f>
        <v>41</v>
      </c>
      <c r="B27">
        <v>145026783</v>
      </c>
      <c r="C27">
        <v>145040937</v>
      </c>
      <c r="D27">
        <v>140775473</v>
      </c>
      <c r="E27">
        <v>1</v>
      </c>
      <c r="F27">
        <v>1</v>
      </c>
      <c r="G27">
        <v>1</v>
      </c>
      <c r="H27">
        <v>3</v>
      </c>
      <c r="I27" t="s">
        <v>651</v>
      </c>
      <c r="J27" t="s">
        <v>652</v>
      </c>
      <c r="K27" t="s">
        <v>653</v>
      </c>
      <c r="L27">
        <v>1425</v>
      </c>
      <c r="N27">
        <v>1013</v>
      </c>
      <c r="O27" t="s">
        <v>21</v>
      </c>
      <c r="P27" t="s">
        <v>21</v>
      </c>
      <c r="Q27">
        <v>1</v>
      </c>
      <c r="W27">
        <v>0</v>
      </c>
      <c r="X27">
        <v>-484105456</v>
      </c>
      <c r="Y27">
        <f t="shared" si="7"/>
        <v>0</v>
      </c>
      <c r="AA27">
        <v>17.8</v>
      </c>
      <c r="AB27">
        <v>0</v>
      </c>
      <c r="AC27">
        <v>0</v>
      </c>
      <c r="AD27">
        <v>0</v>
      </c>
      <c r="AE27">
        <v>2</v>
      </c>
      <c r="AF27">
        <v>0</v>
      </c>
      <c r="AG27">
        <v>0</v>
      </c>
      <c r="AH27">
        <v>0</v>
      </c>
      <c r="AI27">
        <v>8.9</v>
      </c>
      <c r="AJ27">
        <v>1</v>
      </c>
      <c r="AK27">
        <v>1</v>
      </c>
      <c r="AL27">
        <v>1</v>
      </c>
      <c r="AM27">
        <v>4</v>
      </c>
      <c r="AN27">
        <v>0</v>
      </c>
      <c r="AO27">
        <v>1</v>
      </c>
      <c r="AP27">
        <v>1</v>
      </c>
      <c r="AQ27">
        <v>0</v>
      </c>
      <c r="AR27">
        <v>0</v>
      </c>
      <c r="AS27" t="s">
        <v>3</v>
      </c>
      <c r="AT27">
        <v>4.29</v>
      </c>
      <c r="AU27" t="s">
        <v>93</v>
      </c>
      <c r="AV27">
        <v>0</v>
      </c>
      <c r="AW27">
        <v>2</v>
      </c>
      <c r="AX27">
        <v>145040972</v>
      </c>
      <c r="AY27">
        <v>1</v>
      </c>
      <c r="AZ27">
        <v>0</v>
      </c>
      <c r="BA27">
        <v>29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ROUND(Y27*Source!I41,9)</f>
        <v>0</v>
      </c>
      <c r="CY27">
        <f t="shared" si="8"/>
        <v>17.8</v>
      </c>
      <c r="CZ27">
        <f t="shared" si="9"/>
        <v>2</v>
      </c>
      <c r="DA27">
        <f t="shared" si="10"/>
        <v>8.9</v>
      </c>
      <c r="DB27">
        <f t="shared" si="11"/>
        <v>0</v>
      </c>
      <c r="DC27">
        <f t="shared" si="12"/>
        <v>0</v>
      </c>
      <c r="DD27" t="s">
        <v>3</v>
      </c>
      <c r="DE27" t="s">
        <v>3</v>
      </c>
      <c r="DF27">
        <f t="shared" si="13"/>
        <v>0</v>
      </c>
      <c r="DG27">
        <f t="shared" si="14"/>
        <v>0</v>
      </c>
      <c r="DH27">
        <f t="shared" si="15"/>
        <v>0</v>
      </c>
      <c r="DI27">
        <f t="shared" si="6"/>
        <v>0</v>
      </c>
      <c r="DJ27">
        <f t="shared" si="16"/>
        <v>0</v>
      </c>
      <c r="DK27">
        <v>0</v>
      </c>
      <c r="DL27" t="s">
        <v>3</v>
      </c>
      <c r="DM27">
        <v>0</v>
      </c>
      <c r="DN27" t="s">
        <v>3</v>
      </c>
      <c r="DO27">
        <v>0</v>
      </c>
    </row>
    <row r="28" spans="1:119" x14ac:dyDescent="0.2">
      <c r="A28">
        <f>ROW(Source!A41)</f>
        <v>41</v>
      </c>
      <c r="B28">
        <v>145026783</v>
      </c>
      <c r="C28">
        <v>145040937</v>
      </c>
      <c r="D28">
        <v>140775475</v>
      </c>
      <c r="E28">
        <v>1</v>
      </c>
      <c r="F28">
        <v>1</v>
      </c>
      <c r="G28">
        <v>1</v>
      </c>
      <c r="H28">
        <v>3</v>
      </c>
      <c r="I28" t="s">
        <v>654</v>
      </c>
      <c r="J28" t="s">
        <v>655</v>
      </c>
      <c r="K28" t="s">
        <v>656</v>
      </c>
      <c r="L28">
        <v>1425</v>
      </c>
      <c r="N28">
        <v>1013</v>
      </c>
      <c r="O28" t="s">
        <v>21</v>
      </c>
      <c r="P28" t="s">
        <v>21</v>
      </c>
      <c r="Q28">
        <v>1</v>
      </c>
      <c r="W28">
        <v>0</v>
      </c>
      <c r="X28">
        <v>-1809508750</v>
      </c>
      <c r="Y28">
        <f t="shared" si="7"/>
        <v>0</v>
      </c>
      <c r="AA28">
        <v>17.8</v>
      </c>
      <c r="AB28">
        <v>0</v>
      </c>
      <c r="AC28">
        <v>0</v>
      </c>
      <c r="AD28">
        <v>0</v>
      </c>
      <c r="AE28">
        <v>2</v>
      </c>
      <c r="AF28">
        <v>0</v>
      </c>
      <c r="AG28">
        <v>0</v>
      </c>
      <c r="AH28">
        <v>0</v>
      </c>
      <c r="AI28">
        <v>8.9</v>
      </c>
      <c r="AJ28">
        <v>1</v>
      </c>
      <c r="AK28">
        <v>1</v>
      </c>
      <c r="AL28">
        <v>1</v>
      </c>
      <c r="AM28">
        <v>4</v>
      </c>
      <c r="AN28">
        <v>0</v>
      </c>
      <c r="AO28">
        <v>1</v>
      </c>
      <c r="AP28">
        <v>1</v>
      </c>
      <c r="AQ28">
        <v>0</v>
      </c>
      <c r="AR28">
        <v>0</v>
      </c>
      <c r="AS28" t="s">
        <v>3</v>
      </c>
      <c r="AT28">
        <v>16.670000000000002</v>
      </c>
      <c r="AU28" t="s">
        <v>93</v>
      </c>
      <c r="AV28">
        <v>0</v>
      </c>
      <c r="AW28">
        <v>2</v>
      </c>
      <c r="AX28">
        <v>145040973</v>
      </c>
      <c r="AY28">
        <v>1</v>
      </c>
      <c r="AZ28">
        <v>0</v>
      </c>
      <c r="BA28">
        <v>30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ROUND(Y28*Source!I41,9)</f>
        <v>0</v>
      </c>
      <c r="CY28">
        <f t="shared" si="8"/>
        <v>17.8</v>
      </c>
      <c r="CZ28">
        <f t="shared" si="9"/>
        <v>2</v>
      </c>
      <c r="DA28">
        <f t="shared" si="10"/>
        <v>8.9</v>
      </c>
      <c r="DB28">
        <f t="shared" si="11"/>
        <v>0</v>
      </c>
      <c r="DC28">
        <f t="shared" si="12"/>
        <v>0</v>
      </c>
      <c r="DD28" t="s">
        <v>3</v>
      </c>
      <c r="DE28" t="s">
        <v>3</v>
      </c>
      <c r="DF28">
        <f t="shared" si="13"/>
        <v>0</v>
      </c>
      <c r="DG28">
        <f t="shared" si="14"/>
        <v>0</v>
      </c>
      <c r="DH28">
        <f t="shared" si="15"/>
        <v>0</v>
      </c>
      <c r="DI28">
        <f t="shared" si="6"/>
        <v>0</v>
      </c>
      <c r="DJ28">
        <f t="shared" si="16"/>
        <v>0</v>
      </c>
      <c r="DK28">
        <v>0</v>
      </c>
      <c r="DL28" t="s">
        <v>3</v>
      </c>
      <c r="DM28">
        <v>0</v>
      </c>
      <c r="DN28" t="s">
        <v>3</v>
      </c>
      <c r="DO28">
        <v>0</v>
      </c>
    </row>
    <row r="29" spans="1:119" x14ac:dyDescent="0.2">
      <c r="A29">
        <f>ROW(Source!A41)</f>
        <v>41</v>
      </c>
      <c r="B29">
        <v>145026783</v>
      </c>
      <c r="C29">
        <v>145040937</v>
      </c>
      <c r="D29">
        <v>140789464</v>
      </c>
      <c r="E29">
        <v>1</v>
      </c>
      <c r="F29">
        <v>1</v>
      </c>
      <c r="G29">
        <v>1</v>
      </c>
      <c r="H29">
        <v>3</v>
      </c>
      <c r="I29" t="s">
        <v>189</v>
      </c>
      <c r="J29" t="s">
        <v>192</v>
      </c>
      <c r="K29" t="s">
        <v>190</v>
      </c>
      <c r="L29">
        <v>1301</v>
      </c>
      <c r="N29">
        <v>1003</v>
      </c>
      <c r="O29" t="s">
        <v>191</v>
      </c>
      <c r="P29" t="s">
        <v>191</v>
      </c>
      <c r="Q29">
        <v>1</v>
      </c>
      <c r="W29">
        <v>0</v>
      </c>
      <c r="X29">
        <v>711507403</v>
      </c>
      <c r="Y29">
        <f t="shared" si="7"/>
        <v>0</v>
      </c>
      <c r="AA29">
        <v>35.6</v>
      </c>
      <c r="AB29">
        <v>0</v>
      </c>
      <c r="AC29">
        <v>0</v>
      </c>
      <c r="AD29">
        <v>0</v>
      </c>
      <c r="AE29">
        <v>4</v>
      </c>
      <c r="AF29">
        <v>0</v>
      </c>
      <c r="AG29">
        <v>0</v>
      </c>
      <c r="AH29">
        <v>0</v>
      </c>
      <c r="AI29">
        <v>8.9</v>
      </c>
      <c r="AJ29">
        <v>1</v>
      </c>
      <c r="AK29">
        <v>1</v>
      </c>
      <c r="AL29">
        <v>1</v>
      </c>
      <c r="AM29">
        <v>4</v>
      </c>
      <c r="AN29">
        <v>0</v>
      </c>
      <c r="AO29">
        <v>1</v>
      </c>
      <c r="AP29">
        <v>1</v>
      </c>
      <c r="AQ29">
        <v>0</v>
      </c>
      <c r="AR29">
        <v>0</v>
      </c>
      <c r="AS29" t="s">
        <v>3</v>
      </c>
      <c r="AT29">
        <v>80.95</v>
      </c>
      <c r="AU29" t="s">
        <v>93</v>
      </c>
      <c r="AV29">
        <v>0</v>
      </c>
      <c r="AW29">
        <v>2</v>
      </c>
      <c r="AX29">
        <v>145040974</v>
      </c>
      <c r="AY29">
        <v>1</v>
      </c>
      <c r="AZ29">
        <v>0</v>
      </c>
      <c r="BA29">
        <v>31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ROUND(Y29*Source!I41,9)</f>
        <v>0</v>
      </c>
      <c r="CY29">
        <f t="shared" si="8"/>
        <v>35.6</v>
      </c>
      <c r="CZ29">
        <f t="shared" si="9"/>
        <v>4</v>
      </c>
      <c r="DA29">
        <f t="shared" si="10"/>
        <v>8.9</v>
      </c>
      <c r="DB29">
        <f t="shared" si="11"/>
        <v>0</v>
      </c>
      <c r="DC29">
        <f t="shared" si="12"/>
        <v>0</v>
      </c>
      <c r="DD29" t="s">
        <v>3</v>
      </c>
      <c r="DE29" t="s">
        <v>3</v>
      </c>
      <c r="DF29">
        <f t="shared" si="13"/>
        <v>0</v>
      </c>
      <c r="DG29">
        <f t="shared" si="14"/>
        <v>0</v>
      </c>
      <c r="DH29">
        <f t="shared" si="15"/>
        <v>0</v>
      </c>
      <c r="DI29">
        <f t="shared" si="6"/>
        <v>0</v>
      </c>
      <c r="DJ29">
        <f t="shared" si="16"/>
        <v>0</v>
      </c>
      <c r="DK29">
        <v>0</v>
      </c>
      <c r="DL29" t="s">
        <v>3</v>
      </c>
      <c r="DM29">
        <v>0</v>
      </c>
      <c r="DN29" t="s">
        <v>3</v>
      </c>
      <c r="DO29">
        <v>0</v>
      </c>
    </row>
    <row r="30" spans="1:119" x14ac:dyDescent="0.2">
      <c r="A30">
        <f>ROW(Source!A41)</f>
        <v>41</v>
      </c>
      <c r="B30">
        <v>145026783</v>
      </c>
      <c r="C30">
        <v>145040937</v>
      </c>
      <c r="D30">
        <v>140789482</v>
      </c>
      <c r="E30">
        <v>1</v>
      </c>
      <c r="F30">
        <v>1</v>
      </c>
      <c r="G30">
        <v>1</v>
      </c>
      <c r="H30">
        <v>3</v>
      </c>
      <c r="I30" t="s">
        <v>194</v>
      </c>
      <c r="J30" t="s">
        <v>196</v>
      </c>
      <c r="K30" t="s">
        <v>195</v>
      </c>
      <c r="L30">
        <v>1301</v>
      </c>
      <c r="N30">
        <v>1003</v>
      </c>
      <c r="O30" t="s">
        <v>191</v>
      </c>
      <c r="P30" t="s">
        <v>191</v>
      </c>
      <c r="Q30">
        <v>1</v>
      </c>
      <c r="W30">
        <v>0</v>
      </c>
      <c r="X30">
        <v>321674796</v>
      </c>
      <c r="Y30">
        <f t="shared" si="7"/>
        <v>0</v>
      </c>
      <c r="AA30">
        <v>48.95</v>
      </c>
      <c r="AB30">
        <v>0</v>
      </c>
      <c r="AC30">
        <v>0</v>
      </c>
      <c r="AD30">
        <v>0</v>
      </c>
      <c r="AE30">
        <v>5.5</v>
      </c>
      <c r="AF30">
        <v>0</v>
      </c>
      <c r="AG30">
        <v>0</v>
      </c>
      <c r="AH30">
        <v>0</v>
      </c>
      <c r="AI30">
        <v>8.9</v>
      </c>
      <c r="AJ30">
        <v>1</v>
      </c>
      <c r="AK30">
        <v>1</v>
      </c>
      <c r="AL30">
        <v>1</v>
      </c>
      <c r="AM30">
        <v>4</v>
      </c>
      <c r="AN30">
        <v>0</v>
      </c>
      <c r="AO30">
        <v>1</v>
      </c>
      <c r="AP30">
        <v>1</v>
      </c>
      <c r="AQ30">
        <v>0</v>
      </c>
      <c r="AR30">
        <v>0</v>
      </c>
      <c r="AS30" t="s">
        <v>3</v>
      </c>
      <c r="AT30">
        <v>171.83</v>
      </c>
      <c r="AU30" t="s">
        <v>93</v>
      </c>
      <c r="AV30">
        <v>0</v>
      </c>
      <c r="AW30">
        <v>2</v>
      </c>
      <c r="AX30">
        <v>145040975</v>
      </c>
      <c r="AY30">
        <v>1</v>
      </c>
      <c r="AZ30">
        <v>0</v>
      </c>
      <c r="BA30">
        <v>32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ROUND(Y30*Source!I41,9)</f>
        <v>0</v>
      </c>
      <c r="CY30">
        <f t="shared" si="8"/>
        <v>48.95</v>
      </c>
      <c r="CZ30">
        <f t="shared" si="9"/>
        <v>5.5</v>
      </c>
      <c r="DA30">
        <f t="shared" si="10"/>
        <v>8.9</v>
      </c>
      <c r="DB30">
        <f t="shared" si="11"/>
        <v>0</v>
      </c>
      <c r="DC30">
        <f t="shared" si="12"/>
        <v>0</v>
      </c>
      <c r="DD30" t="s">
        <v>3</v>
      </c>
      <c r="DE30" t="s">
        <v>3</v>
      </c>
      <c r="DF30">
        <f t="shared" si="13"/>
        <v>0</v>
      </c>
      <c r="DG30">
        <f t="shared" si="14"/>
        <v>0</v>
      </c>
      <c r="DH30">
        <f t="shared" si="15"/>
        <v>0</v>
      </c>
      <c r="DI30">
        <f t="shared" si="6"/>
        <v>0</v>
      </c>
      <c r="DJ30">
        <f t="shared" si="16"/>
        <v>0</v>
      </c>
      <c r="DK30">
        <v>0</v>
      </c>
      <c r="DL30" t="s">
        <v>3</v>
      </c>
      <c r="DM30">
        <v>0</v>
      </c>
      <c r="DN30" t="s">
        <v>3</v>
      </c>
      <c r="DO30">
        <v>0</v>
      </c>
    </row>
    <row r="31" spans="1:119" x14ac:dyDescent="0.2">
      <c r="A31">
        <f>ROW(Source!A41)</f>
        <v>41</v>
      </c>
      <c r="B31">
        <v>145026783</v>
      </c>
      <c r="C31">
        <v>145040937</v>
      </c>
      <c r="D31">
        <v>140789572</v>
      </c>
      <c r="E31">
        <v>1</v>
      </c>
      <c r="F31">
        <v>1</v>
      </c>
      <c r="G31">
        <v>1</v>
      </c>
      <c r="H31">
        <v>3</v>
      </c>
      <c r="I31" t="s">
        <v>198</v>
      </c>
      <c r="J31" t="s">
        <v>200</v>
      </c>
      <c r="K31" t="s">
        <v>199</v>
      </c>
      <c r="L31">
        <v>1425</v>
      </c>
      <c r="N31">
        <v>1013</v>
      </c>
      <c r="O31" t="s">
        <v>21</v>
      </c>
      <c r="P31" t="s">
        <v>21</v>
      </c>
      <c r="Q31">
        <v>1</v>
      </c>
      <c r="W31">
        <v>0</v>
      </c>
      <c r="X31">
        <v>1298287157</v>
      </c>
      <c r="Y31">
        <f t="shared" si="7"/>
        <v>0</v>
      </c>
      <c r="AA31">
        <v>605.20000000000005</v>
      </c>
      <c r="AB31">
        <v>0</v>
      </c>
      <c r="AC31">
        <v>0</v>
      </c>
      <c r="AD31">
        <v>0</v>
      </c>
      <c r="AE31">
        <v>68</v>
      </c>
      <c r="AF31">
        <v>0</v>
      </c>
      <c r="AG31">
        <v>0</v>
      </c>
      <c r="AH31">
        <v>0</v>
      </c>
      <c r="AI31">
        <v>8.9</v>
      </c>
      <c r="AJ31">
        <v>1</v>
      </c>
      <c r="AK31">
        <v>1</v>
      </c>
      <c r="AL31">
        <v>1</v>
      </c>
      <c r="AM31">
        <v>4</v>
      </c>
      <c r="AN31">
        <v>0</v>
      </c>
      <c r="AO31">
        <v>1</v>
      </c>
      <c r="AP31">
        <v>1</v>
      </c>
      <c r="AQ31">
        <v>0</v>
      </c>
      <c r="AR31">
        <v>0</v>
      </c>
      <c r="AS31" t="s">
        <v>3</v>
      </c>
      <c r="AT31">
        <v>2.14</v>
      </c>
      <c r="AU31" t="s">
        <v>93</v>
      </c>
      <c r="AV31">
        <v>0</v>
      </c>
      <c r="AW31">
        <v>2</v>
      </c>
      <c r="AX31">
        <v>145040976</v>
      </c>
      <c r="AY31">
        <v>1</v>
      </c>
      <c r="AZ31">
        <v>0</v>
      </c>
      <c r="BA31">
        <v>33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ROUND(Y31*Source!I41,9)</f>
        <v>0</v>
      </c>
      <c r="CY31">
        <f t="shared" si="8"/>
        <v>605.20000000000005</v>
      </c>
      <c r="CZ31">
        <f t="shared" si="9"/>
        <v>68</v>
      </c>
      <c r="DA31">
        <f t="shared" si="10"/>
        <v>8.9</v>
      </c>
      <c r="DB31">
        <f t="shared" si="11"/>
        <v>0</v>
      </c>
      <c r="DC31">
        <f t="shared" si="12"/>
        <v>0</v>
      </c>
      <c r="DD31" t="s">
        <v>3</v>
      </c>
      <c r="DE31" t="s">
        <v>3</v>
      </c>
      <c r="DF31">
        <f t="shared" si="13"/>
        <v>0</v>
      </c>
      <c r="DG31">
        <f t="shared" si="14"/>
        <v>0</v>
      </c>
      <c r="DH31">
        <f t="shared" si="15"/>
        <v>0</v>
      </c>
      <c r="DI31">
        <f t="shared" si="6"/>
        <v>0</v>
      </c>
      <c r="DJ31">
        <f t="shared" si="16"/>
        <v>0</v>
      </c>
      <c r="DK31">
        <v>0</v>
      </c>
      <c r="DL31" t="s">
        <v>3</v>
      </c>
      <c r="DM31">
        <v>0</v>
      </c>
      <c r="DN31" t="s">
        <v>3</v>
      </c>
      <c r="DO31">
        <v>0</v>
      </c>
    </row>
    <row r="32" spans="1:119" x14ac:dyDescent="0.2">
      <c r="A32">
        <f>ROW(Source!A41)</f>
        <v>41</v>
      </c>
      <c r="B32">
        <v>145026783</v>
      </c>
      <c r="C32">
        <v>145040937</v>
      </c>
      <c r="D32">
        <v>140789614</v>
      </c>
      <c r="E32">
        <v>1</v>
      </c>
      <c r="F32">
        <v>1</v>
      </c>
      <c r="G32">
        <v>1</v>
      </c>
      <c r="H32">
        <v>3</v>
      </c>
      <c r="I32" t="s">
        <v>202</v>
      </c>
      <c r="J32" t="s">
        <v>204</v>
      </c>
      <c r="K32" t="s">
        <v>203</v>
      </c>
      <c r="L32">
        <v>1425</v>
      </c>
      <c r="N32">
        <v>1013</v>
      </c>
      <c r="O32" t="s">
        <v>21</v>
      </c>
      <c r="P32" t="s">
        <v>21</v>
      </c>
      <c r="Q32">
        <v>1</v>
      </c>
      <c r="W32">
        <v>0</v>
      </c>
      <c r="X32">
        <v>547042325</v>
      </c>
      <c r="Y32">
        <f t="shared" si="7"/>
        <v>0</v>
      </c>
      <c r="AA32">
        <v>1424</v>
      </c>
      <c r="AB32">
        <v>0</v>
      </c>
      <c r="AC32">
        <v>0</v>
      </c>
      <c r="AD32">
        <v>0</v>
      </c>
      <c r="AE32">
        <v>160</v>
      </c>
      <c r="AF32">
        <v>0</v>
      </c>
      <c r="AG32">
        <v>0</v>
      </c>
      <c r="AH32">
        <v>0</v>
      </c>
      <c r="AI32">
        <v>8.9</v>
      </c>
      <c r="AJ32">
        <v>1</v>
      </c>
      <c r="AK32">
        <v>1</v>
      </c>
      <c r="AL32">
        <v>1</v>
      </c>
      <c r="AM32">
        <v>4</v>
      </c>
      <c r="AN32">
        <v>0</v>
      </c>
      <c r="AO32">
        <v>1</v>
      </c>
      <c r="AP32">
        <v>1</v>
      </c>
      <c r="AQ32">
        <v>0</v>
      </c>
      <c r="AR32">
        <v>0</v>
      </c>
      <c r="AS32" t="s">
        <v>3</v>
      </c>
      <c r="AT32">
        <v>0.36</v>
      </c>
      <c r="AU32" t="s">
        <v>93</v>
      </c>
      <c r="AV32">
        <v>0</v>
      </c>
      <c r="AW32">
        <v>2</v>
      </c>
      <c r="AX32">
        <v>145040977</v>
      </c>
      <c r="AY32">
        <v>1</v>
      </c>
      <c r="AZ32">
        <v>0</v>
      </c>
      <c r="BA32">
        <v>34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ROUND(Y32*Source!I41,9)</f>
        <v>0</v>
      </c>
      <c r="CY32">
        <f t="shared" si="8"/>
        <v>1424</v>
      </c>
      <c r="CZ32">
        <f t="shared" si="9"/>
        <v>160</v>
      </c>
      <c r="DA32">
        <f t="shared" si="10"/>
        <v>8.9</v>
      </c>
      <c r="DB32">
        <f t="shared" si="11"/>
        <v>0</v>
      </c>
      <c r="DC32">
        <f t="shared" si="12"/>
        <v>0</v>
      </c>
      <c r="DD32" t="s">
        <v>3</v>
      </c>
      <c r="DE32" t="s">
        <v>3</v>
      </c>
      <c r="DF32">
        <f t="shared" si="13"/>
        <v>0</v>
      </c>
      <c r="DG32">
        <f t="shared" si="14"/>
        <v>0</v>
      </c>
      <c r="DH32">
        <f t="shared" si="15"/>
        <v>0</v>
      </c>
      <c r="DI32">
        <f t="shared" si="6"/>
        <v>0</v>
      </c>
      <c r="DJ32">
        <f t="shared" si="16"/>
        <v>0</v>
      </c>
      <c r="DK32">
        <v>0</v>
      </c>
      <c r="DL32" t="s">
        <v>3</v>
      </c>
      <c r="DM32">
        <v>0</v>
      </c>
      <c r="DN32" t="s">
        <v>3</v>
      </c>
      <c r="DO32">
        <v>0</v>
      </c>
    </row>
    <row r="33" spans="1:119" x14ac:dyDescent="0.2">
      <c r="A33">
        <f>ROW(Source!A41)</f>
        <v>41</v>
      </c>
      <c r="B33">
        <v>145026783</v>
      </c>
      <c r="C33">
        <v>145040937</v>
      </c>
      <c r="D33">
        <v>140804066</v>
      </c>
      <c r="E33">
        <v>1</v>
      </c>
      <c r="F33">
        <v>1</v>
      </c>
      <c r="G33">
        <v>1</v>
      </c>
      <c r="H33">
        <v>3</v>
      </c>
      <c r="I33" t="s">
        <v>657</v>
      </c>
      <c r="J33" t="s">
        <v>658</v>
      </c>
      <c r="K33" t="s">
        <v>659</v>
      </c>
      <c r="L33">
        <v>1346</v>
      </c>
      <c r="N33">
        <v>1009</v>
      </c>
      <c r="O33" t="s">
        <v>154</v>
      </c>
      <c r="P33" t="s">
        <v>154</v>
      </c>
      <c r="Q33">
        <v>1</v>
      </c>
      <c r="W33">
        <v>0</v>
      </c>
      <c r="X33">
        <v>-1209026283</v>
      </c>
      <c r="Y33">
        <f t="shared" si="7"/>
        <v>0</v>
      </c>
      <c r="AA33">
        <v>116.41</v>
      </c>
      <c r="AB33">
        <v>0</v>
      </c>
      <c r="AC33">
        <v>0</v>
      </c>
      <c r="AD33">
        <v>0</v>
      </c>
      <c r="AE33">
        <v>13.08</v>
      </c>
      <c r="AF33">
        <v>0</v>
      </c>
      <c r="AG33">
        <v>0</v>
      </c>
      <c r="AH33">
        <v>0</v>
      </c>
      <c r="AI33">
        <v>8.9</v>
      </c>
      <c r="AJ33">
        <v>1</v>
      </c>
      <c r="AK33">
        <v>1</v>
      </c>
      <c r="AL33">
        <v>1</v>
      </c>
      <c r="AM33">
        <v>4</v>
      </c>
      <c r="AN33">
        <v>0</v>
      </c>
      <c r="AO33">
        <v>1</v>
      </c>
      <c r="AP33">
        <v>1</v>
      </c>
      <c r="AQ33">
        <v>0</v>
      </c>
      <c r="AR33">
        <v>0</v>
      </c>
      <c r="AS33" t="s">
        <v>3</v>
      </c>
      <c r="AT33">
        <v>0.56999999999999995</v>
      </c>
      <c r="AU33" t="s">
        <v>93</v>
      </c>
      <c r="AV33">
        <v>0</v>
      </c>
      <c r="AW33">
        <v>2</v>
      </c>
      <c r="AX33">
        <v>145040978</v>
      </c>
      <c r="AY33">
        <v>1</v>
      </c>
      <c r="AZ33">
        <v>0</v>
      </c>
      <c r="BA33">
        <v>35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ROUND(Y33*Source!I41,9)</f>
        <v>0</v>
      </c>
      <c r="CY33">
        <f t="shared" si="8"/>
        <v>116.41</v>
      </c>
      <c r="CZ33">
        <f t="shared" si="9"/>
        <v>13.08</v>
      </c>
      <c r="DA33">
        <f t="shared" si="10"/>
        <v>8.9</v>
      </c>
      <c r="DB33">
        <f t="shared" si="11"/>
        <v>0</v>
      </c>
      <c r="DC33">
        <f t="shared" si="12"/>
        <v>0</v>
      </c>
      <c r="DD33" t="s">
        <v>3</v>
      </c>
      <c r="DE33" t="s">
        <v>3</v>
      </c>
      <c r="DF33">
        <f t="shared" si="13"/>
        <v>0</v>
      </c>
      <c r="DG33">
        <f t="shared" si="14"/>
        <v>0</v>
      </c>
      <c r="DH33">
        <f t="shared" si="15"/>
        <v>0</v>
      </c>
      <c r="DI33">
        <f t="shared" si="6"/>
        <v>0</v>
      </c>
      <c r="DJ33">
        <f t="shared" si="16"/>
        <v>0</v>
      </c>
      <c r="DK33">
        <v>0</v>
      </c>
      <c r="DL33" t="s">
        <v>3</v>
      </c>
      <c r="DM33">
        <v>0</v>
      </c>
      <c r="DN33" t="s">
        <v>3</v>
      </c>
      <c r="DO33">
        <v>0</v>
      </c>
    </row>
    <row r="34" spans="1:119" x14ac:dyDescent="0.2">
      <c r="A34">
        <f>ROW(Source!A41)</f>
        <v>41</v>
      </c>
      <c r="B34">
        <v>145026783</v>
      </c>
      <c r="C34">
        <v>145040937</v>
      </c>
      <c r="D34">
        <v>140805258</v>
      </c>
      <c r="E34">
        <v>1</v>
      </c>
      <c r="F34">
        <v>1</v>
      </c>
      <c r="G34">
        <v>1</v>
      </c>
      <c r="H34">
        <v>3</v>
      </c>
      <c r="I34" t="s">
        <v>660</v>
      </c>
      <c r="J34" t="s">
        <v>661</v>
      </c>
      <c r="K34" t="s">
        <v>662</v>
      </c>
      <c r="L34">
        <v>1346</v>
      </c>
      <c r="N34">
        <v>1009</v>
      </c>
      <c r="O34" t="s">
        <v>154</v>
      </c>
      <c r="P34" t="s">
        <v>154</v>
      </c>
      <c r="Q34">
        <v>1</v>
      </c>
      <c r="W34">
        <v>0</v>
      </c>
      <c r="X34">
        <v>1195607535</v>
      </c>
      <c r="Y34">
        <f t="shared" si="7"/>
        <v>0</v>
      </c>
      <c r="AA34">
        <v>24.03</v>
      </c>
      <c r="AB34">
        <v>0</v>
      </c>
      <c r="AC34">
        <v>0</v>
      </c>
      <c r="AD34">
        <v>0</v>
      </c>
      <c r="AE34">
        <v>2.7</v>
      </c>
      <c r="AF34">
        <v>0</v>
      </c>
      <c r="AG34">
        <v>0</v>
      </c>
      <c r="AH34">
        <v>0</v>
      </c>
      <c r="AI34">
        <v>8.9</v>
      </c>
      <c r="AJ34">
        <v>1</v>
      </c>
      <c r="AK34">
        <v>1</v>
      </c>
      <c r="AL34">
        <v>1</v>
      </c>
      <c r="AM34">
        <v>4</v>
      </c>
      <c r="AN34">
        <v>0</v>
      </c>
      <c r="AO34">
        <v>1</v>
      </c>
      <c r="AP34">
        <v>1</v>
      </c>
      <c r="AQ34">
        <v>0</v>
      </c>
      <c r="AR34">
        <v>0</v>
      </c>
      <c r="AS34" t="s">
        <v>3</v>
      </c>
      <c r="AT34">
        <v>41.4</v>
      </c>
      <c r="AU34" t="s">
        <v>93</v>
      </c>
      <c r="AV34">
        <v>0</v>
      </c>
      <c r="AW34">
        <v>2</v>
      </c>
      <c r="AX34">
        <v>145040979</v>
      </c>
      <c r="AY34">
        <v>1</v>
      </c>
      <c r="AZ34">
        <v>0</v>
      </c>
      <c r="BA34">
        <v>36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ROUND(Y34*Source!I41,9)</f>
        <v>0</v>
      </c>
      <c r="CY34">
        <f t="shared" si="8"/>
        <v>24.03</v>
      </c>
      <c r="CZ34">
        <f t="shared" si="9"/>
        <v>2.7</v>
      </c>
      <c r="DA34">
        <f t="shared" si="10"/>
        <v>8.9</v>
      </c>
      <c r="DB34">
        <f t="shared" si="11"/>
        <v>0</v>
      </c>
      <c r="DC34">
        <f t="shared" si="12"/>
        <v>0</v>
      </c>
      <c r="DD34" t="s">
        <v>3</v>
      </c>
      <c r="DE34" t="s">
        <v>3</v>
      </c>
      <c r="DF34">
        <f t="shared" si="13"/>
        <v>0</v>
      </c>
      <c r="DG34">
        <f t="shared" si="14"/>
        <v>0</v>
      </c>
      <c r="DH34">
        <f t="shared" si="15"/>
        <v>0</v>
      </c>
      <c r="DI34">
        <f t="shared" si="6"/>
        <v>0</v>
      </c>
      <c r="DJ34">
        <f t="shared" si="16"/>
        <v>0</v>
      </c>
      <c r="DK34">
        <v>0</v>
      </c>
      <c r="DL34" t="s">
        <v>3</v>
      </c>
      <c r="DM34">
        <v>0</v>
      </c>
      <c r="DN34" t="s">
        <v>3</v>
      </c>
      <c r="DO34">
        <v>0</v>
      </c>
    </row>
    <row r="35" spans="1:119" x14ac:dyDescent="0.2">
      <c r="A35">
        <f>ROW(Source!A42)</f>
        <v>42</v>
      </c>
      <c r="B35">
        <v>145026783</v>
      </c>
      <c r="C35">
        <v>145106337</v>
      </c>
      <c r="D35">
        <v>140760008</v>
      </c>
      <c r="E35">
        <v>70</v>
      </c>
      <c r="F35">
        <v>1</v>
      </c>
      <c r="G35">
        <v>1</v>
      </c>
      <c r="H35">
        <v>1</v>
      </c>
      <c r="I35" t="s">
        <v>663</v>
      </c>
      <c r="J35" t="s">
        <v>3</v>
      </c>
      <c r="K35" t="s">
        <v>664</v>
      </c>
      <c r="L35">
        <v>1191</v>
      </c>
      <c r="N35">
        <v>1013</v>
      </c>
      <c r="O35" t="s">
        <v>608</v>
      </c>
      <c r="P35" t="s">
        <v>608</v>
      </c>
      <c r="Q35">
        <v>1</v>
      </c>
      <c r="W35">
        <v>0</v>
      </c>
      <c r="X35">
        <v>-1810713292</v>
      </c>
      <c r="Y35">
        <f>(AT35*0.8)</f>
        <v>39.800000000000004</v>
      </c>
      <c r="AA35">
        <v>0</v>
      </c>
      <c r="AB35">
        <v>0</v>
      </c>
      <c r="AC35">
        <v>0</v>
      </c>
      <c r="AD35">
        <v>293.85000000000002</v>
      </c>
      <c r="AE35">
        <v>0</v>
      </c>
      <c r="AF35">
        <v>0</v>
      </c>
      <c r="AG35">
        <v>0</v>
      </c>
      <c r="AH35">
        <v>9.18</v>
      </c>
      <c r="AI35">
        <v>1</v>
      </c>
      <c r="AJ35">
        <v>1</v>
      </c>
      <c r="AK35">
        <v>1</v>
      </c>
      <c r="AL35">
        <v>32.01</v>
      </c>
      <c r="AM35">
        <v>4</v>
      </c>
      <c r="AN35">
        <v>0</v>
      </c>
      <c r="AO35">
        <v>1</v>
      </c>
      <c r="AP35">
        <v>1</v>
      </c>
      <c r="AQ35">
        <v>0</v>
      </c>
      <c r="AR35">
        <v>0</v>
      </c>
      <c r="AS35" t="s">
        <v>3</v>
      </c>
      <c r="AT35">
        <v>49.75</v>
      </c>
      <c r="AU35" t="s">
        <v>94</v>
      </c>
      <c r="AV35">
        <v>1</v>
      </c>
      <c r="AW35">
        <v>2</v>
      </c>
      <c r="AX35">
        <v>145106338</v>
      </c>
      <c r="AY35">
        <v>1</v>
      </c>
      <c r="AZ35">
        <v>0</v>
      </c>
      <c r="BA35">
        <v>37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ROUND(Y35*Source!I42,9)</f>
        <v>1.4168799999999999</v>
      </c>
      <c r="CY35">
        <f>AD35</f>
        <v>293.85000000000002</v>
      </c>
      <c r="CZ35">
        <f>AH35</f>
        <v>9.18</v>
      </c>
      <c r="DA35">
        <f>AL35</f>
        <v>32.01</v>
      </c>
      <c r="DB35">
        <f>ROUND((ROUND(AT35*CZ35,2)*0.8),2)</f>
        <v>365.37</v>
      </c>
      <c r="DC35">
        <f>ROUND((ROUND(AT35*AG35,2)*0.8),2)</f>
        <v>0</v>
      </c>
      <c r="DD35" t="s">
        <v>3</v>
      </c>
      <c r="DE35" t="s">
        <v>3</v>
      </c>
      <c r="DF35">
        <f>ROUND(ROUND(AE35,2)*CX35,2)</f>
        <v>0</v>
      </c>
      <c r="DG35">
        <f t="shared" si="14"/>
        <v>0</v>
      </c>
      <c r="DH35">
        <f t="shared" si="15"/>
        <v>0</v>
      </c>
      <c r="DI35">
        <f>ROUND(ROUND(AH35*AL35,2)*CX35,2)</f>
        <v>416.35</v>
      </c>
      <c r="DJ35">
        <f>DI35</f>
        <v>416.35</v>
      </c>
      <c r="DK35">
        <v>0</v>
      </c>
      <c r="DL35" t="s">
        <v>3</v>
      </c>
      <c r="DM35">
        <v>0</v>
      </c>
      <c r="DN35" t="s">
        <v>3</v>
      </c>
      <c r="DO35">
        <v>0</v>
      </c>
    </row>
    <row r="36" spans="1:119" x14ac:dyDescent="0.2">
      <c r="A36">
        <f>ROW(Source!A42)</f>
        <v>42</v>
      </c>
      <c r="B36">
        <v>145026783</v>
      </c>
      <c r="C36">
        <v>145106337</v>
      </c>
      <c r="D36">
        <v>140760225</v>
      </c>
      <c r="E36">
        <v>70</v>
      </c>
      <c r="F36">
        <v>1</v>
      </c>
      <c r="G36">
        <v>1</v>
      </c>
      <c r="H36">
        <v>1</v>
      </c>
      <c r="I36" t="s">
        <v>609</v>
      </c>
      <c r="J36" t="s">
        <v>3</v>
      </c>
      <c r="K36" t="s">
        <v>610</v>
      </c>
      <c r="L36">
        <v>1191</v>
      </c>
      <c r="N36">
        <v>1013</v>
      </c>
      <c r="O36" t="s">
        <v>608</v>
      </c>
      <c r="P36" t="s">
        <v>608</v>
      </c>
      <c r="Q36">
        <v>1</v>
      </c>
      <c r="W36">
        <v>0</v>
      </c>
      <c r="X36">
        <v>-1417349443</v>
      </c>
      <c r="Y36">
        <f>(AT36*0.8)</f>
        <v>0.128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1</v>
      </c>
      <c r="AJ36">
        <v>1</v>
      </c>
      <c r="AK36">
        <v>32.01</v>
      </c>
      <c r="AL36">
        <v>1</v>
      </c>
      <c r="AM36">
        <v>4</v>
      </c>
      <c r="AN36">
        <v>0</v>
      </c>
      <c r="AO36">
        <v>1</v>
      </c>
      <c r="AP36">
        <v>1</v>
      </c>
      <c r="AQ36">
        <v>0</v>
      </c>
      <c r="AR36">
        <v>0</v>
      </c>
      <c r="AS36" t="s">
        <v>3</v>
      </c>
      <c r="AT36">
        <v>0.16</v>
      </c>
      <c r="AU36" t="s">
        <v>94</v>
      </c>
      <c r="AV36">
        <v>2</v>
      </c>
      <c r="AW36">
        <v>2</v>
      </c>
      <c r="AX36">
        <v>145106339</v>
      </c>
      <c r="AY36">
        <v>1</v>
      </c>
      <c r="AZ36">
        <v>0</v>
      </c>
      <c r="BA36">
        <v>38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ROUND(Y36*Source!I42,9)</f>
        <v>4.5567999999999997E-3</v>
      </c>
      <c r="CY36">
        <f>AD36</f>
        <v>0</v>
      </c>
      <c r="CZ36">
        <f>AH36</f>
        <v>0</v>
      </c>
      <c r="DA36">
        <f>AL36</f>
        <v>1</v>
      </c>
      <c r="DB36">
        <f>ROUND((ROUND(AT36*CZ36,2)*0.8),2)</f>
        <v>0</v>
      </c>
      <c r="DC36">
        <f>ROUND((ROUND(AT36*AG36,2)*0.8),2)</f>
        <v>0</v>
      </c>
      <c r="DD36" t="s">
        <v>3</v>
      </c>
      <c r="DE36" t="s">
        <v>3</v>
      </c>
      <c r="DF36">
        <f>ROUND(ROUND(AE36,2)*CX36,2)</f>
        <v>0</v>
      </c>
      <c r="DG36">
        <f t="shared" si="14"/>
        <v>0</v>
      </c>
      <c r="DH36">
        <f>ROUND(ROUND(AG36*AK36,2)*CX36,2)</f>
        <v>0</v>
      </c>
      <c r="DI36">
        <f t="shared" ref="DI36:DI48" si="17">ROUND(ROUND(AH36,2)*CX36,2)</f>
        <v>0</v>
      </c>
      <c r="DJ36">
        <f>DI36</f>
        <v>0</v>
      </c>
      <c r="DK36">
        <v>0</v>
      </c>
      <c r="DL36" t="s">
        <v>3</v>
      </c>
      <c r="DM36">
        <v>0</v>
      </c>
      <c r="DN36" t="s">
        <v>3</v>
      </c>
      <c r="DO36">
        <v>0</v>
      </c>
    </row>
    <row r="37" spans="1:119" x14ac:dyDescent="0.2">
      <c r="A37">
        <f>ROW(Source!A42)</f>
        <v>42</v>
      </c>
      <c r="B37">
        <v>145026783</v>
      </c>
      <c r="C37">
        <v>145106337</v>
      </c>
      <c r="D37">
        <v>140923107</v>
      </c>
      <c r="E37">
        <v>1</v>
      </c>
      <c r="F37">
        <v>1</v>
      </c>
      <c r="G37">
        <v>1</v>
      </c>
      <c r="H37">
        <v>2</v>
      </c>
      <c r="I37" t="s">
        <v>665</v>
      </c>
      <c r="J37" t="s">
        <v>666</v>
      </c>
      <c r="K37" t="s">
        <v>667</v>
      </c>
      <c r="L37">
        <v>1367</v>
      </c>
      <c r="N37">
        <v>1011</v>
      </c>
      <c r="O37" t="s">
        <v>614</v>
      </c>
      <c r="P37" t="s">
        <v>614</v>
      </c>
      <c r="Q37">
        <v>1</v>
      </c>
      <c r="W37">
        <v>0</v>
      </c>
      <c r="X37">
        <v>-373043021</v>
      </c>
      <c r="Y37">
        <f>(AT37*0.8)</f>
        <v>1.7600000000000001E-2</v>
      </c>
      <c r="AA37">
        <v>0</v>
      </c>
      <c r="AB37">
        <v>1023.94</v>
      </c>
      <c r="AC37">
        <v>322.02</v>
      </c>
      <c r="AD37">
        <v>0</v>
      </c>
      <c r="AE37">
        <v>0</v>
      </c>
      <c r="AF37">
        <v>82.31</v>
      </c>
      <c r="AG37">
        <v>10.06</v>
      </c>
      <c r="AH37">
        <v>0</v>
      </c>
      <c r="AI37">
        <v>1</v>
      </c>
      <c r="AJ37">
        <v>12.44</v>
      </c>
      <c r="AK37">
        <v>32.01</v>
      </c>
      <c r="AL37">
        <v>1</v>
      </c>
      <c r="AM37">
        <v>4</v>
      </c>
      <c r="AN37">
        <v>0</v>
      </c>
      <c r="AO37">
        <v>1</v>
      </c>
      <c r="AP37">
        <v>1</v>
      </c>
      <c r="AQ37">
        <v>0</v>
      </c>
      <c r="AR37">
        <v>0</v>
      </c>
      <c r="AS37" t="s">
        <v>3</v>
      </c>
      <c r="AT37">
        <v>2.1999999999999999E-2</v>
      </c>
      <c r="AU37" t="s">
        <v>94</v>
      </c>
      <c r="AV37">
        <v>0</v>
      </c>
      <c r="AW37">
        <v>2</v>
      </c>
      <c r="AX37">
        <v>145106340</v>
      </c>
      <c r="AY37">
        <v>1</v>
      </c>
      <c r="AZ37">
        <v>0</v>
      </c>
      <c r="BA37">
        <v>39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ROUND(Y37*Source!I42,9)</f>
        <v>6.2655999999999996E-4</v>
      </c>
      <c r="CY37">
        <f>AB37</f>
        <v>1023.94</v>
      </c>
      <c r="CZ37">
        <f>AF37</f>
        <v>82.31</v>
      </c>
      <c r="DA37">
        <f>AJ37</f>
        <v>12.44</v>
      </c>
      <c r="DB37">
        <f>ROUND((ROUND(AT37*CZ37,2)*0.8),2)</f>
        <v>1.45</v>
      </c>
      <c r="DC37">
        <f>ROUND((ROUND(AT37*AG37,2)*0.8),2)</f>
        <v>0.18</v>
      </c>
      <c r="DD37" t="s">
        <v>3</v>
      </c>
      <c r="DE37" t="s">
        <v>3</v>
      </c>
      <c r="DF37">
        <f>ROUND(ROUND(AE37,2)*CX37,2)</f>
        <v>0</v>
      </c>
      <c r="DG37">
        <f>ROUND(ROUND(AF37*AJ37,2)*CX37,2)</f>
        <v>0.64</v>
      </c>
      <c r="DH37">
        <f>ROUND(ROUND(AG37*AK37,2)*CX37,2)</f>
        <v>0.2</v>
      </c>
      <c r="DI37">
        <f t="shared" si="17"/>
        <v>0</v>
      </c>
      <c r="DJ37">
        <f>DG37</f>
        <v>0.64</v>
      </c>
      <c r="DK37">
        <v>0</v>
      </c>
      <c r="DL37" t="s">
        <v>3</v>
      </c>
      <c r="DM37">
        <v>0</v>
      </c>
      <c r="DN37" t="s">
        <v>3</v>
      </c>
      <c r="DO37">
        <v>0</v>
      </c>
    </row>
    <row r="38" spans="1:119" x14ac:dyDescent="0.2">
      <c r="A38">
        <f>ROW(Source!A42)</f>
        <v>42</v>
      </c>
      <c r="B38">
        <v>145026783</v>
      </c>
      <c r="C38">
        <v>145106337</v>
      </c>
      <c r="D38">
        <v>140923145</v>
      </c>
      <c r="E38">
        <v>1</v>
      </c>
      <c r="F38">
        <v>1</v>
      </c>
      <c r="G38">
        <v>1</v>
      </c>
      <c r="H38">
        <v>2</v>
      </c>
      <c r="I38" t="s">
        <v>611</v>
      </c>
      <c r="J38" t="s">
        <v>612</v>
      </c>
      <c r="K38" t="s">
        <v>613</v>
      </c>
      <c r="L38">
        <v>1367</v>
      </c>
      <c r="N38">
        <v>1011</v>
      </c>
      <c r="O38" t="s">
        <v>614</v>
      </c>
      <c r="P38" t="s">
        <v>614</v>
      </c>
      <c r="Q38">
        <v>1</v>
      </c>
      <c r="W38">
        <v>0</v>
      </c>
      <c r="X38">
        <v>1232162608</v>
      </c>
      <c r="Y38">
        <f>(AT38*0.8)</f>
        <v>8.8000000000000009E-2</v>
      </c>
      <c r="AA38">
        <v>0</v>
      </c>
      <c r="AB38">
        <v>388.87</v>
      </c>
      <c r="AC38">
        <v>432.14</v>
      </c>
      <c r="AD38">
        <v>0</v>
      </c>
      <c r="AE38">
        <v>0</v>
      </c>
      <c r="AF38">
        <v>31.26</v>
      </c>
      <c r="AG38">
        <v>13.5</v>
      </c>
      <c r="AH38">
        <v>0</v>
      </c>
      <c r="AI38">
        <v>1</v>
      </c>
      <c r="AJ38">
        <v>12.44</v>
      </c>
      <c r="AK38">
        <v>32.01</v>
      </c>
      <c r="AL38">
        <v>1</v>
      </c>
      <c r="AM38">
        <v>4</v>
      </c>
      <c r="AN38">
        <v>0</v>
      </c>
      <c r="AO38">
        <v>1</v>
      </c>
      <c r="AP38">
        <v>1</v>
      </c>
      <c r="AQ38">
        <v>0</v>
      </c>
      <c r="AR38">
        <v>0</v>
      </c>
      <c r="AS38" t="s">
        <v>3</v>
      </c>
      <c r="AT38">
        <v>0.11</v>
      </c>
      <c r="AU38" t="s">
        <v>94</v>
      </c>
      <c r="AV38">
        <v>0</v>
      </c>
      <c r="AW38">
        <v>2</v>
      </c>
      <c r="AX38">
        <v>145106341</v>
      </c>
      <c r="AY38">
        <v>1</v>
      </c>
      <c r="AZ38">
        <v>0</v>
      </c>
      <c r="BA38">
        <v>40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ROUND(Y38*Source!I42,9)</f>
        <v>3.1327999999999998E-3</v>
      </c>
      <c r="CY38">
        <f>AB38</f>
        <v>388.87</v>
      </c>
      <c r="CZ38">
        <f>AF38</f>
        <v>31.26</v>
      </c>
      <c r="DA38">
        <f>AJ38</f>
        <v>12.44</v>
      </c>
      <c r="DB38">
        <f>ROUND((ROUND(AT38*CZ38,2)*0.8),2)</f>
        <v>2.75</v>
      </c>
      <c r="DC38">
        <f>ROUND((ROUND(AT38*AG38,2)*0.8),2)</f>
        <v>1.19</v>
      </c>
      <c r="DD38" t="s">
        <v>3</v>
      </c>
      <c r="DE38" t="s">
        <v>3</v>
      </c>
      <c r="DF38">
        <f>ROUND(ROUND(AE38,2)*CX38,2)</f>
        <v>0</v>
      </c>
      <c r="DG38">
        <f>ROUND(ROUND(AF38*AJ38,2)*CX38,2)</f>
        <v>1.22</v>
      </c>
      <c r="DH38">
        <f>ROUND(ROUND(AG38*AK38,2)*CX38,2)</f>
        <v>1.35</v>
      </c>
      <c r="DI38">
        <f t="shared" si="17"/>
        <v>0</v>
      </c>
      <c r="DJ38">
        <f>DG38</f>
        <v>1.22</v>
      </c>
      <c r="DK38">
        <v>0</v>
      </c>
      <c r="DL38" t="s">
        <v>3</v>
      </c>
      <c r="DM38">
        <v>0</v>
      </c>
      <c r="DN38" t="s">
        <v>3</v>
      </c>
      <c r="DO38">
        <v>0</v>
      </c>
    </row>
    <row r="39" spans="1:119" x14ac:dyDescent="0.2">
      <c r="A39">
        <f>ROW(Source!A42)</f>
        <v>42</v>
      </c>
      <c r="B39">
        <v>145026783</v>
      </c>
      <c r="C39">
        <v>145106337</v>
      </c>
      <c r="D39">
        <v>140923885</v>
      </c>
      <c r="E39">
        <v>1</v>
      </c>
      <c r="F39">
        <v>1</v>
      </c>
      <c r="G39">
        <v>1</v>
      </c>
      <c r="H39">
        <v>2</v>
      </c>
      <c r="I39" t="s">
        <v>668</v>
      </c>
      <c r="J39" t="s">
        <v>669</v>
      </c>
      <c r="K39" t="s">
        <v>670</v>
      </c>
      <c r="L39">
        <v>1367</v>
      </c>
      <c r="N39">
        <v>1011</v>
      </c>
      <c r="O39" t="s">
        <v>614</v>
      </c>
      <c r="P39" t="s">
        <v>614</v>
      </c>
      <c r="Q39">
        <v>1</v>
      </c>
      <c r="W39">
        <v>0</v>
      </c>
      <c r="X39">
        <v>509054691</v>
      </c>
      <c r="Y39">
        <f>(AT39*0.8)</f>
        <v>2.4E-2</v>
      </c>
      <c r="AA39">
        <v>0</v>
      </c>
      <c r="AB39">
        <v>817.43</v>
      </c>
      <c r="AC39">
        <v>371.32</v>
      </c>
      <c r="AD39">
        <v>0</v>
      </c>
      <c r="AE39">
        <v>0</v>
      </c>
      <c r="AF39">
        <v>65.709999999999994</v>
      </c>
      <c r="AG39">
        <v>11.6</v>
      </c>
      <c r="AH39">
        <v>0</v>
      </c>
      <c r="AI39">
        <v>1</v>
      </c>
      <c r="AJ39">
        <v>12.44</v>
      </c>
      <c r="AK39">
        <v>32.01</v>
      </c>
      <c r="AL39">
        <v>1</v>
      </c>
      <c r="AM39">
        <v>4</v>
      </c>
      <c r="AN39">
        <v>0</v>
      </c>
      <c r="AO39">
        <v>1</v>
      </c>
      <c r="AP39">
        <v>1</v>
      </c>
      <c r="AQ39">
        <v>0</v>
      </c>
      <c r="AR39">
        <v>0</v>
      </c>
      <c r="AS39" t="s">
        <v>3</v>
      </c>
      <c r="AT39">
        <v>0.03</v>
      </c>
      <c r="AU39" t="s">
        <v>94</v>
      </c>
      <c r="AV39">
        <v>0</v>
      </c>
      <c r="AW39">
        <v>2</v>
      </c>
      <c r="AX39">
        <v>145106342</v>
      </c>
      <c r="AY39">
        <v>1</v>
      </c>
      <c r="AZ39">
        <v>0</v>
      </c>
      <c r="BA39">
        <v>41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ROUND(Y39*Source!I42,9)</f>
        <v>8.5439999999999995E-4</v>
      </c>
      <c r="CY39">
        <f>AB39</f>
        <v>817.43</v>
      </c>
      <c r="CZ39">
        <f>AF39</f>
        <v>65.709999999999994</v>
      </c>
      <c r="DA39">
        <f>AJ39</f>
        <v>12.44</v>
      </c>
      <c r="DB39">
        <f>ROUND((ROUND(AT39*CZ39,2)*0.8),2)</f>
        <v>1.58</v>
      </c>
      <c r="DC39">
        <f>ROUND((ROUND(AT39*AG39,2)*0.8),2)</f>
        <v>0.28000000000000003</v>
      </c>
      <c r="DD39" t="s">
        <v>3</v>
      </c>
      <c r="DE39" t="s">
        <v>3</v>
      </c>
      <c r="DF39">
        <f>ROUND(ROUND(AE39,2)*CX39,2)</f>
        <v>0</v>
      </c>
      <c r="DG39">
        <f>ROUND(ROUND(AF39*AJ39,2)*CX39,2)</f>
        <v>0.7</v>
      </c>
      <c r="DH39">
        <f>ROUND(ROUND(AG39*AK39,2)*CX39,2)</f>
        <v>0.32</v>
      </c>
      <c r="DI39">
        <f t="shared" si="17"/>
        <v>0</v>
      </c>
      <c r="DJ39">
        <f>DG39</f>
        <v>0.7</v>
      </c>
      <c r="DK39">
        <v>0</v>
      </c>
      <c r="DL39" t="s">
        <v>3</v>
      </c>
      <c r="DM39">
        <v>0</v>
      </c>
      <c r="DN39" t="s">
        <v>3</v>
      </c>
      <c r="DO39">
        <v>0</v>
      </c>
    </row>
    <row r="40" spans="1:119" x14ac:dyDescent="0.2">
      <c r="A40">
        <f>ROW(Source!A42)</f>
        <v>42</v>
      </c>
      <c r="B40">
        <v>145026783</v>
      </c>
      <c r="C40">
        <v>145106337</v>
      </c>
      <c r="D40">
        <v>140775118</v>
      </c>
      <c r="E40">
        <v>1</v>
      </c>
      <c r="F40">
        <v>1</v>
      </c>
      <c r="G40">
        <v>1</v>
      </c>
      <c r="H40">
        <v>3</v>
      </c>
      <c r="I40" t="s">
        <v>671</v>
      </c>
      <c r="J40" t="s">
        <v>672</v>
      </c>
      <c r="K40" t="s">
        <v>673</v>
      </c>
      <c r="L40">
        <v>1348</v>
      </c>
      <c r="N40">
        <v>1009</v>
      </c>
      <c r="O40" t="s">
        <v>49</v>
      </c>
      <c r="P40" t="s">
        <v>49</v>
      </c>
      <c r="Q40">
        <v>1000</v>
      </c>
      <c r="W40">
        <v>0</v>
      </c>
      <c r="X40">
        <v>-45966985</v>
      </c>
      <c r="Y40">
        <f t="shared" ref="Y40:Y48" si="18">(AT40*0)</f>
        <v>0</v>
      </c>
      <c r="AA40">
        <v>106604.2</v>
      </c>
      <c r="AB40">
        <v>0</v>
      </c>
      <c r="AC40">
        <v>0</v>
      </c>
      <c r="AD40">
        <v>0</v>
      </c>
      <c r="AE40">
        <v>11978</v>
      </c>
      <c r="AF40">
        <v>0</v>
      </c>
      <c r="AG40">
        <v>0</v>
      </c>
      <c r="AH40">
        <v>0</v>
      </c>
      <c r="AI40">
        <v>8.9</v>
      </c>
      <c r="AJ40">
        <v>1</v>
      </c>
      <c r="AK40">
        <v>1</v>
      </c>
      <c r="AL40">
        <v>1</v>
      </c>
      <c r="AM40">
        <v>4</v>
      </c>
      <c r="AN40">
        <v>0</v>
      </c>
      <c r="AO40">
        <v>1</v>
      </c>
      <c r="AP40">
        <v>1</v>
      </c>
      <c r="AQ40">
        <v>0</v>
      </c>
      <c r="AR40">
        <v>0</v>
      </c>
      <c r="AS40" t="s">
        <v>3</v>
      </c>
      <c r="AT40">
        <v>1.1E-4</v>
      </c>
      <c r="AU40" t="s">
        <v>93</v>
      </c>
      <c r="AV40">
        <v>0</v>
      </c>
      <c r="AW40">
        <v>2</v>
      </c>
      <c r="AX40">
        <v>145106343</v>
      </c>
      <c r="AY40">
        <v>1</v>
      </c>
      <c r="AZ40">
        <v>0</v>
      </c>
      <c r="BA40">
        <v>42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ROUND(Y40*Source!I42,9)</f>
        <v>0</v>
      </c>
      <c r="CY40">
        <f t="shared" ref="CY40:CY48" si="19">AA40</f>
        <v>106604.2</v>
      </c>
      <c r="CZ40">
        <f t="shared" ref="CZ40:CZ48" si="20">AE40</f>
        <v>11978</v>
      </c>
      <c r="DA40">
        <f t="shared" ref="DA40:DA48" si="21">AI40</f>
        <v>8.9</v>
      </c>
      <c r="DB40">
        <f t="shared" ref="DB40:DB48" si="22">ROUND((ROUND(AT40*CZ40,2)*0),2)</f>
        <v>0</v>
      </c>
      <c r="DC40">
        <f t="shared" ref="DC40:DC48" si="23">ROUND((ROUND(AT40*AG40,2)*0),2)</f>
        <v>0</v>
      </c>
      <c r="DD40" t="s">
        <v>3</v>
      </c>
      <c r="DE40" t="s">
        <v>3</v>
      </c>
      <c r="DF40">
        <f t="shared" ref="DF40:DF48" si="24">ROUND(ROUND(AE40*AI40,2)*CX40,2)</f>
        <v>0</v>
      </c>
      <c r="DG40">
        <f t="shared" ref="DG40:DG50" si="25">ROUND(ROUND(AF40,2)*CX40,2)</f>
        <v>0</v>
      </c>
      <c r="DH40">
        <f t="shared" ref="DH40:DH49" si="26">ROUND(ROUND(AG40,2)*CX40,2)</f>
        <v>0</v>
      </c>
      <c r="DI40">
        <f t="shared" si="17"/>
        <v>0</v>
      </c>
      <c r="DJ40">
        <f t="shared" ref="DJ40:DJ48" si="27">DF40</f>
        <v>0</v>
      </c>
      <c r="DK40">
        <v>0</v>
      </c>
      <c r="DL40" t="s">
        <v>3</v>
      </c>
      <c r="DM40">
        <v>0</v>
      </c>
      <c r="DN40" t="s">
        <v>3</v>
      </c>
      <c r="DO40">
        <v>0</v>
      </c>
    </row>
    <row r="41" spans="1:119" x14ac:dyDescent="0.2">
      <c r="A41">
        <f>ROW(Source!A42)</f>
        <v>42</v>
      </c>
      <c r="B41">
        <v>145026783</v>
      </c>
      <c r="C41">
        <v>145106337</v>
      </c>
      <c r="D41">
        <v>140775542</v>
      </c>
      <c r="E41">
        <v>1</v>
      </c>
      <c r="F41">
        <v>1</v>
      </c>
      <c r="G41">
        <v>1</v>
      </c>
      <c r="H41">
        <v>3</v>
      </c>
      <c r="I41" t="s">
        <v>674</v>
      </c>
      <c r="J41" t="s">
        <v>675</v>
      </c>
      <c r="K41" t="s">
        <v>676</v>
      </c>
      <c r="L41">
        <v>1348</v>
      </c>
      <c r="N41">
        <v>1009</v>
      </c>
      <c r="O41" t="s">
        <v>49</v>
      </c>
      <c r="P41" t="s">
        <v>49</v>
      </c>
      <c r="Q41">
        <v>1000</v>
      </c>
      <c r="W41">
        <v>0</v>
      </c>
      <c r="X41">
        <v>922118133</v>
      </c>
      <c r="Y41">
        <f t="shared" si="18"/>
        <v>0</v>
      </c>
      <c r="AA41">
        <v>156246.18</v>
      </c>
      <c r="AB41">
        <v>0</v>
      </c>
      <c r="AC41">
        <v>0</v>
      </c>
      <c r="AD41">
        <v>0</v>
      </c>
      <c r="AE41">
        <v>17555.75</v>
      </c>
      <c r="AF41">
        <v>0</v>
      </c>
      <c r="AG41">
        <v>0</v>
      </c>
      <c r="AH41">
        <v>0</v>
      </c>
      <c r="AI41">
        <v>8.9</v>
      </c>
      <c r="AJ41">
        <v>1</v>
      </c>
      <c r="AK41">
        <v>1</v>
      </c>
      <c r="AL41">
        <v>1</v>
      </c>
      <c r="AM41">
        <v>4</v>
      </c>
      <c r="AN41">
        <v>0</v>
      </c>
      <c r="AO41">
        <v>1</v>
      </c>
      <c r="AP41">
        <v>1</v>
      </c>
      <c r="AQ41">
        <v>0</v>
      </c>
      <c r="AR41">
        <v>0</v>
      </c>
      <c r="AS41" t="s">
        <v>3</v>
      </c>
      <c r="AT41">
        <v>9.0000000000000006E-5</v>
      </c>
      <c r="AU41" t="s">
        <v>93</v>
      </c>
      <c r="AV41">
        <v>0</v>
      </c>
      <c r="AW41">
        <v>2</v>
      </c>
      <c r="AX41">
        <v>145106344</v>
      </c>
      <c r="AY41">
        <v>1</v>
      </c>
      <c r="AZ41">
        <v>0</v>
      </c>
      <c r="BA41">
        <v>43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ROUND(Y41*Source!I42,9)</f>
        <v>0</v>
      </c>
      <c r="CY41">
        <f t="shared" si="19"/>
        <v>156246.18</v>
      </c>
      <c r="CZ41">
        <f t="shared" si="20"/>
        <v>17555.75</v>
      </c>
      <c r="DA41">
        <f t="shared" si="21"/>
        <v>8.9</v>
      </c>
      <c r="DB41">
        <f t="shared" si="22"/>
        <v>0</v>
      </c>
      <c r="DC41">
        <f t="shared" si="23"/>
        <v>0</v>
      </c>
      <c r="DD41" t="s">
        <v>3</v>
      </c>
      <c r="DE41" t="s">
        <v>3</v>
      </c>
      <c r="DF41">
        <f t="shared" si="24"/>
        <v>0</v>
      </c>
      <c r="DG41">
        <f t="shared" si="25"/>
        <v>0</v>
      </c>
      <c r="DH41">
        <f t="shared" si="26"/>
        <v>0</v>
      </c>
      <c r="DI41">
        <f t="shared" si="17"/>
        <v>0</v>
      </c>
      <c r="DJ41">
        <f t="shared" si="27"/>
        <v>0</v>
      </c>
      <c r="DK41">
        <v>0</v>
      </c>
      <c r="DL41" t="s">
        <v>3</v>
      </c>
      <c r="DM41">
        <v>0</v>
      </c>
      <c r="DN41" t="s">
        <v>3</v>
      </c>
      <c r="DO41">
        <v>0</v>
      </c>
    </row>
    <row r="42" spans="1:119" x14ac:dyDescent="0.2">
      <c r="A42">
        <f>ROW(Source!A42)</f>
        <v>42</v>
      </c>
      <c r="B42">
        <v>145026783</v>
      </c>
      <c r="C42">
        <v>145106337</v>
      </c>
      <c r="D42">
        <v>140775863</v>
      </c>
      <c r="E42">
        <v>1</v>
      </c>
      <c r="F42">
        <v>1</v>
      </c>
      <c r="G42">
        <v>1</v>
      </c>
      <c r="H42">
        <v>3</v>
      </c>
      <c r="I42" t="s">
        <v>677</v>
      </c>
      <c r="J42" t="s">
        <v>678</v>
      </c>
      <c r="K42" t="s">
        <v>679</v>
      </c>
      <c r="L42">
        <v>1327</v>
      </c>
      <c r="N42">
        <v>1005</v>
      </c>
      <c r="O42" t="s">
        <v>72</v>
      </c>
      <c r="P42" t="s">
        <v>72</v>
      </c>
      <c r="Q42">
        <v>1</v>
      </c>
      <c r="W42">
        <v>0</v>
      </c>
      <c r="X42">
        <v>105551837</v>
      </c>
      <c r="Y42">
        <f t="shared" si="18"/>
        <v>0</v>
      </c>
      <c r="AA42">
        <v>643.65</v>
      </c>
      <c r="AB42">
        <v>0</v>
      </c>
      <c r="AC42">
        <v>0</v>
      </c>
      <c r="AD42">
        <v>0</v>
      </c>
      <c r="AE42">
        <v>72.319999999999993</v>
      </c>
      <c r="AF42">
        <v>0</v>
      </c>
      <c r="AG42">
        <v>0</v>
      </c>
      <c r="AH42">
        <v>0</v>
      </c>
      <c r="AI42">
        <v>8.9</v>
      </c>
      <c r="AJ42">
        <v>1</v>
      </c>
      <c r="AK42">
        <v>1</v>
      </c>
      <c r="AL42">
        <v>1</v>
      </c>
      <c r="AM42">
        <v>4</v>
      </c>
      <c r="AN42">
        <v>0</v>
      </c>
      <c r="AO42">
        <v>1</v>
      </c>
      <c r="AP42">
        <v>1</v>
      </c>
      <c r="AQ42">
        <v>0</v>
      </c>
      <c r="AR42">
        <v>0</v>
      </c>
      <c r="AS42" t="s">
        <v>3</v>
      </c>
      <c r="AT42">
        <v>0.5</v>
      </c>
      <c r="AU42" t="s">
        <v>93</v>
      </c>
      <c r="AV42">
        <v>0</v>
      </c>
      <c r="AW42">
        <v>2</v>
      </c>
      <c r="AX42">
        <v>145106345</v>
      </c>
      <c r="AY42">
        <v>1</v>
      </c>
      <c r="AZ42">
        <v>0</v>
      </c>
      <c r="BA42">
        <v>44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ROUND(Y42*Source!I42,9)</f>
        <v>0</v>
      </c>
      <c r="CY42">
        <f t="shared" si="19"/>
        <v>643.65</v>
      </c>
      <c r="CZ42">
        <f t="shared" si="20"/>
        <v>72.319999999999993</v>
      </c>
      <c r="DA42">
        <f t="shared" si="21"/>
        <v>8.9</v>
      </c>
      <c r="DB42">
        <f t="shared" si="22"/>
        <v>0</v>
      </c>
      <c r="DC42">
        <f t="shared" si="23"/>
        <v>0</v>
      </c>
      <c r="DD42" t="s">
        <v>3</v>
      </c>
      <c r="DE42" t="s">
        <v>3</v>
      </c>
      <c r="DF42">
        <f t="shared" si="24"/>
        <v>0</v>
      </c>
      <c r="DG42">
        <f t="shared" si="25"/>
        <v>0</v>
      </c>
      <c r="DH42">
        <f t="shared" si="26"/>
        <v>0</v>
      </c>
      <c r="DI42">
        <f t="shared" si="17"/>
        <v>0</v>
      </c>
      <c r="DJ42">
        <f t="shared" si="27"/>
        <v>0</v>
      </c>
      <c r="DK42">
        <v>0</v>
      </c>
      <c r="DL42" t="s">
        <v>3</v>
      </c>
      <c r="DM42">
        <v>0</v>
      </c>
      <c r="DN42" t="s">
        <v>3</v>
      </c>
      <c r="DO42">
        <v>0</v>
      </c>
    </row>
    <row r="43" spans="1:119" x14ac:dyDescent="0.2">
      <c r="A43">
        <f>ROW(Source!A42)</f>
        <v>42</v>
      </c>
      <c r="B43">
        <v>145026783</v>
      </c>
      <c r="C43">
        <v>145106337</v>
      </c>
      <c r="D43">
        <v>140776226</v>
      </c>
      <c r="E43">
        <v>1</v>
      </c>
      <c r="F43">
        <v>1</v>
      </c>
      <c r="G43">
        <v>1</v>
      </c>
      <c r="H43">
        <v>3</v>
      </c>
      <c r="I43" t="s">
        <v>680</v>
      </c>
      <c r="J43" t="s">
        <v>681</v>
      </c>
      <c r="K43" t="s">
        <v>682</v>
      </c>
      <c r="L43">
        <v>1346</v>
      </c>
      <c r="N43">
        <v>1009</v>
      </c>
      <c r="O43" t="s">
        <v>154</v>
      </c>
      <c r="P43" t="s">
        <v>154</v>
      </c>
      <c r="Q43">
        <v>1</v>
      </c>
      <c r="W43">
        <v>0</v>
      </c>
      <c r="X43">
        <v>1052716416</v>
      </c>
      <c r="Y43">
        <f t="shared" si="18"/>
        <v>0</v>
      </c>
      <c r="AA43">
        <v>16.2</v>
      </c>
      <c r="AB43">
        <v>0</v>
      </c>
      <c r="AC43">
        <v>0</v>
      </c>
      <c r="AD43">
        <v>0</v>
      </c>
      <c r="AE43">
        <v>1.82</v>
      </c>
      <c r="AF43">
        <v>0</v>
      </c>
      <c r="AG43">
        <v>0</v>
      </c>
      <c r="AH43">
        <v>0</v>
      </c>
      <c r="AI43">
        <v>8.9</v>
      </c>
      <c r="AJ43">
        <v>1</v>
      </c>
      <c r="AK43">
        <v>1</v>
      </c>
      <c r="AL43">
        <v>1</v>
      </c>
      <c r="AM43">
        <v>4</v>
      </c>
      <c r="AN43">
        <v>0</v>
      </c>
      <c r="AO43">
        <v>1</v>
      </c>
      <c r="AP43">
        <v>1</v>
      </c>
      <c r="AQ43">
        <v>0</v>
      </c>
      <c r="AR43">
        <v>0</v>
      </c>
      <c r="AS43" t="s">
        <v>3</v>
      </c>
      <c r="AT43">
        <v>0.26</v>
      </c>
      <c r="AU43" t="s">
        <v>93</v>
      </c>
      <c r="AV43">
        <v>0</v>
      </c>
      <c r="AW43">
        <v>2</v>
      </c>
      <c r="AX43">
        <v>145106346</v>
      </c>
      <c r="AY43">
        <v>1</v>
      </c>
      <c r="AZ43">
        <v>0</v>
      </c>
      <c r="BA43">
        <v>45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ROUND(Y43*Source!I42,9)</f>
        <v>0</v>
      </c>
      <c r="CY43">
        <f t="shared" si="19"/>
        <v>16.2</v>
      </c>
      <c r="CZ43">
        <f t="shared" si="20"/>
        <v>1.82</v>
      </c>
      <c r="DA43">
        <f t="shared" si="21"/>
        <v>8.9</v>
      </c>
      <c r="DB43">
        <f t="shared" si="22"/>
        <v>0</v>
      </c>
      <c r="DC43">
        <f t="shared" si="23"/>
        <v>0</v>
      </c>
      <c r="DD43" t="s">
        <v>3</v>
      </c>
      <c r="DE43" t="s">
        <v>3</v>
      </c>
      <c r="DF43">
        <f t="shared" si="24"/>
        <v>0</v>
      </c>
      <c r="DG43">
        <f t="shared" si="25"/>
        <v>0</v>
      </c>
      <c r="DH43">
        <f t="shared" si="26"/>
        <v>0</v>
      </c>
      <c r="DI43">
        <f t="shared" si="17"/>
        <v>0</v>
      </c>
      <c r="DJ43">
        <f t="shared" si="27"/>
        <v>0</v>
      </c>
      <c r="DK43">
        <v>0</v>
      </c>
      <c r="DL43" t="s">
        <v>3</v>
      </c>
      <c r="DM43">
        <v>0</v>
      </c>
      <c r="DN43" t="s">
        <v>3</v>
      </c>
      <c r="DO43">
        <v>0</v>
      </c>
    </row>
    <row r="44" spans="1:119" x14ac:dyDescent="0.2">
      <c r="A44">
        <f>ROW(Source!A42)</f>
        <v>42</v>
      </c>
      <c r="B44">
        <v>145026783</v>
      </c>
      <c r="C44">
        <v>145106337</v>
      </c>
      <c r="D44">
        <v>140796354</v>
      </c>
      <c r="E44">
        <v>1</v>
      </c>
      <c r="F44">
        <v>1</v>
      </c>
      <c r="G44">
        <v>1</v>
      </c>
      <c r="H44">
        <v>3</v>
      </c>
      <c r="I44" t="s">
        <v>683</v>
      </c>
      <c r="J44" t="s">
        <v>684</v>
      </c>
      <c r="K44" t="s">
        <v>685</v>
      </c>
      <c r="L44">
        <v>1339</v>
      </c>
      <c r="N44">
        <v>1007</v>
      </c>
      <c r="O44" t="s">
        <v>638</v>
      </c>
      <c r="P44" t="s">
        <v>638</v>
      </c>
      <c r="Q44">
        <v>1</v>
      </c>
      <c r="W44">
        <v>0</v>
      </c>
      <c r="X44">
        <v>192703455</v>
      </c>
      <c r="Y44">
        <f t="shared" si="18"/>
        <v>0</v>
      </c>
      <c r="AA44">
        <v>9398.4</v>
      </c>
      <c r="AB44">
        <v>0</v>
      </c>
      <c r="AC44">
        <v>0</v>
      </c>
      <c r="AD44">
        <v>0</v>
      </c>
      <c r="AE44">
        <v>1056</v>
      </c>
      <c r="AF44">
        <v>0</v>
      </c>
      <c r="AG44">
        <v>0</v>
      </c>
      <c r="AH44">
        <v>0</v>
      </c>
      <c r="AI44">
        <v>8.9</v>
      </c>
      <c r="AJ44">
        <v>1</v>
      </c>
      <c r="AK44">
        <v>1</v>
      </c>
      <c r="AL44">
        <v>1</v>
      </c>
      <c r="AM44">
        <v>4</v>
      </c>
      <c r="AN44">
        <v>0</v>
      </c>
      <c r="AO44">
        <v>1</v>
      </c>
      <c r="AP44">
        <v>1</v>
      </c>
      <c r="AQ44">
        <v>0</v>
      </c>
      <c r="AR44">
        <v>0</v>
      </c>
      <c r="AS44" t="s">
        <v>3</v>
      </c>
      <c r="AT44">
        <v>5.0000000000000001E-3</v>
      </c>
      <c r="AU44" t="s">
        <v>93</v>
      </c>
      <c r="AV44">
        <v>0</v>
      </c>
      <c r="AW44">
        <v>2</v>
      </c>
      <c r="AX44">
        <v>145106347</v>
      </c>
      <c r="AY44">
        <v>1</v>
      </c>
      <c r="AZ44">
        <v>0</v>
      </c>
      <c r="BA44">
        <v>46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ROUND(Y44*Source!I42,9)</f>
        <v>0</v>
      </c>
      <c r="CY44">
        <f t="shared" si="19"/>
        <v>9398.4</v>
      </c>
      <c r="CZ44">
        <f t="shared" si="20"/>
        <v>1056</v>
      </c>
      <c r="DA44">
        <f t="shared" si="21"/>
        <v>8.9</v>
      </c>
      <c r="DB44">
        <f t="shared" si="22"/>
        <v>0</v>
      </c>
      <c r="DC44">
        <f t="shared" si="23"/>
        <v>0</v>
      </c>
      <c r="DD44" t="s">
        <v>3</v>
      </c>
      <c r="DE44" t="s">
        <v>3</v>
      </c>
      <c r="DF44">
        <f t="shared" si="24"/>
        <v>0</v>
      </c>
      <c r="DG44">
        <f t="shared" si="25"/>
        <v>0</v>
      </c>
      <c r="DH44">
        <f t="shared" si="26"/>
        <v>0</v>
      </c>
      <c r="DI44">
        <f t="shared" si="17"/>
        <v>0</v>
      </c>
      <c r="DJ44">
        <f t="shared" si="27"/>
        <v>0</v>
      </c>
      <c r="DK44">
        <v>0</v>
      </c>
      <c r="DL44" t="s">
        <v>3</v>
      </c>
      <c r="DM44">
        <v>0</v>
      </c>
      <c r="DN44" t="s">
        <v>3</v>
      </c>
      <c r="DO44">
        <v>0</v>
      </c>
    </row>
    <row r="45" spans="1:119" x14ac:dyDescent="0.2">
      <c r="A45">
        <f>ROW(Source!A42)</f>
        <v>42</v>
      </c>
      <c r="B45">
        <v>145026783</v>
      </c>
      <c r="C45">
        <v>145106337</v>
      </c>
      <c r="D45">
        <v>140798269</v>
      </c>
      <c r="E45">
        <v>1</v>
      </c>
      <c r="F45">
        <v>1</v>
      </c>
      <c r="G45">
        <v>1</v>
      </c>
      <c r="H45">
        <v>3</v>
      </c>
      <c r="I45" t="s">
        <v>686</v>
      </c>
      <c r="J45" t="s">
        <v>687</v>
      </c>
      <c r="K45" t="s">
        <v>688</v>
      </c>
      <c r="L45">
        <v>1301</v>
      </c>
      <c r="N45">
        <v>1003</v>
      </c>
      <c r="O45" t="s">
        <v>191</v>
      </c>
      <c r="P45" t="s">
        <v>191</v>
      </c>
      <c r="Q45">
        <v>1</v>
      </c>
      <c r="W45">
        <v>0</v>
      </c>
      <c r="X45">
        <v>1858553043</v>
      </c>
      <c r="Y45">
        <f t="shared" si="18"/>
        <v>0</v>
      </c>
      <c r="AA45">
        <v>47.17</v>
      </c>
      <c r="AB45">
        <v>0</v>
      </c>
      <c r="AC45">
        <v>0</v>
      </c>
      <c r="AD45">
        <v>0</v>
      </c>
      <c r="AE45">
        <v>5.3</v>
      </c>
      <c r="AF45">
        <v>0</v>
      </c>
      <c r="AG45">
        <v>0</v>
      </c>
      <c r="AH45">
        <v>0</v>
      </c>
      <c r="AI45">
        <v>8.9</v>
      </c>
      <c r="AJ45">
        <v>1</v>
      </c>
      <c r="AK45">
        <v>1</v>
      </c>
      <c r="AL45">
        <v>1</v>
      </c>
      <c r="AM45">
        <v>4</v>
      </c>
      <c r="AN45">
        <v>0</v>
      </c>
      <c r="AO45">
        <v>1</v>
      </c>
      <c r="AP45">
        <v>1</v>
      </c>
      <c r="AQ45">
        <v>0</v>
      </c>
      <c r="AR45">
        <v>0</v>
      </c>
      <c r="AS45" t="s">
        <v>3</v>
      </c>
      <c r="AT45">
        <v>40.4</v>
      </c>
      <c r="AU45" t="s">
        <v>93</v>
      </c>
      <c r="AV45">
        <v>0</v>
      </c>
      <c r="AW45">
        <v>2</v>
      </c>
      <c r="AX45">
        <v>145106350</v>
      </c>
      <c r="AY45">
        <v>1</v>
      </c>
      <c r="AZ45">
        <v>0</v>
      </c>
      <c r="BA45">
        <v>49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ROUND(Y45*Source!I42,9)</f>
        <v>0</v>
      </c>
      <c r="CY45">
        <f t="shared" si="19"/>
        <v>47.17</v>
      </c>
      <c r="CZ45">
        <f t="shared" si="20"/>
        <v>5.3</v>
      </c>
      <c r="DA45">
        <f t="shared" si="21"/>
        <v>8.9</v>
      </c>
      <c r="DB45">
        <f t="shared" si="22"/>
        <v>0</v>
      </c>
      <c r="DC45">
        <f t="shared" si="23"/>
        <v>0</v>
      </c>
      <c r="DD45" t="s">
        <v>3</v>
      </c>
      <c r="DE45" t="s">
        <v>3</v>
      </c>
      <c r="DF45">
        <f t="shared" si="24"/>
        <v>0</v>
      </c>
      <c r="DG45">
        <f t="shared" si="25"/>
        <v>0</v>
      </c>
      <c r="DH45">
        <f t="shared" si="26"/>
        <v>0</v>
      </c>
      <c r="DI45">
        <f t="shared" si="17"/>
        <v>0</v>
      </c>
      <c r="DJ45">
        <f t="shared" si="27"/>
        <v>0</v>
      </c>
      <c r="DK45">
        <v>0</v>
      </c>
      <c r="DL45" t="s">
        <v>3</v>
      </c>
      <c r="DM45">
        <v>0</v>
      </c>
      <c r="DN45" t="s">
        <v>3</v>
      </c>
      <c r="DO45">
        <v>0</v>
      </c>
    </row>
    <row r="46" spans="1:119" x14ac:dyDescent="0.2">
      <c r="A46">
        <f>ROW(Source!A42)</f>
        <v>42</v>
      </c>
      <c r="B46">
        <v>145026783</v>
      </c>
      <c r="C46">
        <v>145106337</v>
      </c>
      <c r="D46">
        <v>140798270</v>
      </c>
      <c r="E46">
        <v>1</v>
      </c>
      <c r="F46">
        <v>1</v>
      </c>
      <c r="G46">
        <v>1</v>
      </c>
      <c r="H46">
        <v>3</v>
      </c>
      <c r="I46" t="s">
        <v>689</v>
      </c>
      <c r="J46" t="s">
        <v>690</v>
      </c>
      <c r="K46" t="s">
        <v>691</v>
      </c>
      <c r="L46">
        <v>1301</v>
      </c>
      <c r="N46">
        <v>1003</v>
      </c>
      <c r="O46" t="s">
        <v>191</v>
      </c>
      <c r="P46" t="s">
        <v>191</v>
      </c>
      <c r="Q46">
        <v>1</v>
      </c>
      <c r="W46">
        <v>0</v>
      </c>
      <c r="X46">
        <v>1595361654</v>
      </c>
      <c r="Y46">
        <f t="shared" si="18"/>
        <v>0</v>
      </c>
      <c r="AA46">
        <v>47.17</v>
      </c>
      <c r="AB46">
        <v>0</v>
      </c>
      <c r="AC46">
        <v>0</v>
      </c>
      <c r="AD46">
        <v>0</v>
      </c>
      <c r="AE46">
        <v>5.3</v>
      </c>
      <c r="AF46">
        <v>0</v>
      </c>
      <c r="AG46">
        <v>0</v>
      </c>
      <c r="AH46">
        <v>0</v>
      </c>
      <c r="AI46">
        <v>8.9</v>
      </c>
      <c r="AJ46">
        <v>1</v>
      </c>
      <c r="AK46">
        <v>1</v>
      </c>
      <c r="AL46">
        <v>1</v>
      </c>
      <c r="AM46">
        <v>4</v>
      </c>
      <c r="AN46">
        <v>0</v>
      </c>
      <c r="AO46">
        <v>1</v>
      </c>
      <c r="AP46">
        <v>1</v>
      </c>
      <c r="AQ46">
        <v>0</v>
      </c>
      <c r="AR46">
        <v>0</v>
      </c>
      <c r="AS46" t="s">
        <v>3</v>
      </c>
      <c r="AT46">
        <v>88.21</v>
      </c>
      <c r="AU46" t="s">
        <v>93</v>
      </c>
      <c r="AV46">
        <v>0</v>
      </c>
      <c r="AW46">
        <v>2</v>
      </c>
      <c r="AX46">
        <v>145106351</v>
      </c>
      <c r="AY46">
        <v>1</v>
      </c>
      <c r="AZ46">
        <v>0</v>
      </c>
      <c r="BA46">
        <v>50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ROUND(Y46*Source!I42,9)</f>
        <v>0</v>
      </c>
      <c r="CY46">
        <f t="shared" si="19"/>
        <v>47.17</v>
      </c>
      <c r="CZ46">
        <f t="shared" si="20"/>
        <v>5.3</v>
      </c>
      <c r="DA46">
        <f t="shared" si="21"/>
        <v>8.9</v>
      </c>
      <c r="DB46">
        <f t="shared" si="22"/>
        <v>0</v>
      </c>
      <c r="DC46">
        <f t="shared" si="23"/>
        <v>0</v>
      </c>
      <c r="DD46" t="s">
        <v>3</v>
      </c>
      <c r="DE46" t="s">
        <v>3</v>
      </c>
      <c r="DF46">
        <f t="shared" si="24"/>
        <v>0</v>
      </c>
      <c r="DG46">
        <f t="shared" si="25"/>
        <v>0</v>
      </c>
      <c r="DH46">
        <f t="shared" si="26"/>
        <v>0</v>
      </c>
      <c r="DI46">
        <f t="shared" si="17"/>
        <v>0</v>
      </c>
      <c r="DJ46">
        <f t="shared" si="27"/>
        <v>0</v>
      </c>
      <c r="DK46">
        <v>0</v>
      </c>
      <c r="DL46" t="s">
        <v>3</v>
      </c>
      <c r="DM46">
        <v>0</v>
      </c>
      <c r="DN46" t="s">
        <v>3</v>
      </c>
      <c r="DO46">
        <v>0</v>
      </c>
    </row>
    <row r="47" spans="1:119" x14ac:dyDescent="0.2">
      <c r="A47">
        <f>ROW(Source!A42)</f>
        <v>42</v>
      </c>
      <c r="B47">
        <v>145026783</v>
      </c>
      <c r="C47">
        <v>145106337</v>
      </c>
      <c r="D47">
        <v>140803186</v>
      </c>
      <c r="E47">
        <v>1</v>
      </c>
      <c r="F47">
        <v>1</v>
      </c>
      <c r="G47">
        <v>1</v>
      </c>
      <c r="H47">
        <v>3</v>
      </c>
      <c r="I47" t="s">
        <v>692</v>
      </c>
      <c r="J47" t="s">
        <v>693</v>
      </c>
      <c r="K47" t="s">
        <v>694</v>
      </c>
      <c r="L47">
        <v>1346</v>
      </c>
      <c r="N47">
        <v>1009</v>
      </c>
      <c r="O47" t="s">
        <v>154</v>
      </c>
      <c r="P47" t="s">
        <v>154</v>
      </c>
      <c r="Q47">
        <v>1</v>
      </c>
      <c r="W47">
        <v>0</v>
      </c>
      <c r="X47">
        <v>991060895</v>
      </c>
      <c r="Y47">
        <f t="shared" si="18"/>
        <v>0</v>
      </c>
      <c r="AA47">
        <v>141.51</v>
      </c>
      <c r="AB47">
        <v>0</v>
      </c>
      <c r="AC47">
        <v>0</v>
      </c>
      <c r="AD47">
        <v>0</v>
      </c>
      <c r="AE47">
        <v>15.9</v>
      </c>
      <c r="AF47">
        <v>0</v>
      </c>
      <c r="AG47">
        <v>0</v>
      </c>
      <c r="AH47">
        <v>0</v>
      </c>
      <c r="AI47">
        <v>8.9</v>
      </c>
      <c r="AJ47">
        <v>1</v>
      </c>
      <c r="AK47">
        <v>1</v>
      </c>
      <c r="AL47">
        <v>1</v>
      </c>
      <c r="AM47">
        <v>4</v>
      </c>
      <c r="AN47">
        <v>0</v>
      </c>
      <c r="AO47">
        <v>1</v>
      </c>
      <c r="AP47">
        <v>1</v>
      </c>
      <c r="AQ47">
        <v>0</v>
      </c>
      <c r="AR47">
        <v>0</v>
      </c>
      <c r="AS47" t="s">
        <v>3</v>
      </c>
      <c r="AT47">
        <v>0.36</v>
      </c>
      <c r="AU47" t="s">
        <v>93</v>
      </c>
      <c r="AV47">
        <v>0</v>
      </c>
      <c r="AW47">
        <v>2</v>
      </c>
      <c r="AX47">
        <v>145106352</v>
      </c>
      <c r="AY47">
        <v>1</v>
      </c>
      <c r="AZ47">
        <v>0</v>
      </c>
      <c r="BA47">
        <v>51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ROUND(Y47*Source!I42,9)</f>
        <v>0</v>
      </c>
      <c r="CY47">
        <f t="shared" si="19"/>
        <v>141.51</v>
      </c>
      <c r="CZ47">
        <f t="shared" si="20"/>
        <v>15.9</v>
      </c>
      <c r="DA47">
        <f t="shared" si="21"/>
        <v>8.9</v>
      </c>
      <c r="DB47">
        <f t="shared" si="22"/>
        <v>0</v>
      </c>
      <c r="DC47">
        <f t="shared" si="23"/>
        <v>0</v>
      </c>
      <c r="DD47" t="s">
        <v>3</v>
      </c>
      <c r="DE47" t="s">
        <v>3</v>
      </c>
      <c r="DF47">
        <f t="shared" si="24"/>
        <v>0</v>
      </c>
      <c r="DG47">
        <f t="shared" si="25"/>
        <v>0</v>
      </c>
      <c r="DH47">
        <f t="shared" si="26"/>
        <v>0</v>
      </c>
      <c r="DI47">
        <f t="shared" si="17"/>
        <v>0</v>
      </c>
      <c r="DJ47">
        <f t="shared" si="27"/>
        <v>0</v>
      </c>
      <c r="DK47">
        <v>0</v>
      </c>
      <c r="DL47" t="s">
        <v>3</v>
      </c>
      <c r="DM47">
        <v>0</v>
      </c>
      <c r="DN47" t="s">
        <v>3</v>
      </c>
      <c r="DO47">
        <v>0</v>
      </c>
    </row>
    <row r="48" spans="1:119" x14ac:dyDescent="0.2">
      <c r="A48">
        <f>ROW(Source!A42)</f>
        <v>42</v>
      </c>
      <c r="B48">
        <v>145026783</v>
      </c>
      <c r="C48">
        <v>145106337</v>
      </c>
      <c r="D48">
        <v>140805027</v>
      </c>
      <c r="E48">
        <v>1</v>
      </c>
      <c r="F48">
        <v>1</v>
      </c>
      <c r="G48">
        <v>1</v>
      </c>
      <c r="H48">
        <v>3</v>
      </c>
      <c r="I48" t="s">
        <v>695</v>
      </c>
      <c r="J48" t="s">
        <v>696</v>
      </c>
      <c r="K48" t="s">
        <v>697</v>
      </c>
      <c r="L48">
        <v>1348</v>
      </c>
      <c r="N48">
        <v>1009</v>
      </c>
      <c r="O48" t="s">
        <v>49</v>
      </c>
      <c r="P48" t="s">
        <v>49</v>
      </c>
      <c r="Q48">
        <v>1000</v>
      </c>
      <c r="W48">
        <v>0</v>
      </c>
      <c r="X48">
        <v>1837692376</v>
      </c>
      <c r="Y48">
        <f t="shared" si="18"/>
        <v>0</v>
      </c>
      <c r="AA48">
        <v>135769.5</v>
      </c>
      <c r="AB48">
        <v>0</v>
      </c>
      <c r="AC48">
        <v>0</v>
      </c>
      <c r="AD48">
        <v>0</v>
      </c>
      <c r="AE48">
        <v>15255</v>
      </c>
      <c r="AF48">
        <v>0</v>
      </c>
      <c r="AG48">
        <v>0</v>
      </c>
      <c r="AH48">
        <v>0</v>
      </c>
      <c r="AI48">
        <v>8.9</v>
      </c>
      <c r="AJ48">
        <v>1</v>
      </c>
      <c r="AK48">
        <v>1</v>
      </c>
      <c r="AL48">
        <v>1</v>
      </c>
      <c r="AM48">
        <v>4</v>
      </c>
      <c r="AN48">
        <v>0</v>
      </c>
      <c r="AO48">
        <v>1</v>
      </c>
      <c r="AP48">
        <v>1</v>
      </c>
      <c r="AQ48">
        <v>0</v>
      </c>
      <c r="AR48">
        <v>0</v>
      </c>
      <c r="AS48" t="s">
        <v>3</v>
      </c>
      <c r="AT48">
        <v>3.2599999999999999E-3</v>
      </c>
      <c r="AU48" t="s">
        <v>93</v>
      </c>
      <c r="AV48">
        <v>0</v>
      </c>
      <c r="AW48">
        <v>2</v>
      </c>
      <c r="AX48">
        <v>145106354</v>
      </c>
      <c r="AY48">
        <v>1</v>
      </c>
      <c r="AZ48">
        <v>0</v>
      </c>
      <c r="BA48">
        <v>53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ROUND(Y48*Source!I42,9)</f>
        <v>0</v>
      </c>
      <c r="CY48">
        <f t="shared" si="19"/>
        <v>135769.5</v>
      </c>
      <c r="CZ48">
        <f t="shared" si="20"/>
        <v>15255</v>
      </c>
      <c r="DA48">
        <f t="shared" si="21"/>
        <v>8.9</v>
      </c>
      <c r="DB48">
        <f t="shared" si="22"/>
        <v>0</v>
      </c>
      <c r="DC48">
        <f t="shared" si="23"/>
        <v>0</v>
      </c>
      <c r="DD48" t="s">
        <v>3</v>
      </c>
      <c r="DE48" t="s">
        <v>3</v>
      </c>
      <c r="DF48">
        <f t="shared" si="24"/>
        <v>0</v>
      </c>
      <c r="DG48">
        <f t="shared" si="25"/>
        <v>0</v>
      </c>
      <c r="DH48">
        <f t="shared" si="26"/>
        <v>0</v>
      </c>
      <c r="DI48">
        <f t="shared" si="17"/>
        <v>0</v>
      </c>
      <c r="DJ48">
        <f t="shared" si="27"/>
        <v>0</v>
      </c>
      <c r="DK48">
        <v>0</v>
      </c>
      <c r="DL48" t="s">
        <v>3</v>
      </c>
      <c r="DM48">
        <v>0</v>
      </c>
      <c r="DN48" t="s">
        <v>3</v>
      </c>
      <c r="DO48">
        <v>0</v>
      </c>
    </row>
    <row r="49" spans="1:119" x14ac:dyDescent="0.2">
      <c r="A49">
        <f>ROW(Source!A43)</f>
        <v>43</v>
      </c>
      <c r="B49">
        <v>145026783</v>
      </c>
      <c r="C49">
        <v>145027154</v>
      </c>
      <c r="D49">
        <v>140760008</v>
      </c>
      <c r="E49">
        <v>70</v>
      </c>
      <c r="F49">
        <v>1</v>
      </c>
      <c r="G49">
        <v>1</v>
      </c>
      <c r="H49">
        <v>1</v>
      </c>
      <c r="I49" t="s">
        <v>663</v>
      </c>
      <c r="J49" t="s">
        <v>3</v>
      </c>
      <c r="K49" t="s">
        <v>664</v>
      </c>
      <c r="L49">
        <v>1191</v>
      </c>
      <c r="N49">
        <v>1013</v>
      </c>
      <c r="O49" t="s">
        <v>608</v>
      </c>
      <c r="P49" t="s">
        <v>608</v>
      </c>
      <c r="Q49">
        <v>1</v>
      </c>
      <c r="W49">
        <v>0</v>
      </c>
      <c r="X49">
        <v>-1810713292</v>
      </c>
      <c r="Y49">
        <f t="shared" ref="Y49:Y66" si="28">AT49</f>
        <v>142.46</v>
      </c>
      <c r="AA49">
        <v>0</v>
      </c>
      <c r="AB49">
        <v>0</v>
      </c>
      <c r="AC49">
        <v>0</v>
      </c>
      <c r="AD49">
        <v>293.85000000000002</v>
      </c>
      <c r="AE49">
        <v>0</v>
      </c>
      <c r="AF49">
        <v>0</v>
      </c>
      <c r="AG49">
        <v>0</v>
      </c>
      <c r="AH49">
        <v>9.18</v>
      </c>
      <c r="AI49">
        <v>1</v>
      </c>
      <c r="AJ49">
        <v>1</v>
      </c>
      <c r="AK49">
        <v>1</v>
      </c>
      <c r="AL49">
        <v>32.01</v>
      </c>
      <c r="AM49">
        <v>4</v>
      </c>
      <c r="AN49">
        <v>0</v>
      </c>
      <c r="AO49">
        <v>1</v>
      </c>
      <c r="AP49">
        <v>1</v>
      </c>
      <c r="AQ49">
        <v>0</v>
      </c>
      <c r="AR49">
        <v>0</v>
      </c>
      <c r="AS49" t="s">
        <v>3</v>
      </c>
      <c r="AT49">
        <v>142.46</v>
      </c>
      <c r="AU49" t="s">
        <v>3</v>
      </c>
      <c r="AV49">
        <v>1</v>
      </c>
      <c r="AW49">
        <v>2</v>
      </c>
      <c r="AX49">
        <v>145027177</v>
      </c>
      <c r="AY49">
        <v>1</v>
      </c>
      <c r="AZ49">
        <v>0</v>
      </c>
      <c r="BA49">
        <v>54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ROUND(Y49*Source!I43,9)</f>
        <v>441.62599999999998</v>
      </c>
      <c r="CY49">
        <f>AD49</f>
        <v>293.85000000000002</v>
      </c>
      <c r="CZ49">
        <f>AH49</f>
        <v>9.18</v>
      </c>
      <c r="DA49">
        <f>AL49</f>
        <v>32.01</v>
      </c>
      <c r="DB49">
        <f t="shared" ref="DB49:DB66" si="29">ROUND(ROUND(AT49*CZ49,2),2)</f>
        <v>1307.78</v>
      </c>
      <c r="DC49">
        <f t="shared" ref="DC49:DC66" si="30">ROUND(ROUND(AT49*AG49,2),2)</f>
        <v>0</v>
      </c>
      <c r="DD49" t="s">
        <v>3</v>
      </c>
      <c r="DE49" t="s">
        <v>3</v>
      </c>
      <c r="DF49">
        <f>ROUND(ROUND(AE49,2)*CX49,2)</f>
        <v>0</v>
      </c>
      <c r="DG49">
        <f t="shared" si="25"/>
        <v>0</v>
      </c>
      <c r="DH49">
        <f t="shared" si="26"/>
        <v>0</v>
      </c>
      <c r="DI49">
        <f>ROUND(ROUND(AH49*AL49,2)*CX49,2)</f>
        <v>129771.8</v>
      </c>
      <c r="DJ49">
        <f>DI49</f>
        <v>129771.8</v>
      </c>
      <c r="DK49">
        <v>0</v>
      </c>
      <c r="DL49" t="s">
        <v>3</v>
      </c>
      <c r="DM49">
        <v>0</v>
      </c>
      <c r="DN49" t="s">
        <v>3</v>
      </c>
      <c r="DO49">
        <v>0</v>
      </c>
    </row>
    <row r="50" spans="1:119" x14ac:dyDescent="0.2">
      <c r="A50">
        <f>ROW(Source!A43)</f>
        <v>43</v>
      </c>
      <c r="B50">
        <v>145026783</v>
      </c>
      <c r="C50">
        <v>145027154</v>
      </c>
      <c r="D50">
        <v>140760225</v>
      </c>
      <c r="E50">
        <v>70</v>
      </c>
      <c r="F50">
        <v>1</v>
      </c>
      <c r="G50">
        <v>1</v>
      </c>
      <c r="H50">
        <v>1</v>
      </c>
      <c r="I50" t="s">
        <v>609</v>
      </c>
      <c r="J50" t="s">
        <v>3</v>
      </c>
      <c r="K50" t="s">
        <v>610</v>
      </c>
      <c r="L50">
        <v>1191</v>
      </c>
      <c r="N50">
        <v>1013</v>
      </c>
      <c r="O50" t="s">
        <v>608</v>
      </c>
      <c r="P50" t="s">
        <v>608</v>
      </c>
      <c r="Q50">
        <v>1</v>
      </c>
      <c r="W50">
        <v>0</v>
      </c>
      <c r="X50">
        <v>-1417349443</v>
      </c>
      <c r="Y50">
        <f t="shared" si="28"/>
        <v>0.02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1</v>
      </c>
      <c r="AJ50">
        <v>1</v>
      </c>
      <c r="AK50">
        <v>32.01</v>
      </c>
      <c r="AL50">
        <v>1</v>
      </c>
      <c r="AM50">
        <v>4</v>
      </c>
      <c r="AN50">
        <v>0</v>
      </c>
      <c r="AO50">
        <v>1</v>
      </c>
      <c r="AP50">
        <v>1</v>
      </c>
      <c r="AQ50">
        <v>0</v>
      </c>
      <c r="AR50">
        <v>0</v>
      </c>
      <c r="AS50" t="s">
        <v>3</v>
      </c>
      <c r="AT50">
        <v>0.02</v>
      </c>
      <c r="AU50" t="s">
        <v>3</v>
      </c>
      <c r="AV50">
        <v>2</v>
      </c>
      <c r="AW50">
        <v>2</v>
      </c>
      <c r="AX50">
        <v>145027178</v>
      </c>
      <c r="AY50">
        <v>1</v>
      </c>
      <c r="AZ50">
        <v>0</v>
      </c>
      <c r="BA50">
        <v>55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ROUND(Y50*Source!I43,9)</f>
        <v>6.2E-2</v>
      </c>
      <c r="CY50">
        <f>AD50</f>
        <v>0</v>
      </c>
      <c r="CZ50">
        <f>AH50</f>
        <v>0</v>
      </c>
      <c r="DA50">
        <f>AL50</f>
        <v>1</v>
      </c>
      <c r="DB50">
        <f t="shared" si="29"/>
        <v>0</v>
      </c>
      <c r="DC50">
        <f t="shared" si="30"/>
        <v>0</v>
      </c>
      <c r="DD50" t="s">
        <v>3</v>
      </c>
      <c r="DE50" t="s">
        <v>3</v>
      </c>
      <c r="DF50">
        <f>ROUND(ROUND(AE50,2)*CX50,2)</f>
        <v>0</v>
      </c>
      <c r="DG50">
        <f t="shared" si="25"/>
        <v>0</v>
      </c>
      <c r="DH50">
        <f>ROUND(ROUND(AG50*AK50,2)*CX50,2)</f>
        <v>0</v>
      </c>
      <c r="DI50">
        <f t="shared" ref="DI50:DI56" si="31">ROUND(ROUND(AH50,2)*CX50,2)</f>
        <v>0</v>
      </c>
      <c r="DJ50">
        <f>DI50</f>
        <v>0</v>
      </c>
      <c r="DK50">
        <v>0</v>
      </c>
      <c r="DL50" t="s">
        <v>3</v>
      </c>
      <c r="DM50">
        <v>0</v>
      </c>
      <c r="DN50" t="s">
        <v>3</v>
      </c>
      <c r="DO50">
        <v>0</v>
      </c>
    </row>
    <row r="51" spans="1:119" x14ac:dyDescent="0.2">
      <c r="A51">
        <f>ROW(Source!A43)</f>
        <v>43</v>
      </c>
      <c r="B51">
        <v>145026783</v>
      </c>
      <c r="C51">
        <v>145027154</v>
      </c>
      <c r="D51">
        <v>140923145</v>
      </c>
      <c r="E51">
        <v>1</v>
      </c>
      <c r="F51">
        <v>1</v>
      </c>
      <c r="G51">
        <v>1</v>
      </c>
      <c r="H51">
        <v>2</v>
      </c>
      <c r="I51" t="s">
        <v>611</v>
      </c>
      <c r="J51" t="s">
        <v>612</v>
      </c>
      <c r="K51" t="s">
        <v>613</v>
      </c>
      <c r="L51">
        <v>1367</v>
      </c>
      <c r="N51">
        <v>1011</v>
      </c>
      <c r="O51" t="s">
        <v>614</v>
      </c>
      <c r="P51" t="s">
        <v>614</v>
      </c>
      <c r="Q51">
        <v>1</v>
      </c>
      <c r="W51">
        <v>0</v>
      </c>
      <c r="X51">
        <v>1232162608</v>
      </c>
      <c r="Y51">
        <f t="shared" si="28"/>
        <v>0.02</v>
      </c>
      <c r="AA51">
        <v>0</v>
      </c>
      <c r="AB51">
        <v>388.87</v>
      </c>
      <c r="AC51">
        <v>432.14</v>
      </c>
      <c r="AD51">
        <v>0</v>
      </c>
      <c r="AE51">
        <v>0</v>
      </c>
      <c r="AF51">
        <v>31.26</v>
      </c>
      <c r="AG51">
        <v>13.5</v>
      </c>
      <c r="AH51">
        <v>0</v>
      </c>
      <c r="AI51">
        <v>1</v>
      </c>
      <c r="AJ51">
        <v>12.44</v>
      </c>
      <c r="AK51">
        <v>32.01</v>
      </c>
      <c r="AL51">
        <v>1</v>
      </c>
      <c r="AM51">
        <v>4</v>
      </c>
      <c r="AN51">
        <v>0</v>
      </c>
      <c r="AO51">
        <v>1</v>
      </c>
      <c r="AP51">
        <v>1</v>
      </c>
      <c r="AQ51">
        <v>0</v>
      </c>
      <c r="AR51">
        <v>0</v>
      </c>
      <c r="AS51" t="s">
        <v>3</v>
      </c>
      <c r="AT51">
        <v>0.02</v>
      </c>
      <c r="AU51" t="s">
        <v>3</v>
      </c>
      <c r="AV51">
        <v>0</v>
      </c>
      <c r="AW51">
        <v>2</v>
      </c>
      <c r="AX51">
        <v>145027179</v>
      </c>
      <c r="AY51">
        <v>1</v>
      </c>
      <c r="AZ51">
        <v>0</v>
      </c>
      <c r="BA51">
        <v>56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ROUND(Y51*Source!I43,9)</f>
        <v>6.2E-2</v>
      </c>
      <c r="CY51">
        <f>AB51</f>
        <v>388.87</v>
      </c>
      <c r="CZ51">
        <f>AF51</f>
        <v>31.26</v>
      </c>
      <c r="DA51">
        <f>AJ51</f>
        <v>12.44</v>
      </c>
      <c r="DB51">
        <f t="shared" si="29"/>
        <v>0.63</v>
      </c>
      <c r="DC51">
        <f t="shared" si="30"/>
        <v>0.27</v>
      </c>
      <c r="DD51" t="s">
        <v>3</v>
      </c>
      <c r="DE51" t="s">
        <v>3</v>
      </c>
      <c r="DF51">
        <f>ROUND(ROUND(AE51,2)*CX51,2)</f>
        <v>0</v>
      </c>
      <c r="DG51">
        <f>ROUND(ROUND(AF51*AJ51,2)*CX51,2)</f>
        <v>24.11</v>
      </c>
      <c r="DH51">
        <f>ROUND(ROUND(AG51*AK51,2)*CX51,2)</f>
        <v>26.79</v>
      </c>
      <c r="DI51">
        <f t="shared" si="31"/>
        <v>0</v>
      </c>
      <c r="DJ51">
        <f>DG51</f>
        <v>24.11</v>
      </c>
      <c r="DK51">
        <v>0</v>
      </c>
      <c r="DL51" t="s">
        <v>3</v>
      </c>
      <c r="DM51">
        <v>0</v>
      </c>
      <c r="DN51" t="s">
        <v>3</v>
      </c>
      <c r="DO51">
        <v>0</v>
      </c>
    </row>
    <row r="52" spans="1:119" x14ac:dyDescent="0.2">
      <c r="A52">
        <f>ROW(Source!A43)</f>
        <v>43</v>
      </c>
      <c r="B52">
        <v>145026783</v>
      </c>
      <c r="C52">
        <v>145027154</v>
      </c>
      <c r="D52">
        <v>140923885</v>
      </c>
      <c r="E52">
        <v>1</v>
      </c>
      <c r="F52">
        <v>1</v>
      </c>
      <c r="G52">
        <v>1</v>
      </c>
      <c r="H52">
        <v>2</v>
      </c>
      <c r="I52" t="s">
        <v>668</v>
      </c>
      <c r="J52" t="s">
        <v>669</v>
      </c>
      <c r="K52" t="s">
        <v>670</v>
      </c>
      <c r="L52">
        <v>1367</v>
      </c>
      <c r="N52">
        <v>1011</v>
      </c>
      <c r="O52" t="s">
        <v>614</v>
      </c>
      <c r="P52" t="s">
        <v>614</v>
      </c>
      <c r="Q52">
        <v>1</v>
      </c>
      <c r="W52">
        <v>0</v>
      </c>
      <c r="X52">
        <v>509054691</v>
      </c>
      <c r="Y52">
        <f t="shared" si="28"/>
        <v>2E-3</v>
      </c>
      <c r="AA52">
        <v>0</v>
      </c>
      <c r="AB52">
        <v>817.43</v>
      </c>
      <c r="AC52">
        <v>371.32</v>
      </c>
      <c r="AD52">
        <v>0</v>
      </c>
      <c r="AE52">
        <v>0</v>
      </c>
      <c r="AF52">
        <v>65.709999999999994</v>
      </c>
      <c r="AG52">
        <v>11.6</v>
      </c>
      <c r="AH52">
        <v>0</v>
      </c>
      <c r="AI52">
        <v>1</v>
      </c>
      <c r="AJ52">
        <v>12.44</v>
      </c>
      <c r="AK52">
        <v>32.01</v>
      </c>
      <c r="AL52">
        <v>1</v>
      </c>
      <c r="AM52">
        <v>4</v>
      </c>
      <c r="AN52">
        <v>0</v>
      </c>
      <c r="AO52">
        <v>1</v>
      </c>
      <c r="AP52">
        <v>1</v>
      </c>
      <c r="AQ52">
        <v>0</v>
      </c>
      <c r="AR52">
        <v>0</v>
      </c>
      <c r="AS52" t="s">
        <v>3</v>
      </c>
      <c r="AT52">
        <v>2E-3</v>
      </c>
      <c r="AU52" t="s">
        <v>3</v>
      </c>
      <c r="AV52">
        <v>0</v>
      </c>
      <c r="AW52">
        <v>2</v>
      </c>
      <c r="AX52">
        <v>145027180</v>
      </c>
      <c r="AY52">
        <v>1</v>
      </c>
      <c r="AZ52">
        <v>0</v>
      </c>
      <c r="BA52">
        <v>57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ROUND(Y52*Source!I43,9)</f>
        <v>6.1999999999999998E-3</v>
      </c>
      <c r="CY52">
        <f>AB52</f>
        <v>817.43</v>
      </c>
      <c r="CZ52">
        <f>AF52</f>
        <v>65.709999999999994</v>
      </c>
      <c r="DA52">
        <f>AJ52</f>
        <v>12.44</v>
      </c>
      <c r="DB52">
        <f t="shared" si="29"/>
        <v>0.13</v>
      </c>
      <c r="DC52">
        <f t="shared" si="30"/>
        <v>0.02</v>
      </c>
      <c r="DD52" t="s">
        <v>3</v>
      </c>
      <c r="DE52" t="s">
        <v>3</v>
      </c>
      <c r="DF52">
        <f>ROUND(ROUND(AE52,2)*CX52,2)</f>
        <v>0</v>
      </c>
      <c r="DG52">
        <f>ROUND(ROUND(AF52*AJ52,2)*CX52,2)</f>
        <v>5.07</v>
      </c>
      <c r="DH52">
        <f>ROUND(ROUND(AG52*AK52,2)*CX52,2)</f>
        <v>2.2999999999999998</v>
      </c>
      <c r="DI52">
        <f t="shared" si="31"/>
        <v>0</v>
      </c>
      <c r="DJ52">
        <f>DG52</f>
        <v>5.07</v>
      </c>
      <c r="DK52">
        <v>0</v>
      </c>
      <c r="DL52" t="s">
        <v>3</v>
      </c>
      <c r="DM52">
        <v>0</v>
      </c>
      <c r="DN52" t="s">
        <v>3</v>
      </c>
      <c r="DO52">
        <v>0</v>
      </c>
    </row>
    <row r="53" spans="1:119" x14ac:dyDescent="0.2">
      <c r="A53">
        <f>ROW(Source!A43)</f>
        <v>43</v>
      </c>
      <c r="B53">
        <v>145026783</v>
      </c>
      <c r="C53">
        <v>145027154</v>
      </c>
      <c r="D53">
        <v>140772533</v>
      </c>
      <c r="E53">
        <v>1</v>
      </c>
      <c r="F53">
        <v>1</v>
      </c>
      <c r="G53">
        <v>1</v>
      </c>
      <c r="H53">
        <v>3</v>
      </c>
      <c r="I53" t="s">
        <v>117</v>
      </c>
      <c r="J53" t="s">
        <v>119</v>
      </c>
      <c r="K53" t="s">
        <v>118</v>
      </c>
      <c r="L53">
        <v>1327</v>
      </c>
      <c r="N53">
        <v>1005</v>
      </c>
      <c r="O53" t="s">
        <v>72</v>
      </c>
      <c r="P53" t="s">
        <v>72</v>
      </c>
      <c r="Q53">
        <v>1</v>
      </c>
      <c r="W53">
        <v>1</v>
      </c>
      <c r="X53">
        <v>-522115837</v>
      </c>
      <c r="Y53">
        <f t="shared" si="28"/>
        <v>-103</v>
      </c>
      <c r="AA53">
        <v>382.17</v>
      </c>
      <c r="AB53">
        <v>0</v>
      </c>
      <c r="AC53">
        <v>0</v>
      </c>
      <c r="AD53">
        <v>0</v>
      </c>
      <c r="AE53">
        <v>42.94</v>
      </c>
      <c r="AF53">
        <v>0</v>
      </c>
      <c r="AG53">
        <v>0</v>
      </c>
      <c r="AH53">
        <v>0</v>
      </c>
      <c r="AI53">
        <v>8.9</v>
      </c>
      <c r="AJ53">
        <v>1</v>
      </c>
      <c r="AK53">
        <v>1</v>
      </c>
      <c r="AL53">
        <v>1</v>
      </c>
      <c r="AM53">
        <v>4</v>
      </c>
      <c r="AN53">
        <v>0</v>
      </c>
      <c r="AO53">
        <v>1</v>
      </c>
      <c r="AP53">
        <v>1</v>
      </c>
      <c r="AQ53">
        <v>0</v>
      </c>
      <c r="AR53">
        <v>0</v>
      </c>
      <c r="AS53" t="s">
        <v>3</v>
      </c>
      <c r="AT53">
        <v>-103</v>
      </c>
      <c r="AU53" t="s">
        <v>3</v>
      </c>
      <c r="AV53">
        <v>0</v>
      </c>
      <c r="AW53">
        <v>2</v>
      </c>
      <c r="AX53">
        <v>145027181</v>
      </c>
      <c r="AY53">
        <v>1</v>
      </c>
      <c r="AZ53">
        <v>6144</v>
      </c>
      <c r="BA53">
        <v>58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ROUND(Y53*Source!I43,9)</f>
        <v>-319.3</v>
      </c>
      <c r="CY53">
        <f>AA53</f>
        <v>382.17</v>
      </c>
      <c r="CZ53">
        <f>AE53</f>
        <v>42.94</v>
      </c>
      <c r="DA53">
        <f>AI53</f>
        <v>8.9</v>
      </c>
      <c r="DB53">
        <f t="shared" si="29"/>
        <v>-4422.82</v>
      </c>
      <c r="DC53">
        <f t="shared" si="30"/>
        <v>0</v>
      </c>
      <c r="DD53" t="s">
        <v>3</v>
      </c>
      <c r="DE53" t="s">
        <v>3</v>
      </c>
      <c r="DF53">
        <f>ROUND(ROUND(AE53*AI53,2)*CX53,2)</f>
        <v>-122026.88</v>
      </c>
      <c r="DG53">
        <f t="shared" ref="DG53:DG58" si="32">ROUND(ROUND(AF53,2)*CX53,2)</f>
        <v>0</v>
      </c>
      <c r="DH53">
        <f>ROUND(ROUND(AG53,2)*CX53,2)</f>
        <v>0</v>
      </c>
      <c r="DI53">
        <f t="shared" si="31"/>
        <v>0</v>
      </c>
      <c r="DJ53">
        <f>DF53</f>
        <v>-122026.88</v>
      </c>
      <c r="DK53">
        <v>0</v>
      </c>
      <c r="DL53" t="s">
        <v>3</v>
      </c>
      <c r="DM53">
        <v>0</v>
      </c>
      <c r="DN53" t="s">
        <v>3</v>
      </c>
      <c r="DO53">
        <v>0</v>
      </c>
    </row>
    <row r="54" spans="1:119" x14ac:dyDescent="0.2">
      <c r="A54">
        <f>ROW(Source!A43)</f>
        <v>43</v>
      </c>
      <c r="B54">
        <v>145026783</v>
      </c>
      <c r="C54">
        <v>145027154</v>
      </c>
      <c r="D54">
        <v>140775183</v>
      </c>
      <c r="E54">
        <v>1</v>
      </c>
      <c r="F54">
        <v>1</v>
      </c>
      <c r="G54">
        <v>1</v>
      </c>
      <c r="H54">
        <v>3</v>
      </c>
      <c r="I54" t="s">
        <v>121</v>
      </c>
      <c r="J54" t="s">
        <v>123</v>
      </c>
      <c r="K54" t="s">
        <v>122</v>
      </c>
      <c r="L54">
        <v>1425</v>
      </c>
      <c r="N54">
        <v>1013</v>
      </c>
      <c r="O54" t="s">
        <v>21</v>
      </c>
      <c r="P54" t="s">
        <v>21</v>
      </c>
      <c r="Q54">
        <v>1</v>
      </c>
      <c r="W54">
        <v>1</v>
      </c>
      <c r="X54">
        <v>-1484897950</v>
      </c>
      <c r="Y54">
        <f t="shared" si="28"/>
        <v>-3.03</v>
      </c>
      <c r="AA54">
        <v>623</v>
      </c>
      <c r="AB54">
        <v>0</v>
      </c>
      <c r="AC54">
        <v>0</v>
      </c>
      <c r="AD54">
        <v>0</v>
      </c>
      <c r="AE54">
        <v>70</v>
      </c>
      <c r="AF54">
        <v>0</v>
      </c>
      <c r="AG54">
        <v>0</v>
      </c>
      <c r="AH54">
        <v>0</v>
      </c>
      <c r="AI54">
        <v>8.9</v>
      </c>
      <c r="AJ54">
        <v>1</v>
      </c>
      <c r="AK54">
        <v>1</v>
      </c>
      <c r="AL54">
        <v>1</v>
      </c>
      <c r="AM54">
        <v>4</v>
      </c>
      <c r="AN54">
        <v>0</v>
      </c>
      <c r="AO54">
        <v>1</v>
      </c>
      <c r="AP54">
        <v>1</v>
      </c>
      <c r="AQ54">
        <v>0</v>
      </c>
      <c r="AR54">
        <v>0</v>
      </c>
      <c r="AS54" t="s">
        <v>3</v>
      </c>
      <c r="AT54">
        <v>-3.03</v>
      </c>
      <c r="AU54" t="s">
        <v>3</v>
      </c>
      <c r="AV54">
        <v>0</v>
      </c>
      <c r="AW54">
        <v>2</v>
      </c>
      <c r="AX54">
        <v>145027182</v>
      </c>
      <c r="AY54">
        <v>1</v>
      </c>
      <c r="AZ54">
        <v>6144</v>
      </c>
      <c r="BA54">
        <v>59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ROUND(Y54*Source!I43,9)</f>
        <v>-9.3930000000000007</v>
      </c>
      <c r="CY54">
        <f>AA54</f>
        <v>623</v>
      </c>
      <c r="CZ54">
        <f>AE54</f>
        <v>70</v>
      </c>
      <c r="DA54">
        <f>AI54</f>
        <v>8.9</v>
      </c>
      <c r="DB54">
        <f t="shared" si="29"/>
        <v>-212.1</v>
      </c>
      <c r="DC54">
        <f t="shared" si="30"/>
        <v>0</v>
      </c>
      <c r="DD54" t="s">
        <v>3</v>
      </c>
      <c r="DE54" t="s">
        <v>3</v>
      </c>
      <c r="DF54">
        <f>ROUND(ROUND(AE54*AI54,2)*CX54,2)</f>
        <v>-5851.84</v>
      </c>
      <c r="DG54">
        <f t="shared" si="32"/>
        <v>0</v>
      </c>
      <c r="DH54">
        <f>ROUND(ROUND(AG54,2)*CX54,2)</f>
        <v>0</v>
      </c>
      <c r="DI54">
        <f t="shared" si="31"/>
        <v>0</v>
      </c>
      <c r="DJ54">
        <f>DF54</f>
        <v>-5851.84</v>
      </c>
      <c r="DK54">
        <v>0</v>
      </c>
      <c r="DL54" t="s">
        <v>3</v>
      </c>
      <c r="DM54">
        <v>0</v>
      </c>
      <c r="DN54" t="s">
        <v>3</v>
      </c>
      <c r="DO54">
        <v>0</v>
      </c>
    </row>
    <row r="55" spans="1:119" x14ac:dyDescent="0.2">
      <c r="A55">
        <f>ROW(Source!A43)</f>
        <v>43</v>
      </c>
      <c r="B55">
        <v>145026783</v>
      </c>
      <c r="C55">
        <v>145027154</v>
      </c>
      <c r="D55">
        <v>140793429</v>
      </c>
      <c r="E55">
        <v>1</v>
      </c>
      <c r="F55">
        <v>1</v>
      </c>
      <c r="G55">
        <v>1</v>
      </c>
      <c r="H55">
        <v>3</v>
      </c>
      <c r="I55" t="s">
        <v>125</v>
      </c>
      <c r="J55" t="s">
        <v>127</v>
      </c>
      <c r="K55" t="s">
        <v>126</v>
      </c>
      <c r="L55">
        <v>1425</v>
      </c>
      <c r="N55">
        <v>1013</v>
      </c>
      <c r="O55" t="s">
        <v>21</v>
      </c>
      <c r="P55" t="s">
        <v>21</v>
      </c>
      <c r="Q55">
        <v>1</v>
      </c>
      <c r="W55">
        <v>1</v>
      </c>
      <c r="X55">
        <v>235828204</v>
      </c>
      <c r="Y55">
        <f t="shared" si="28"/>
        <v>-0.7</v>
      </c>
      <c r="AA55">
        <v>3257.4</v>
      </c>
      <c r="AB55">
        <v>0</v>
      </c>
      <c r="AC55">
        <v>0</v>
      </c>
      <c r="AD55">
        <v>0</v>
      </c>
      <c r="AE55">
        <v>366</v>
      </c>
      <c r="AF55">
        <v>0</v>
      </c>
      <c r="AG55">
        <v>0</v>
      </c>
      <c r="AH55">
        <v>0</v>
      </c>
      <c r="AI55">
        <v>8.9</v>
      </c>
      <c r="AJ55">
        <v>1</v>
      </c>
      <c r="AK55">
        <v>1</v>
      </c>
      <c r="AL55">
        <v>1</v>
      </c>
      <c r="AM55">
        <v>4</v>
      </c>
      <c r="AN55">
        <v>0</v>
      </c>
      <c r="AO55">
        <v>1</v>
      </c>
      <c r="AP55">
        <v>1</v>
      </c>
      <c r="AQ55">
        <v>0</v>
      </c>
      <c r="AR55">
        <v>0</v>
      </c>
      <c r="AS55" t="s">
        <v>3</v>
      </c>
      <c r="AT55">
        <v>-0.7</v>
      </c>
      <c r="AU55" t="s">
        <v>3</v>
      </c>
      <c r="AV55">
        <v>0</v>
      </c>
      <c r="AW55">
        <v>2</v>
      </c>
      <c r="AX55">
        <v>145027183</v>
      </c>
      <c r="AY55">
        <v>1</v>
      </c>
      <c r="AZ55">
        <v>6144</v>
      </c>
      <c r="BA55">
        <v>60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ROUND(Y55*Source!I43,9)</f>
        <v>-2.17</v>
      </c>
      <c r="CY55">
        <f>AA55</f>
        <v>3257.4</v>
      </c>
      <c r="CZ55">
        <f>AE55</f>
        <v>366</v>
      </c>
      <c r="DA55">
        <f>AI55</f>
        <v>8.9</v>
      </c>
      <c r="DB55">
        <f t="shared" si="29"/>
        <v>-256.2</v>
      </c>
      <c r="DC55">
        <f t="shared" si="30"/>
        <v>0</v>
      </c>
      <c r="DD55" t="s">
        <v>3</v>
      </c>
      <c r="DE55" t="s">
        <v>3</v>
      </c>
      <c r="DF55">
        <f>ROUND(ROUND(AE55*AI55,2)*CX55,2)</f>
        <v>-7068.56</v>
      </c>
      <c r="DG55">
        <f t="shared" si="32"/>
        <v>0</v>
      </c>
      <c r="DH55">
        <f>ROUND(ROUND(AG55,2)*CX55,2)</f>
        <v>0</v>
      </c>
      <c r="DI55">
        <f t="shared" si="31"/>
        <v>0</v>
      </c>
      <c r="DJ55">
        <f>DF55</f>
        <v>-7068.56</v>
      </c>
      <c r="DK55">
        <v>0</v>
      </c>
      <c r="DL55" t="s">
        <v>3</v>
      </c>
      <c r="DM55">
        <v>0</v>
      </c>
      <c r="DN55" t="s">
        <v>3</v>
      </c>
      <c r="DO55">
        <v>0</v>
      </c>
    </row>
    <row r="56" spans="1:119" x14ac:dyDescent="0.2">
      <c r="A56">
        <f>ROW(Source!A43)</f>
        <v>43</v>
      </c>
      <c r="B56">
        <v>145026783</v>
      </c>
      <c r="C56">
        <v>145027154</v>
      </c>
      <c r="D56">
        <v>140765019</v>
      </c>
      <c r="E56">
        <v>70</v>
      </c>
      <c r="F56">
        <v>1</v>
      </c>
      <c r="G56">
        <v>1</v>
      </c>
      <c r="H56">
        <v>3</v>
      </c>
      <c r="I56" t="s">
        <v>114</v>
      </c>
      <c r="J56" t="s">
        <v>3</v>
      </c>
      <c r="K56" t="s">
        <v>115</v>
      </c>
      <c r="L56">
        <v>1348</v>
      </c>
      <c r="N56">
        <v>1009</v>
      </c>
      <c r="O56" t="s">
        <v>49</v>
      </c>
      <c r="P56" t="s">
        <v>49</v>
      </c>
      <c r="Q56">
        <v>1000</v>
      </c>
      <c r="W56">
        <v>0</v>
      </c>
      <c r="X56">
        <v>-1296435862</v>
      </c>
      <c r="Y56">
        <f t="shared" si="28"/>
        <v>0.25620999999999999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8.9</v>
      </c>
      <c r="AJ56">
        <v>1</v>
      </c>
      <c r="AK56">
        <v>1</v>
      </c>
      <c r="AL56">
        <v>1</v>
      </c>
      <c r="AM56">
        <v>0</v>
      </c>
      <c r="AN56">
        <v>0</v>
      </c>
      <c r="AO56">
        <v>0</v>
      </c>
      <c r="AP56">
        <v>1</v>
      </c>
      <c r="AQ56">
        <v>0</v>
      </c>
      <c r="AR56">
        <v>0</v>
      </c>
      <c r="AS56" t="s">
        <v>3</v>
      </c>
      <c r="AT56">
        <v>0.25620999999999999</v>
      </c>
      <c r="AU56" t="s">
        <v>3</v>
      </c>
      <c r="AV56">
        <v>0</v>
      </c>
      <c r="AW56">
        <v>2</v>
      </c>
      <c r="AX56">
        <v>145027184</v>
      </c>
      <c r="AY56">
        <v>1</v>
      </c>
      <c r="AZ56">
        <v>0</v>
      </c>
      <c r="BA56">
        <v>61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ROUND(Y56*Source!I43,9)</f>
        <v>0.79425100000000004</v>
      </c>
      <c r="CY56">
        <f>AA56</f>
        <v>0</v>
      </c>
      <c r="CZ56">
        <f>AE56</f>
        <v>0</v>
      </c>
      <c r="DA56">
        <f>AI56</f>
        <v>8.9</v>
      </c>
      <c r="DB56">
        <f t="shared" si="29"/>
        <v>0</v>
      </c>
      <c r="DC56">
        <f t="shared" si="30"/>
        <v>0</v>
      </c>
      <c r="DD56" t="s">
        <v>3</v>
      </c>
      <c r="DE56" t="s">
        <v>3</v>
      </c>
      <c r="DF56">
        <f>ROUND(ROUND(AE56*AI56,2)*CX56,2)</f>
        <v>0</v>
      </c>
      <c r="DG56">
        <f t="shared" si="32"/>
        <v>0</v>
      </c>
      <c r="DH56">
        <f>ROUND(ROUND(AG56,2)*CX56,2)</f>
        <v>0</v>
      </c>
      <c r="DI56">
        <f t="shared" si="31"/>
        <v>0</v>
      </c>
      <c r="DJ56">
        <f>DF56</f>
        <v>0</v>
      </c>
      <c r="DK56">
        <v>0</v>
      </c>
      <c r="DL56" t="s">
        <v>3</v>
      </c>
      <c r="DM56">
        <v>0</v>
      </c>
      <c r="DN56" t="s">
        <v>3</v>
      </c>
      <c r="DO56">
        <v>0</v>
      </c>
    </row>
    <row r="57" spans="1:119" x14ac:dyDescent="0.2">
      <c r="A57">
        <f>ROW(Source!A50)</f>
        <v>50</v>
      </c>
      <c r="B57">
        <v>145026783</v>
      </c>
      <c r="C57">
        <v>145027231</v>
      </c>
      <c r="D57">
        <v>140759979</v>
      </c>
      <c r="E57">
        <v>70</v>
      </c>
      <c r="F57">
        <v>1</v>
      </c>
      <c r="G57">
        <v>1</v>
      </c>
      <c r="H57">
        <v>1</v>
      </c>
      <c r="I57" t="s">
        <v>698</v>
      </c>
      <c r="J57" t="s">
        <v>3</v>
      </c>
      <c r="K57" t="s">
        <v>699</v>
      </c>
      <c r="L57">
        <v>1191</v>
      </c>
      <c r="N57">
        <v>1013</v>
      </c>
      <c r="O57" t="s">
        <v>608</v>
      </c>
      <c r="P57" t="s">
        <v>608</v>
      </c>
      <c r="Q57">
        <v>1</v>
      </c>
      <c r="W57">
        <v>0</v>
      </c>
      <c r="X57">
        <v>1049124552</v>
      </c>
      <c r="Y57">
        <f t="shared" si="28"/>
        <v>69.87</v>
      </c>
      <c r="AA57">
        <v>0</v>
      </c>
      <c r="AB57">
        <v>0</v>
      </c>
      <c r="AC57">
        <v>0</v>
      </c>
      <c r="AD57">
        <v>273.05</v>
      </c>
      <c r="AE57">
        <v>0</v>
      </c>
      <c r="AF57">
        <v>0</v>
      </c>
      <c r="AG57">
        <v>0</v>
      </c>
      <c r="AH57">
        <v>8.5299999999999994</v>
      </c>
      <c r="AI57">
        <v>1</v>
      </c>
      <c r="AJ57">
        <v>1</v>
      </c>
      <c r="AK57">
        <v>1</v>
      </c>
      <c r="AL57">
        <v>32.01</v>
      </c>
      <c r="AM57">
        <v>4</v>
      </c>
      <c r="AN57">
        <v>0</v>
      </c>
      <c r="AO57">
        <v>1</v>
      </c>
      <c r="AP57">
        <v>1</v>
      </c>
      <c r="AQ57">
        <v>0</v>
      </c>
      <c r="AR57">
        <v>0</v>
      </c>
      <c r="AS57" t="s">
        <v>3</v>
      </c>
      <c r="AT57">
        <v>69.87</v>
      </c>
      <c r="AU57" t="s">
        <v>3</v>
      </c>
      <c r="AV57">
        <v>1</v>
      </c>
      <c r="AW57">
        <v>2</v>
      </c>
      <c r="AX57">
        <v>145027236</v>
      </c>
      <c r="AY57">
        <v>1</v>
      </c>
      <c r="AZ57">
        <v>0</v>
      </c>
      <c r="BA57">
        <v>62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ROUND(Y57*Source!I50,9)</f>
        <v>180.2646</v>
      </c>
      <c r="CY57">
        <f>AD57</f>
        <v>273.05</v>
      </c>
      <c r="CZ57">
        <f>AH57</f>
        <v>8.5299999999999994</v>
      </c>
      <c r="DA57">
        <f>AL57</f>
        <v>32.01</v>
      </c>
      <c r="DB57">
        <f t="shared" si="29"/>
        <v>595.99</v>
      </c>
      <c r="DC57">
        <f t="shared" si="30"/>
        <v>0</v>
      </c>
      <c r="DD57" t="s">
        <v>3</v>
      </c>
      <c r="DE57" t="s">
        <v>3</v>
      </c>
      <c r="DF57">
        <f>ROUND(ROUND(AE57,2)*CX57,2)</f>
        <v>0</v>
      </c>
      <c r="DG57">
        <f t="shared" si="32"/>
        <v>0</v>
      </c>
      <c r="DH57">
        <f>ROUND(ROUND(AG57,2)*CX57,2)</f>
        <v>0</v>
      </c>
      <c r="DI57">
        <f>ROUND(ROUND(AH57*AL57,2)*CX57,2)</f>
        <v>49221.25</v>
      </c>
      <c r="DJ57">
        <f>DI57</f>
        <v>49221.25</v>
      </c>
      <c r="DK57">
        <v>0</v>
      </c>
      <c r="DL57" t="s">
        <v>3</v>
      </c>
      <c r="DM57">
        <v>0</v>
      </c>
      <c r="DN57" t="s">
        <v>3</v>
      </c>
      <c r="DO57">
        <v>0</v>
      </c>
    </row>
    <row r="58" spans="1:119" x14ac:dyDescent="0.2">
      <c r="A58">
        <f>ROW(Source!A50)</f>
        <v>50</v>
      </c>
      <c r="B58">
        <v>145026783</v>
      </c>
      <c r="C58">
        <v>145027231</v>
      </c>
      <c r="D58">
        <v>140760225</v>
      </c>
      <c r="E58">
        <v>70</v>
      </c>
      <c r="F58">
        <v>1</v>
      </c>
      <c r="G58">
        <v>1</v>
      </c>
      <c r="H58">
        <v>1</v>
      </c>
      <c r="I58" t="s">
        <v>609</v>
      </c>
      <c r="J58" t="s">
        <v>3</v>
      </c>
      <c r="K58" t="s">
        <v>610</v>
      </c>
      <c r="L58">
        <v>1191</v>
      </c>
      <c r="N58">
        <v>1013</v>
      </c>
      <c r="O58" t="s">
        <v>608</v>
      </c>
      <c r="P58" t="s">
        <v>608</v>
      </c>
      <c r="Q58">
        <v>1</v>
      </c>
      <c r="W58">
        <v>0</v>
      </c>
      <c r="X58">
        <v>-1417349443</v>
      </c>
      <c r="Y58">
        <f t="shared" si="28"/>
        <v>1.44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1</v>
      </c>
      <c r="AJ58">
        <v>1</v>
      </c>
      <c r="AK58">
        <v>32.01</v>
      </c>
      <c r="AL58">
        <v>1</v>
      </c>
      <c r="AM58">
        <v>4</v>
      </c>
      <c r="AN58">
        <v>0</v>
      </c>
      <c r="AO58">
        <v>1</v>
      </c>
      <c r="AP58">
        <v>1</v>
      </c>
      <c r="AQ58">
        <v>0</v>
      </c>
      <c r="AR58">
        <v>0</v>
      </c>
      <c r="AS58" t="s">
        <v>3</v>
      </c>
      <c r="AT58">
        <v>1.44</v>
      </c>
      <c r="AU58" t="s">
        <v>3</v>
      </c>
      <c r="AV58">
        <v>2</v>
      </c>
      <c r="AW58">
        <v>2</v>
      </c>
      <c r="AX58">
        <v>145027237</v>
      </c>
      <c r="AY58">
        <v>1</v>
      </c>
      <c r="AZ58">
        <v>0</v>
      </c>
      <c r="BA58">
        <v>63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ROUND(Y58*Source!I50,9)</f>
        <v>3.7151999999999998</v>
      </c>
      <c r="CY58">
        <f>AD58</f>
        <v>0</v>
      </c>
      <c r="CZ58">
        <f>AH58</f>
        <v>0</v>
      </c>
      <c r="DA58">
        <f>AL58</f>
        <v>1</v>
      </c>
      <c r="DB58">
        <f t="shared" si="29"/>
        <v>0</v>
      </c>
      <c r="DC58">
        <f t="shared" si="30"/>
        <v>0</v>
      </c>
      <c r="DD58" t="s">
        <v>3</v>
      </c>
      <c r="DE58" t="s">
        <v>3</v>
      </c>
      <c r="DF58">
        <f>ROUND(ROUND(AE58,2)*CX58,2)</f>
        <v>0</v>
      </c>
      <c r="DG58">
        <f t="shared" si="32"/>
        <v>0</v>
      </c>
      <c r="DH58">
        <f>ROUND(ROUND(AG58*AK58,2)*CX58,2)</f>
        <v>0</v>
      </c>
      <c r="DI58">
        <f>ROUND(ROUND(AH58,2)*CX58,2)</f>
        <v>0</v>
      </c>
      <c r="DJ58">
        <f>DI58</f>
        <v>0</v>
      </c>
      <c r="DK58">
        <v>0</v>
      </c>
      <c r="DL58" t="s">
        <v>3</v>
      </c>
      <c r="DM58">
        <v>0</v>
      </c>
      <c r="DN58" t="s">
        <v>3</v>
      </c>
      <c r="DO58">
        <v>0</v>
      </c>
    </row>
    <row r="59" spans="1:119" x14ac:dyDescent="0.2">
      <c r="A59">
        <f>ROW(Source!A50)</f>
        <v>50</v>
      </c>
      <c r="B59">
        <v>145026783</v>
      </c>
      <c r="C59">
        <v>145027231</v>
      </c>
      <c r="D59">
        <v>140923145</v>
      </c>
      <c r="E59">
        <v>1</v>
      </c>
      <c r="F59">
        <v>1</v>
      </c>
      <c r="G59">
        <v>1</v>
      </c>
      <c r="H59">
        <v>2</v>
      </c>
      <c r="I59" t="s">
        <v>611</v>
      </c>
      <c r="J59" t="s">
        <v>612</v>
      </c>
      <c r="K59" t="s">
        <v>613</v>
      </c>
      <c r="L59">
        <v>1367</v>
      </c>
      <c r="N59">
        <v>1011</v>
      </c>
      <c r="O59" t="s">
        <v>614</v>
      </c>
      <c r="P59" t="s">
        <v>614</v>
      </c>
      <c r="Q59">
        <v>1</v>
      </c>
      <c r="W59">
        <v>0</v>
      </c>
      <c r="X59">
        <v>1232162608</v>
      </c>
      <c r="Y59">
        <f t="shared" si="28"/>
        <v>1.44</v>
      </c>
      <c r="AA59">
        <v>0</v>
      </c>
      <c r="AB59">
        <v>388.87</v>
      </c>
      <c r="AC59">
        <v>432.14</v>
      </c>
      <c r="AD59">
        <v>0</v>
      </c>
      <c r="AE59">
        <v>0</v>
      </c>
      <c r="AF59">
        <v>31.26</v>
      </c>
      <c r="AG59">
        <v>13.5</v>
      </c>
      <c r="AH59">
        <v>0</v>
      </c>
      <c r="AI59">
        <v>1</v>
      </c>
      <c r="AJ59">
        <v>12.44</v>
      </c>
      <c r="AK59">
        <v>32.01</v>
      </c>
      <c r="AL59">
        <v>1</v>
      </c>
      <c r="AM59">
        <v>4</v>
      </c>
      <c r="AN59">
        <v>0</v>
      </c>
      <c r="AO59">
        <v>1</v>
      </c>
      <c r="AP59">
        <v>1</v>
      </c>
      <c r="AQ59">
        <v>0</v>
      </c>
      <c r="AR59">
        <v>0</v>
      </c>
      <c r="AS59" t="s">
        <v>3</v>
      </c>
      <c r="AT59">
        <v>1.44</v>
      </c>
      <c r="AU59" t="s">
        <v>3</v>
      </c>
      <c r="AV59">
        <v>0</v>
      </c>
      <c r="AW59">
        <v>2</v>
      </c>
      <c r="AX59">
        <v>145027238</v>
      </c>
      <c r="AY59">
        <v>1</v>
      </c>
      <c r="AZ59">
        <v>0</v>
      </c>
      <c r="BA59">
        <v>64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ROUND(Y59*Source!I50,9)</f>
        <v>3.7151999999999998</v>
      </c>
      <c r="CY59">
        <f>AB59</f>
        <v>388.87</v>
      </c>
      <c r="CZ59">
        <f>AF59</f>
        <v>31.26</v>
      </c>
      <c r="DA59">
        <f>AJ59</f>
        <v>12.44</v>
      </c>
      <c r="DB59">
        <f t="shared" si="29"/>
        <v>45.01</v>
      </c>
      <c r="DC59">
        <f t="shared" si="30"/>
        <v>19.440000000000001</v>
      </c>
      <c r="DD59" t="s">
        <v>3</v>
      </c>
      <c r="DE59" t="s">
        <v>3</v>
      </c>
      <c r="DF59">
        <f>ROUND(ROUND(AE59,2)*CX59,2)</f>
        <v>0</v>
      </c>
      <c r="DG59">
        <f>ROUND(ROUND(AF59*AJ59,2)*CX59,2)</f>
        <v>1444.73</v>
      </c>
      <c r="DH59">
        <f>ROUND(ROUND(AG59*AK59,2)*CX59,2)</f>
        <v>1605.49</v>
      </c>
      <c r="DI59">
        <f>ROUND(ROUND(AH59,2)*CX59,2)</f>
        <v>0</v>
      </c>
      <c r="DJ59">
        <f>DG59</f>
        <v>1444.73</v>
      </c>
      <c r="DK59">
        <v>0</v>
      </c>
      <c r="DL59" t="s">
        <v>3</v>
      </c>
      <c r="DM59">
        <v>0</v>
      </c>
      <c r="DN59" t="s">
        <v>3</v>
      </c>
      <c r="DO59">
        <v>0</v>
      </c>
    </row>
    <row r="60" spans="1:119" x14ac:dyDescent="0.2">
      <c r="A60">
        <f>ROW(Source!A50)</f>
        <v>50</v>
      </c>
      <c r="B60">
        <v>145026783</v>
      </c>
      <c r="C60">
        <v>145027231</v>
      </c>
      <c r="D60">
        <v>140765020</v>
      </c>
      <c r="E60">
        <v>70</v>
      </c>
      <c r="F60">
        <v>1</v>
      </c>
      <c r="G60">
        <v>1</v>
      </c>
      <c r="H60">
        <v>3</v>
      </c>
      <c r="I60" t="s">
        <v>47</v>
      </c>
      <c r="J60" t="s">
        <v>3</v>
      </c>
      <c r="K60" t="s">
        <v>48</v>
      </c>
      <c r="L60">
        <v>1348</v>
      </c>
      <c r="N60">
        <v>1009</v>
      </c>
      <c r="O60" t="s">
        <v>49</v>
      </c>
      <c r="P60" t="s">
        <v>49</v>
      </c>
      <c r="Q60">
        <v>1000</v>
      </c>
      <c r="W60">
        <v>0</v>
      </c>
      <c r="X60">
        <v>2102561428</v>
      </c>
      <c r="Y60">
        <f t="shared" si="28"/>
        <v>5.2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8.9</v>
      </c>
      <c r="AJ60">
        <v>1</v>
      </c>
      <c r="AK60">
        <v>1</v>
      </c>
      <c r="AL60">
        <v>1</v>
      </c>
      <c r="AM60">
        <v>0</v>
      </c>
      <c r="AN60">
        <v>0</v>
      </c>
      <c r="AO60">
        <v>0</v>
      </c>
      <c r="AP60">
        <v>1</v>
      </c>
      <c r="AQ60">
        <v>0</v>
      </c>
      <c r="AR60">
        <v>0</v>
      </c>
      <c r="AS60" t="s">
        <v>3</v>
      </c>
      <c r="AT60">
        <v>5.2</v>
      </c>
      <c r="AU60" t="s">
        <v>3</v>
      </c>
      <c r="AV60">
        <v>0</v>
      </c>
      <c r="AW60">
        <v>2</v>
      </c>
      <c r="AX60">
        <v>145027239</v>
      </c>
      <c r="AY60">
        <v>1</v>
      </c>
      <c r="AZ60">
        <v>0</v>
      </c>
      <c r="BA60">
        <v>65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ROUND(Y60*Source!I50,9)</f>
        <v>13.416</v>
      </c>
      <c r="CY60">
        <f>AA60</f>
        <v>0</v>
      </c>
      <c r="CZ60">
        <f>AE60</f>
        <v>0</v>
      </c>
      <c r="DA60">
        <f>AI60</f>
        <v>8.9</v>
      </c>
      <c r="DB60">
        <f t="shared" si="29"/>
        <v>0</v>
      </c>
      <c r="DC60">
        <f t="shared" si="30"/>
        <v>0</v>
      </c>
      <c r="DD60" t="s">
        <v>3</v>
      </c>
      <c r="DE60" t="s">
        <v>3</v>
      </c>
      <c r="DF60">
        <f>ROUND(ROUND(AE60*AI60,2)*CX60,2)</f>
        <v>0</v>
      </c>
      <c r="DG60">
        <f>ROUND(ROUND(AF60,2)*CX60,2)</f>
        <v>0</v>
      </c>
      <c r="DH60">
        <f>ROUND(ROUND(AG60,2)*CX60,2)</f>
        <v>0</v>
      </c>
      <c r="DI60">
        <f>ROUND(ROUND(AH60,2)*CX60,2)</f>
        <v>0</v>
      </c>
      <c r="DJ60">
        <f>DF60</f>
        <v>0</v>
      </c>
      <c r="DK60">
        <v>0</v>
      </c>
      <c r="DL60" t="s">
        <v>3</v>
      </c>
      <c r="DM60">
        <v>0</v>
      </c>
      <c r="DN60" t="s">
        <v>3</v>
      </c>
      <c r="DO60">
        <v>0</v>
      </c>
    </row>
    <row r="61" spans="1:119" x14ac:dyDescent="0.2">
      <c r="A61">
        <f>ROW(Source!A52)</f>
        <v>52</v>
      </c>
      <c r="B61">
        <v>145026783</v>
      </c>
      <c r="C61">
        <v>145027241</v>
      </c>
      <c r="D61">
        <v>140759938</v>
      </c>
      <c r="E61">
        <v>70</v>
      </c>
      <c r="F61">
        <v>1</v>
      </c>
      <c r="G61">
        <v>1</v>
      </c>
      <c r="H61">
        <v>1</v>
      </c>
      <c r="I61" t="s">
        <v>700</v>
      </c>
      <c r="J61" t="s">
        <v>3</v>
      </c>
      <c r="K61" t="s">
        <v>701</v>
      </c>
      <c r="L61">
        <v>1191</v>
      </c>
      <c r="N61">
        <v>1013</v>
      </c>
      <c r="O61" t="s">
        <v>608</v>
      </c>
      <c r="P61" t="s">
        <v>608</v>
      </c>
      <c r="Q61">
        <v>1</v>
      </c>
      <c r="W61">
        <v>0</v>
      </c>
      <c r="X61">
        <v>-354792387</v>
      </c>
      <c r="Y61">
        <f t="shared" si="28"/>
        <v>74.3</v>
      </c>
      <c r="AA61">
        <v>0</v>
      </c>
      <c r="AB61">
        <v>0</v>
      </c>
      <c r="AC61">
        <v>0</v>
      </c>
      <c r="AD61">
        <v>251.92</v>
      </c>
      <c r="AE61">
        <v>0</v>
      </c>
      <c r="AF61">
        <v>0</v>
      </c>
      <c r="AG61">
        <v>0</v>
      </c>
      <c r="AH61">
        <v>7.87</v>
      </c>
      <c r="AI61">
        <v>1</v>
      </c>
      <c r="AJ61">
        <v>1</v>
      </c>
      <c r="AK61">
        <v>1</v>
      </c>
      <c r="AL61">
        <v>32.01</v>
      </c>
      <c r="AM61">
        <v>4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74.3</v>
      </c>
      <c r="AU61" t="s">
        <v>3</v>
      </c>
      <c r="AV61">
        <v>1</v>
      </c>
      <c r="AW61">
        <v>2</v>
      </c>
      <c r="AX61">
        <v>145027248</v>
      </c>
      <c r="AY61">
        <v>1</v>
      </c>
      <c r="AZ61">
        <v>0</v>
      </c>
      <c r="BA61">
        <v>66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ROUND(Y61*Source!I52,9)</f>
        <v>141.58608000000001</v>
      </c>
      <c r="CY61">
        <f>AD61</f>
        <v>251.92</v>
      </c>
      <c r="CZ61">
        <f>AH61</f>
        <v>7.87</v>
      </c>
      <c r="DA61">
        <f>AL61</f>
        <v>32.01</v>
      </c>
      <c r="DB61">
        <f t="shared" si="29"/>
        <v>584.74</v>
      </c>
      <c r="DC61">
        <f t="shared" si="30"/>
        <v>0</v>
      </c>
      <c r="DD61" t="s">
        <v>3</v>
      </c>
      <c r="DE61" t="s">
        <v>3</v>
      </c>
      <c r="DF61">
        <f>ROUND(ROUND(AE61,2)*CX61,2)</f>
        <v>0</v>
      </c>
      <c r="DG61">
        <f>ROUND(ROUND(AF61,2)*CX61,2)</f>
        <v>0</v>
      </c>
      <c r="DH61">
        <f>ROUND(ROUND(AG61,2)*CX61,2)</f>
        <v>0</v>
      </c>
      <c r="DI61">
        <f>ROUND(ROUND(AH61*AL61,2)*CX61,2)</f>
        <v>35668.370000000003</v>
      </c>
      <c r="DJ61">
        <f>DI61</f>
        <v>35668.370000000003</v>
      </c>
      <c r="DK61">
        <v>0</v>
      </c>
      <c r="DL61" t="s">
        <v>3</v>
      </c>
      <c r="DM61">
        <v>0</v>
      </c>
      <c r="DN61" t="s">
        <v>3</v>
      </c>
      <c r="DO61">
        <v>0</v>
      </c>
    </row>
    <row r="62" spans="1:119" x14ac:dyDescent="0.2">
      <c r="A62">
        <f>ROW(Source!A52)</f>
        <v>52</v>
      </c>
      <c r="B62">
        <v>145026783</v>
      </c>
      <c r="C62">
        <v>145027241</v>
      </c>
      <c r="D62">
        <v>140760225</v>
      </c>
      <c r="E62">
        <v>70</v>
      </c>
      <c r="F62">
        <v>1</v>
      </c>
      <c r="G62">
        <v>1</v>
      </c>
      <c r="H62">
        <v>1</v>
      </c>
      <c r="I62" t="s">
        <v>609</v>
      </c>
      <c r="J62" t="s">
        <v>3</v>
      </c>
      <c r="K62" t="s">
        <v>610</v>
      </c>
      <c r="L62">
        <v>1191</v>
      </c>
      <c r="N62">
        <v>1013</v>
      </c>
      <c r="O62" t="s">
        <v>608</v>
      </c>
      <c r="P62" t="s">
        <v>608</v>
      </c>
      <c r="Q62">
        <v>1</v>
      </c>
      <c r="W62">
        <v>0</v>
      </c>
      <c r="X62">
        <v>-1417349443</v>
      </c>
      <c r="Y62">
        <f t="shared" si="28"/>
        <v>0.35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1</v>
      </c>
      <c r="AJ62">
        <v>1</v>
      </c>
      <c r="AK62">
        <v>32.01</v>
      </c>
      <c r="AL62">
        <v>1</v>
      </c>
      <c r="AM62">
        <v>4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0.35</v>
      </c>
      <c r="AU62" t="s">
        <v>3</v>
      </c>
      <c r="AV62">
        <v>2</v>
      </c>
      <c r="AW62">
        <v>2</v>
      </c>
      <c r="AX62">
        <v>145027249</v>
      </c>
      <c r="AY62">
        <v>1</v>
      </c>
      <c r="AZ62">
        <v>0</v>
      </c>
      <c r="BA62">
        <v>67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ROUND(Y62*Source!I52,9)</f>
        <v>0.66696</v>
      </c>
      <c r="CY62">
        <f>AD62</f>
        <v>0</v>
      </c>
      <c r="CZ62">
        <f>AH62</f>
        <v>0</v>
      </c>
      <c r="DA62">
        <f>AL62</f>
        <v>1</v>
      </c>
      <c r="DB62">
        <f t="shared" si="29"/>
        <v>0</v>
      </c>
      <c r="DC62">
        <f t="shared" si="30"/>
        <v>0</v>
      </c>
      <c r="DD62" t="s">
        <v>3</v>
      </c>
      <c r="DE62" t="s">
        <v>3</v>
      </c>
      <c r="DF62">
        <f>ROUND(ROUND(AE62,2)*CX62,2)</f>
        <v>0</v>
      </c>
      <c r="DG62">
        <f>ROUND(ROUND(AF62,2)*CX62,2)</f>
        <v>0</v>
      </c>
      <c r="DH62">
        <f>ROUND(ROUND(AG62*AK62,2)*CX62,2)</f>
        <v>0</v>
      </c>
      <c r="DI62">
        <f>ROUND(ROUND(AH62,2)*CX62,2)</f>
        <v>0</v>
      </c>
      <c r="DJ62">
        <f>DI62</f>
        <v>0</v>
      </c>
      <c r="DK62">
        <v>0</v>
      </c>
      <c r="DL62" t="s">
        <v>3</v>
      </c>
      <c r="DM62">
        <v>0</v>
      </c>
      <c r="DN62" t="s">
        <v>3</v>
      </c>
      <c r="DO62">
        <v>0</v>
      </c>
    </row>
    <row r="63" spans="1:119" x14ac:dyDescent="0.2">
      <c r="A63">
        <f>ROW(Source!A52)</f>
        <v>52</v>
      </c>
      <c r="B63">
        <v>145026783</v>
      </c>
      <c r="C63">
        <v>145027241</v>
      </c>
      <c r="D63">
        <v>140923145</v>
      </c>
      <c r="E63">
        <v>1</v>
      </c>
      <c r="F63">
        <v>1</v>
      </c>
      <c r="G63">
        <v>1</v>
      </c>
      <c r="H63">
        <v>2</v>
      </c>
      <c r="I63" t="s">
        <v>611</v>
      </c>
      <c r="J63" t="s">
        <v>612</v>
      </c>
      <c r="K63" t="s">
        <v>613</v>
      </c>
      <c r="L63">
        <v>1367</v>
      </c>
      <c r="N63">
        <v>1011</v>
      </c>
      <c r="O63" t="s">
        <v>614</v>
      </c>
      <c r="P63" t="s">
        <v>614</v>
      </c>
      <c r="Q63">
        <v>1</v>
      </c>
      <c r="W63">
        <v>0</v>
      </c>
      <c r="X63">
        <v>1232162608</v>
      </c>
      <c r="Y63">
        <f t="shared" si="28"/>
        <v>0.35</v>
      </c>
      <c r="AA63">
        <v>0</v>
      </c>
      <c r="AB63">
        <v>388.87</v>
      </c>
      <c r="AC63">
        <v>432.14</v>
      </c>
      <c r="AD63">
        <v>0</v>
      </c>
      <c r="AE63">
        <v>0</v>
      </c>
      <c r="AF63">
        <v>31.26</v>
      </c>
      <c r="AG63">
        <v>13.5</v>
      </c>
      <c r="AH63">
        <v>0</v>
      </c>
      <c r="AI63">
        <v>1</v>
      </c>
      <c r="AJ63">
        <v>12.44</v>
      </c>
      <c r="AK63">
        <v>32.01</v>
      </c>
      <c r="AL63">
        <v>1</v>
      </c>
      <c r="AM63">
        <v>4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0.35</v>
      </c>
      <c r="AU63" t="s">
        <v>3</v>
      </c>
      <c r="AV63">
        <v>0</v>
      </c>
      <c r="AW63">
        <v>2</v>
      </c>
      <c r="AX63">
        <v>145027250</v>
      </c>
      <c r="AY63">
        <v>1</v>
      </c>
      <c r="AZ63">
        <v>0</v>
      </c>
      <c r="BA63">
        <v>68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ROUND(Y63*Source!I52,9)</f>
        <v>0.66696</v>
      </c>
      <c r="CY63">
        <f>AB63</f>
        <v>388.87</v>
      </c>
      <c r="CZ63">
        <f>AF63</f>
        <v>31.26</v>
      </c>
      <c r="DA63">
        <f>AJ63</f>
        <v>12.44</v>
      </c>
      <c r="DB63">
        <f t="shared" si="29"/>
        <v>10.94</v>
      </c>
      <c r="DC63">
        <f t="shared" si="30"/>
        <v>4.7300000000000004</v>
      </c>
      <c r="DD63" t="s">
        <v>3</v>
      </c>
      <c r="DE63" t="s">
        <v>3</v>
      </c>
      <c r="DF63">
        <f>ROUND(ROUND(AE63,2)*CX63,2)</f>
        <v>0</v>
      </c>
      <c r="DG63">
        <f>ROUND(ROUND(AF63*AJ63,2)*CX63,2)</f>
        <v>259.36</v>
      </c>
      <c r="DH63">
        <f>ROUND(ROUND(AG63*AK63,2)*CX63,2)</f>
        <v>288.22000000000003</v>
      </c>
      <c r="DI63">
        <f>ROUND(ROUND(AH63,2)*CX63,2)</f>
        <v>0</v>
      </c>
      <c r="DJ63">
        <f>DG63</f>
        <v>259.36</v>
      </c>
      <c r="DK63">
        <v>0</v>
      </c>
      <c r="DL63" t="s">
        <v>3</v>
      </c>
      <c r="DM63">
        <v>0</v>
      </c>
      <c r="DN63" t="s">
        <v>3</v>
      </c>
      <c r="DO63">
        <v>0</v>
      </c>
    </row>
    <row r="64" spans="1:119" x14ac:dyDescent="0.2">
      <c r="A64">
        <f>ROW(Source!A52)</f>
        <v>52</v>
      </c>
      <c r="B64">
        <v>145026783</v>
      </c>
      <c r="C64">
        <v>145027241</v>
      </c>
      <c r="D64">
        <v>140924121</v>
      </c>
      <c r="E64">
        <v>1</v>
      </c>
      <c r="F64">
        <v>1</v>
      </c>
      <c r="G64">
        <v>1</v>
      </c>
      <c r="H64">
        <v>2</v>
      </c>
      <c r="I64" t="s">
        <v>619</v>
      </c>
      <c r="J64" t="s">
        <v>620</v>
      </c>
      <c r="K64" t="s">
        <v>621</v>
      </c>
      <c r="L64">
        <v>1367</v>
      </c>
      <c r="N64">
        <v>1011</v>
      </c>
      <c r="O64" t="s">
        <v>614</v>
      </c>
      <c r="P64" t="s">
        <v>614</v>
      </c>
      <c r="Q64">
        <v>1</v>
      </c>
      <c r="W64">
        <v>0</v>
      </c>
      <c r="X64">
        <v>-1506375854</v>
      </c>
      <c r="Y64">
        <f t="shared" si="28"/>
        <v>1.64</v>
      </c>
      <c r="AA64">
        <v>0</v>
      </c>
      <c r="AB64">
        <v>607.20000000000005</v>
      </c>
      <c r="AC64">
        <v>0</v>
      </c>
      <c r="AD64">
        <v>0</v>
      </c>
      <c r="AE64">
        <v>0</v>
      </c>
      <c r="AF64">
        <v>48.81</v>
      </c>
      <c r="AG64">
        <v>0</v>
      </c>
      <c r="AH64">
        <v>0</v>
      </c>
      <c r="AI64">
        <v>1</v>
      </c>
      <c r="AJ64">
        <v>12.44</v>
      </c>
      <c r="AK64">
        <v>32.01</v>
      </c>
      <c r="AL64">
        <v>1</v>
      </c>
      <c r="AM64">
        <v>4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1.64</v>
      </c>
      <c r="AU64" t="s">
        <v>3</v>
      </c>
      <c r="AV64">
        <v>0</v>
      </c>
      <c r="AW64">
        <v>2</v>
      </c>
      <c r="AX64">
        <v>145027251</v>
      </c>
      <c r="AY64">
        <v>1</v>
      </c>
      <c r="AZ64">
        <v>0</v>
      </c>
      <c r="BA64">
        <v>69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ROUND(Y64*Source!I52,9)</f>
        <v>3.125184</v>
      </c>
      <c r="CY64">
        <f>AB64</f>
        <v>607.20000000000005</v>
      </c>
      <c r="CZ64">
        <f>AF64</f>
        <v>48.81</v>
      </c>
      <c r="DA64">
        <f>AJ64</f>
        <v>12.44</v>
      </c>
      <c r="DB64">
        <f t="shared" si="29"/>
        <v>80.05</v>
      </c>
      <c r="DC64">
        <f t="shared" si="30"/>
        <v>0</v>
      </c>
      <c r="DD64" t="s">
        <v>3</v>
      </c>
      <c r="DE64" t="s">
        <v>3</v>
      </c>
      <c r="DF64">
        <f>ROUND(ROUND(AE64,2)*CX64,2)</f>
        <v>0</v>
      </c>
      <c r="DG64">
        <f>ROUND(ROUND(AF64*AJ64,2)*CX64,2)</f>
        <v>1897.61</v>
      </c>
      <c r="DH64">
        <f>ROUND(ROUND(AG64*AK64,2)*CX64,2)</f>
        <v>0</v>
      </c>
      <c r="DI64">
        <f>ROUND(ROUND(AH64,2)*CX64,2)</f>
        <v>0</v>
      </c>
      <c r="DJ64">
        <f>DG64</f>
        <v>1897.61</v>
      </c>
      <c r="DK64">
        <v>0</v>
      </c>
      <c r="DL64" t="s">
        <v>3</v>
      </c>
      <c r="DM64">
        <v>0</v>
      </c>
      <c r="DN64" t="s">
        <v>3</v>
      </c>
      <c r="DO64">
        <v>0</v>
      </c>
    </row>
    <row r="65" spans="1:119" x14ac:dyDescent="0.2">
      <c r="A65">
        <f>ROW(Source!A52)</f>
        <v>52</v>
      </c>
      <c r="B65">
        <v>145026783</v>
      </c>
      <c r="C65">
        <v>145027241</v>
      </c>
      <c r="D65">
        <v>140924577</v>
      </c>
      <c r="E65">
        <v>1</v>
      </c>
      <c r="F65">
        <v>1</v>
      </c>
      <c r="G65">
        <v>1</v>
      </c>
      <c r="H65">
        <v>2</v>
      </c>
      <c r="I65" t="s">
        <v>622</v>
      </c>
      <c r="J65" t="s">
        <v>623</v>
      </c>
      <c r="K65" t="s">
        <v>624</v>
      </c>
      <c r="L65">
        <v>1367</v>
      </c>
      <c r="N65">
        <v>1011</v>
      </c>
      <c r="O65" t="s">
        <v>614</v>
      </c>
      <c r="P65" t="s">
        <v>614</v>
      </c>
      <c r="Q65">
        <v>1</v>
      </c>
      <c r="W65">
        <v>0</v>
      </c>
      <c r="X65">
        <v>1998121820</v>
      </c>
      <c r="Y65">
        <f t="shared" si="28"/>
        <v>3.28</v>
      </c>
      <c r="AA65">
        <v>0</v>
      </c>
      <c r="AB65">
        <v>19.03</v>
      </c>
      <c r="AC65">
        <v>0</v>
      </c>
      <c r="AD65">
        <v>0</v>
      </c>
      <c r="AE65">
        <v>0</v>
      </c>
      <c r="AF65">
        <v>1.53</v>
      </c>
      <c r="AG65">
        <v>0</v>
      </c>
      <c r="AH65">
        <v>0</v>
      </c>
      <c r="AI65">
        <v>1</v>
      </c>
      <c r="AJ65">
        <v>12.44</v>
      </c>
      <c r="AK65">
        <v>32.01</v>
      </c>
      <c r="AL65">
        <v>1</v>
      </c>
      <c r="AM65">
        <v>4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3.28</v>
      </c>
      <c r="AU65" t="s">
        <v>3</v>
      </c>
      <c r="AV65">
        <v>0</v>
      </c>
      <c r="AW65">
        <v>2</v>
      </c>
      <c r="AX65">
        <v>145027252</v>
      </c>
      <c r="AY65">
        <v>1</v>
      </c>
      <c r="AZ65">
        <v>0</v>
      </c>
      <c r="BA65">
        <v>70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ROUND(Y65*Source!I52,9)</f>
        <v>6.2503679999999999</v>
      </c>
      <c r="CY65">
        <f>AB65</f>
        <v>19.03</v>
      </c>
      <c r="CZ65">
        <f>AF65</f>
        <v>1.53</v>
      </c>
      <c r="DA65">
        <f>AJ65</f>
        <v>12.44</v>
      </c>
      <c r="DB65">
        <f t="shared" si="29"/>
        <v>5.0199999999999996</v>
      </c>
      <c r="DC65">
        <f t="shared" si="30"/>
        <v>0</v>
      </c>
      <c r="DD65" t="s">
        <v>3</v>
      </c>
      <c r="DE65" t="s">
        <v>3</v>
      </c>
      <c r="DF65">
        <f>ROUND(ROUND(AE65,2)*CX65,2)</f>
        <v>0</v>
      </c>
      <c r="DG65">
        <f>ROUND(ROUND(AF65*AJ65,2)*CX65,2)</f>
        <v>118.94</v>
      </c>
      <c r="DH65">
        <f>ROUND(ROUND(AG65*AK65,2)*CX65,2)</f>
        <v>0</v>
      </c>
      <c r="DI65">
        <f>ROUND(ROUND(AH65,2)*CX65,2)</f>
        <v>0</v>
      </c>
      <c r="DJ65">
        <f>DG65</f>
        <v>118.94</v>
      </c>
      <c r="DK65">
        <v>0</v>
      </c>
      <c r="DL65" t="s">
        <v>3</v>
      </c>
      <c r="DM65">
        <v>0</v>
      </c>
      <c r="DN65" t="s">
        <v>3</v>
      </c>
      <c r="DO65">
        <v>0</v>
      </c>
    </row>
    <row r="66" spans="1:119" x14ac:dyDescent="0.2">
      <c r="A66">
        <f>ROW(Source!A52)</f>
        <v>52</v>
      </c>
      <c r="B66">
        <v>145026783</v>
      </c>
      <c r="C66">
        <v>145027241</v>
      </c>
      <c r="D66">
        <v>140765020</v>
      </c>
      <c r="E66">
        <v>70</v>
      </c>
      <c r="F66">
        <v>1</v>
      </c>
      <c r="G66">
        <v>1</v>
      </c>
      <c r="H66">
        <v>3</v>
      </c>
      <c r="I66" t="s">
        <v>47</v>
      </c>
      <c r="J66" t="s">
        <v>3</v>
      </c>
      <c r="K66" t="s">
        <v>48</v>
      </c>
      <c r="L66">
        <v>1348</v>
      </c>
      <c r="N66">
        <v>1009</v>
      </c>
      <c r="O66" t="s">
        <v>49</v>
      </c>
      <c r="P66" t="s">
        <v>49</v>
      </c>
      <c r="Q66">
        <v>1000</v>
      </c>
      <c r="W66">
        <v>0</v>
      </c>
      <c r="X66">
        <v>2102561428</v>
      </c>
      <c r="Y66">
        <f t="shared" si="28"/>
        <v>4.41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8.9</v>
      </c>
      <c r="AJ66">
        <v>1</v>
      </c>
      <c r="AK66">
        <v>1</v>
      </c>
      <c r="AL66">
        <v>1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 t="s">
        <v>3</v>
      </c>
      <c r="AT66">
        <v>4.41</v>
      </c>
      <c r="AU66" t="s">
        <v>3</v>
      </c>
      <c r="AV66">
        <v>0</v>
      </c>
      <c r="AW66">
        <v>2</v>
      </c>
      <c r="AX66">
        <v>145027253</v>
      </c>
      <c r="AY66">
        <v>1</v>
      </c>
      <c r="AZ66">
        <v>0</v>
      </c>
      <c r="BA66">
        <v>71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ROUND(Y66*Source!I52,9)</f>
        <v>8.4036960000000001</v>
      </c>
      <c r="CY66">
        <f>AA66</f>
        <v>0</v>
      </c>
      <c r="CZ66">
        <f>AE66</f>
        <v>0</v>
      </c>
      <c r="DA66">
        <f>AI66</f>
        <v>8.9</v>
      </c>
      <c r="DB66">
        <f t="shared" si="29"/>
        <v>0</v>
      </c>
      <c r="DC66">
        <f t="shared" si="30"/>
        <v>0</v>
      </c>
      <c r="DD66" t="s">
        <v>3</v>
      </c>
      <c r="DE66" t="s">
        <v>3</v>
      </c>
      <c r="DF66">
        <f>ROUND(ROUND(AE66*AI66,2)*CX66,2)</f>
        <v>0</v>
      </c>
      <c r="DG66">
        <f>ROUND(ROUND(AF66,2)*CX66,2)</f>
        <v>0</v>
      </c>
      <c r="DH66">
        <f>ROUND(ROUND(AG66,2)*CX66,2)</f>
        <v>0</v>
      </c>
      <c r="DI66">
        <f>ROUND(ROUND(AH66,2)*CX66,2)</f>
        <v>0</v>
      </c>
      <c r="DJ66">
        <f>DF66</f>
        <v>0</v>
      </c>
      <c r="DK66">
        <v>0</v>
      </c>
      <c r="DL66" t="s">
        <v>3</v>
      </c>
      <c r="DM66">
        <v>0</v>
      </c>
      <c r="DN66" t="s">
        <v>3</v>
      </c>
      <c r="DO66">
        <v>0</v>
      </c>
    </row>
    <row r="67" spans="1:119" x14ac:dyDescent="0.2">
      <c r="A67">
        <f>ROW(Source!A54)</f>
        <v>54</v>
      </c>
      <c r="B67">
        <v>145026783</v>
      </c>
      <c r="C67">
        <v>145039078</v>
      </c>
      <c r="D67">
        <v>140760008</v>
      </c>
      <c r="E67">
        <v>70</v>
      </c>
      <c r="F67">
        <v>1</v>
      </c>
      <c r="G67">
        <v>1</v>
      </c>
      <c r="H67">
        <v>1</v>
      </c>
      <c r="I67" t="s">
        <v>663</v>
      </c>
      <c r="J67" t="s">
        <v>3</v>
      </c>
      <c r="K67" t="s">
        <v>664</v>
      </c>
      <c r="L67">
        <v>1191</v>
      </c>
      <c r="N67">
        <v>1013</v>
      </c>
      <c r="O67" t="s">
        <v>608</v>
      </c>
      <c r="P67" t="s">
        <v>608</v>
      </c>
      <c r="Q67">
        <v>1</v>
      </c>
      <c r="W67">
        <v>0</v>
      </c>
      <c r="X67">
        <v>-1810713292</v>
      </c>
      <c r="Y67">
        <f>(AT67*1.15)</f>
        <v>4.2435</v>
      </c>
      <c r="AA67">
        <v>0</v>
      </c>
      <c r="AB67">
        <v>0</v>
      </c>
      <c r="AC67">
        <v>0</v>
      </c>
      <c r="AD67">
        <v>293.85000000000002</v>
      </c>
      <c r="AE67">
        <v>0</v>
      </c>
      <c r="AF67">
        <v>0</v>
      </c>
      <c r="AG67">
        <v>0</v>
      </c>
      <c r="AH67">
        <v>9.18</v>
      </c>
      <c r="AI67">
        <v>1</v>
      </c>
      <c r="AJ67">
        <v>1</v>
      </c>
      <c r="AK67">
        <v>1</v>
      </c>
      <c r="AL67">
        <v>32.01</v>
      </c>
      <c r="AM67">
        <v>4</v>
      </c>
      <c r="AN67">
        <v>0</v>
      </c>
      <c r="AO67">
        <v>1</v>
      </c>
      <c r="AP67">
        <v>1</v>
      </c>
      <c r="AQ67">
        <v>0</v>
      </c>
      <c r="AR67">
        <v>0</v>
      </c>
      <c r="AS67" t="s">
        <v>3</v>
      </c>
      <c r="AT67">
        <v>3.69</v>
      </c>
      <c r="AU67" t="s">
        <v>149</v>
      </c>
      <c r="AV67">
        <v>1</v>
      </c>
      <c r="AW67">
        <v>2</v>
      </c>
      <c r="AX67">
        <v>145039079</v>
      </c>
      <c r="AY67">
        <v>1</v>
      </c>
      <c r="AZ67">
        <v>0</v>
      </c>
      <c r="BA67">
        <v>72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ROUND(Y67*Source!I54,9)</f>
        <v>10.948230000000001</v>
      </c>
      <c r="CY67">
        <f>AD67</f>
        <v>293.85000000000002</v>
      </c>
      <c r="CZ67">
        <f>AH67</f>
        <v>9.18</v>
      </c>
      <c r="DA67">
        <f>AL67</f>
        <v>32.01</v>
      </c>
      <c r="DB67">
        <f>ROUND((ROUND(AT67*CZ67,2)*1.15),2)</f>
        <v>38.950000000000003</v>
      </c>
      <c r="DC67">
        <f>ROUND((ROUND(AT67*AG67,2)*1.15),2)</f>
        <v>0</v>
      </c>
      <c r="DD67" t="s">
        <v>3</v>
      </c>
      <c r="DE67" t="s">
        <v>3</v>
      </c>
      <c r="DF67">
        <f>ROUND(ROUND(AE67,2)*CX67,2)</f>
        <v>0</v>
      </c>
      <c r="DG67">
        <f>ROUND(ROUND(AF67,2)*CX67,2)</f>
        <v>0</v>
      </c>
      <c r="DH67">
        <f>ROUND(ROUND(AG67,2)*CX67,2)</f>
        <v>0</v>
      </c>
      <c r="DI67">
        <f>ROUND(ROUND(AH67*AL67,2)*CX67,2)</f>
        <v>3217.14</v>
      </c>
      <c r="DJ67">
        <f>DI67</f>
        <v>3217.14</v>
      </c>
      <c r="DK67">
        <v>0</v>
      </c>
      <c r="DL67" t="s">
        <v>3</v>
      </c>
      <c r="DM67">
        <v>0</v>
      </c>
      <c r="DN67" t="s">
        <v>3</v>
      </c>
      <c r="DO67">
        <v>0</v>
      </c>
    </row>
    <row r="68" spans="1:119" x14ac:dyDescent="0.2">
      <c r="A68">
        <f>ROW(Source!A54)</f>
        <v>54</v>
      </c>
      <c r="B68">
        <v>145026783</v>
      </c>
      <c r="C68">
        <v>145039078</v>
      </c>
      <c r="D68">
        <v>140760225</v>
      </c>
      <c r="E68">
        <v>70</v>
      </c>
      <c r="F68">
        <v>1</v>
      </c>
      <c r="G68">
        <v>1</v>
      </c>
      <c r="H68">
        <v>1</v>
      </c>
      <c r="I68" t="s">
        <v>609</v>
      </c>
      <c r="J68" t="s">
        <v>3</v>
      </c>
      <c r="K68" t="s">
        <v>610</v>
      </c>
      <c r="L68">
        <v>1191</v>
      </c>
      <c r="N68">
        <v>1013</v>
      </c>
      <c r="O68" t="s">
        <v>608</v>
      </c>
      <c r="P68" t="s">
        <v>608</v>
      </c>
      <c r="Q68">
        <v>1</v>
      </c>
      <c r="W68">
        <v>0</v>
      </c>
      <c r="X68">
        <v>-1417349443</v>
      </c>
      <c r="Y68">
        <f>(AT68*1.25)</f>
        <v>6.25E-2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1</v>
      </c>
      <c r="AJ68">
        <v>1</v>
      </c>
      <c r="AK68">
        <v>32.01</v>
      </c>
      <c r="AL68">
        <v>1</v>
      </c>
      <c r="AM68">
        <v>4</v>
      </c>
      <c r="AN68">
        <v>0</v>
      </c>
      <c r="AO68">
        <v>1</v>
      </c>
      <c r="AP68">
        <v>1</v>
      </c>
      <c r="AQ68">
        <v>0</v>
      </c>
      <c r="AR68">
        <v>0</v>
      </c>
      <c r="AS68" t="s">
        <v>3</v>
      </c>
      <c r="AT68">
        <v>0.05</v>
      </c>
      <c r="AU68" t="s">
        <v>148</v>
      </c>
      <c r="AV68">
        <v>2</v>
      </c>
      <c r="AW68">
        <v>2</v>
      </c>
      <c r="AX68">
        <v>145039080</v>
      </c>
      <c r="AY68">
        <v>1</v>
      </c>
      <c r="AZ68">
        <v>0</v>
      </c>
      <c r="BA68">
        <v>73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ROUND(Y68*Source!I54,9)</f>
        <v>0.16125</v>
      </c>
      <c r="CY68">
        <f>AD68</f>
        <v>0</v>
      </c>
      <c r="CZ68">
        <f>AH68</f>
        <v>0</v>
      </c>
      <c r="DA68">
        <f>AL68</f>
        <v>1</v>
      </c>
      <c r="DB68">
        <f>ROUND((ROUND(AT68*CZ68,2)*1.25),2)</f>
        <v>0</v>
      </c>
      <c r="DC68">
        <f>ROUND((ROUND(AT68*AG68,2)*1.25),2)</f>
        <v>0</v>
      </c>
      <c r="DD68" t="s">
        <v>3</v>
      </c>
      <c r="DE68" t="s">
        <v>3</v>
      </c>
      <c r="DF68">
        <f>ROUND(ROUND(AE68,2)*CX68,2)</f>
        <v>0</v>
      </c>
      <c r="DG68">
        <f>ROUND(ROUND(AF68,2)*CX68,2)</f>
        <v>0</v>
      </c>
      <c r="DH68">
        <f>ROUND(ROUND(AG68*AK68,2)*CX68,2)</f>
        <v>0</v>
      </c>
      <c r="DI68">
        <f t="shared" ref="DI68:DI73" si="33">ROUND(ROUND(AH68,2)*CX68,2)</f>
        <v>0</v>
      </c>
      <c r="DJ68">
        <f>DI68</f>
        <v>0</v>
      </c>
      <c r="DK68">
        <v>0</v>
      </c>
      <c r="DL68" t="s">
        <v>3</v>
      </c>
      <c r="DM68">
        <v>0</v>
      </c>
      <c r="DN68" t="s">
        <v>3</v>
      </c>
      <c r="DO68">
        <v>0</v>
      </c>
    </row>
    <row r="69" spans="1:119" x14ac:dyDescent="0.2">
      <c r="A69">
        <f>ROW(Source!A54)</f>
        <v>54</v>
      </c>
      <c r="B69">
        <v>145026783</v>
      </c>
      <c r="C69">
        <v>145039078</v>
      </c>
      <c r="D69">
        <v>140923143</v>
      </c>
      <c r="E69">
        <v>1</v>
      </c>
      <c r="F69">
        <v>1</v>
      </c>
      <c r="G69">
        <v>1</v>
      </c>
      <c r="H69">
        <v>2</v>
      </c>
      <c r="I69" t="s">
        <v>702</v>
      </c>
      <c r="J69" t="s">
        <v>703</v>
      </c>
      <c r="K69" t="s">
        <v>704</v>
      </c>
      <c r="L69">
        <v>1367</v>
      </c>
      <c r="N69">
        <v>1011</v>
      </c>
      <c r="O69" t="s">
        <v>614</v>
      </c>
      <c r="P69" t="s">
        <v>614</v>
      </c>
      <c r="Q69">
        <v>1</v>
      </c>
      <c r="W69">
        <v>0</v>
      </c>
      <c r="X69">
        <v>961999509</v>
      </c>
      <c r="Y69">
        <f>(AT69*1.25)</f>
        <v>1.2500000000000001E-2</v>
      </c>
      <c r="AA69">
        <v>0</v>
      </c>
      <c r="AB69">
        <v>344.09</v>
      </c>
      <c r="AC69">
        <v>371.32</v>
      </c>
      <c r="AD69">
        <v>0</v>
      </c>
      <c r="AE69">
        <v>0</v>
      </c>
      <c r="AF69">
        <v>27.66</v>
      </c>
      <c r="AG69">
        <v>11.6</v>
      </c>
      <c r="AH69">
        <v>0</v>
      </c>
      <c r="AI69">
        <v>1</v>
      </c>
      <c r="AJ69">
        <v>12.44</v>
      </c>
      <c r="AK69">
        <v>32.01</v>
      </c>
      <c r="AL69">
        <v>1</v>
      </c>
      <c r="AM69">
        <v>4</v>
      </c>
      <c r="AN69">
        <v>0</v>
      </c>
      <c r="AO69">
        <v>1</v>
      </c>
      <c r="AP69">
        <v>1</v>
      </c>
      <c r="AQ69">
        <v>0</v>
      </c>
      <c r="AR69">
        <v>0</v>
      </c>
      <c r="AS69" t="s">
        <v>3</v>
      </c>
      <c r="AT69">
        <v>0.01</v>
      </c>
      <c r="AU69" t="s">
        <v>148</v>
      </c>
      <c r="AV69">
        <v>0</v>
      </c>
      <c r="AW69">
        <v>2</v>
      </c>
      <c r="AX69">
        <v>145039081</v>
      </c>
      <c r="AY69">
        <v>1</v>
      </c>
      <c r="AZ69">
        <v>0</v>
      </c>
      <c r="BA69">
        <v>74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ROUND(Y69*Source!I54,9)</f>
        <v>3.2250000000000001E-2</v>
      </c>
      <c r="CY69">
        <f>AB69</f>
        <v>344.09</v>
      </c>
      <c r="CZ69">
        <f>AF69</f>
        <v>27.66</v>
      </c>
      <c r="DA69">
        <f>AJ69</f>
        <v>12.44</v>
      </c>
      <c r="DB69">
        <f>ROUND((ROUND(AT69*CZ69,2)*1.25),2)</f>
        <v>0.35</v>
      </c>
      <c r="DC69">
        <f>ROUND((ROUND(AT69*AG69,2)*1.25),2)</f>
        <v>0.15</v>
      </c>
      <c r="DD69" t="s">
        <v>3</v>
      </c>
      <c r="DE69" t="s">
        <v>3</v>
      </c>
      <c r="DF69">
        <f>ROUND(ROUND(AE69,2)*CX69,2)</f>
        <v>0</v>
      </c>
      <c r="DG69">
        <f>ROUND(ROUND(AF69*AJ69,2)*CX69,2)</f>
        <v>11.1</v>
      </c>
      <c r="DH69">
        <f>ROUND(ROUND(AG69*AK69,2)*CX69,2)</f>
        <v>11.98</v>
      </c>
      <c r="DI69">
        <f t="shared" si="33"/>
        <v>0</v>
      </c>
      <c r="DJ69">
        <f>DG69</f>
        <v>11.1</v>
      </c>
      <c r="DK69">
        <v>0</v>
      </c>
      <c r="DL69" t="s">
        <v>3</v>
      </c>
      <c r="DM69">
        <v>0</v>
      </c>
      <c r="DN69" t="s">
        <v>3</v>
      </c>
      <c r="DO69">
        <v>0</v>
      </c>
    </row>
    <row r="70" spans="1:119" x14ac:dyDescent="0.2">
      <c r="A70">
        <f>ROW(Source!A54)</f>
        <v>54</v>
      </c>
      <c r="B70">
        <v>145026783</v>
      </c>
      <c r="C70">
        <v>145039078</v>
      </c>
      <c r="D70">
        <v>140923885</v>
      </c>
      <c r="E70">
        <v>1</v>
      </c>
      <c r="F70">
        <v>1</v>
      </c>
      <c r="G70">
        <v>1</v>
      </c>
      <c r="H70">
        <v>2</v>
      </c>
      <c r="I70" t="s">
        <v>668</v>
      </c>
      <c r="J70" t="s">
        <v>669</v>
      </c>
      <c r="K70" t="s">
        <v>670</v>
      </c>
      <c r="L70">
        <v>1367</v>
      </c>
      <c r="N70">
        <v>1011</v>
      </c>
      <c r="O70" t="s">
        <v>614</v>
      </c>
      <c r="P70" t="s">
        <v>614</v>
      </c>
      <c r="Q70">
        <v>1</v>
      </c>
      <c r="W70">
        <v>0</v>
      </c>
      <c r="X70">
        <v>509054691</v>
      </c>
      <c r="Y70">
        <f>(AT70*1.25)</f>
        <v>0.05</v>
      </c>
      <c r="AA70">
        <v>0</v>
      </c>
      <c r="AB70">
        <v>817.43</v>
      </c>
      <c r="AC70">
        <v>371.32</v>
      </c>
      <c r="AD70">
        <v>0</v>
      </c>
      <c r="AE70">
        <v>0</v>
      </c>
      <c r="AF70">
        <v>65.709999999999994</v>
      </c>
      <c r="AG70">
        <v>11.6</v>
      </c>
      <c r="AH70">
        <v>0</v>
      </c>
      <c r="AI70">
        <v>1</v>
      </c>
      <c r="AJ70">
        <v>12.44</v>
      </c>
      <c r="AK70">
        <v>32.01</v>
      </c>
      <c r="AL70">
        <v>1</v>
      </c>
      <c r="AM70">
        <v>4</v>
      </c>
      <c r="AN70">
        <v>0</v>
      </c>
      <c r="AO70">
        <v>1</v>
      </c>
      <c r="AP70">
        <v>1</v>
      </c>
      <c r="AQ70">
        <v>0</v>
      </c>
      <c r="AR70">
        <v>0</v>
      </c>
      <c r="AS70" t="s">
        <v>3</v>
      </c>
      <c r="AT70">
        <v>0.04</v>
      </c>
      <c r="AU70" t="s">
        <v>148</v>
      </c>
      <c r="AV70">
        <v>0</v>
      </c>
      <c r="AW70">
        <v>2</v>
      </c>
      <c r="AX70">
        <v>145039082</v>
      </c>
      <c r="AY70">
        <v>1</v>
      </c>
      <c r="AZ70">
        <v>0</v>
      </c>
      <c r="BA70">
        <v>75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ROUND(Y70*Source!I54,9)</f>
        <v>0.129</v>
      </c>
      <c r="CY70">
        <f>AB70</f>
        <v>817.43</v>
      </c>
      <c r="CZ70">
        <f>AF70</f>
        <v>65.709999999999994</v>
      </c>
      <c r="DA70">
        <f>AJ70</f>
        <v>12.44</v>
      </c>
      <c r="DB70">
        <f>ROUND((ROUND(AT70*CZ70,2)*1.25),2)</f>
        <v>3.29</v>
      </c>
      <c r="DC70">
        <f>ROUND((ROUND(AT70*AG70,2)*1.25),2)</f>
        <v>0.57999999999999996</v>
      </c>
      <c r="DD70" t="s">
        <v>3</v>
      </c>
      <c r="DE70" t="s">
        <v>3</v>
      </c>
      <c r="DF70">
        <f>ROUND(ROUND(AE70,2)*CX70,2)</f>
        <v>0</v>
      </c>
      <c r="DG70">
        <f>ROUND(ROUND(AF70*AJ70,2)*CX70,2)</f>
        <v>105.45</v>
      </c>
      <c r="DH70">
        <f>ROUND(ROUND(AG70*AK70,2)*CX70,2)</f>
        <v>47.9</v>
      </c>
      <c r="DI70">
        <f t="shared" si="33"/>
        <v>0</v>
      </c>
      <c r="DJ70">
        <f>DG70</f>
        <v>105.45</v>
      </c>
      <c r="DK70">
        <v>0</v>
      </c>
      <c r="DL70" t="s">
        <v>3</v>
      </c>
      <c r="DM70">
        <v>0</v>
      </c>
      <c r="DN70" t="s">
        <v>3</v>
      </c>
      <c r="DO70">
        <v>0</v>
      </c>
    </row>
    <row r="71" spans="1:119" x14ac:dyDescent="0.2">
      <c r="A71">
        <f>ROW(Source!A54)</f>
        <v>54</v>
      </c>
      <c r="B71">
        <v>145026783</v>
      </c>
      <c r="C71">
        <v>145039078</v>
      </c>
      <c r="D71">
        <v>140924526</v>
      </c>
      <c r="E71">
        <v>1</v>
      </c>
      <c r="F71">
        <v>1</v>
      </c>
      <c r="G71">
        <v>1</v>
      </c>
      <c r="H71">
        <v>2</v>
      </c>
      <c r="I71" t="s">
        <v>705</v>
      </c>
      <c r="J71" t="s">
        <v>706</v>
      </c>
      <c r="K71" t="s">
        <v>707</v>
      </c>
      <c r="L71">
        <v>1367</v>
      </c>
      <c r="N71">
        <v>1011</v>
      </c>
      <c r="O71" t="s">
        <v>614</v>
      </c>
      <c r="P71" t="s">
        <v>614</v>
      </c>
      <c r="Q71">
        <v>1</v>
      </c>
      <c r="W71">
        <v>0</v>
      </c>
      <c r="X71">
        <v>-1745017968</v>
      </c>
      <c r="Y71">
        <f>(AT71*1.25)</f>
        <v>3.5249999999999999</v>
      </c>
      <c r="AA71">
        <v>0</v>
      </c>
      <c r="AB71">
        <v>84.84</v>
      </c>
      <c r="AC71">
        <v>0</v>
      </c>
      <c r="AD71">
        <v>0</v>
      </c>
      <c r="AE71">
        <v>0</v>
      </c>
      <c r="AF71">
        <v>6.82</v>
      </c>
      <c r="AG71">
        <v>0</v>
      </c>
      <c r="AH71">
        <v>0</v>
      </c>
      <c r="AI71">
        <v>1</v>
      </c>
      <c r="AJ71">
        <v>12.44</v>
      </c>
      <c r="AK71">
        <v>32.01</v>
      </c>
      <c r="AL71">
        <v>1</v>
      </c>
      <c r="AM71">
        <v>4</v>
      </c>
      <c r="AN71">
        <v>0</v>
      </c>
      <c r="AO71">
        <v>1</v>
      </c>
      <c r="AP71">
        <v>1</v>
      </c>
      <c r="AQ71">
        <v>0</v>
      </c>
      <c r="AR71">
        <v>0</v>
      </c>
      <c r="AS71" t="s">
        <v>3</v>
      </c>
      <c r="AT71">
        <v>2.82</v>
      </c>
      <c r="AU71" t="s">
        <v>148</v>
      </c>
      <c r="AV71">
        <v>0</v>
      </c>
      <c r="AW71">
        <v>2</v>
      </c>
      <c r="AX71">
        <v>145039083</v>
      </c>
      <c r="AY71">
        <v>1</v>
      </c>
      <c r="AZ71">
        <v>0</v>
      </c>
      <c r="BA71">
        <v>76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ROUND(Y71*Source!I54,9)</f>
        <v>9.0945</v>
      </c>
      <c r="CY71">
        <f>AB71</f>
        <v>84.84</v>
      </c>
      <c r="CZ71">
        <f>AF71</f>
        <v>6.82</v>
      </c>
      <c r="DA71">
        <f>AJ71</f>
        <v>12.44</v>
      </c>
      <c r="DB71">
        <f>ROUND((ROUND(AT71*CZ71,2)*1.25),2)</f>
        <v>24.04</v>
      </c>
      <c r="DC71">
        <f>ROUND((ROUND(AT71*AG71,2)*1.25),2)</f>
        <v>0</v>
      </c>
      <c r="DD71" t="s">
        <v>3</v>
      </c>
      <c r="DE71" t="s">
        <v>3</v>
      </c>
      <c r="DF71">
        <f>ROUND(ROUND(AE71,2)*CX71,2)</f>
        <v>0</v>
      </c>
      <c r="DG71">
        <f>ROUND(ROUND(AF71*AJ71,2)*CX71,2)</f>
        <v>771.58</v>
      </c>
      <c r="DH71">
        <f>ROUND(ROUND(AG71*AK71,2)*CX71,2)</f>
        <v>0</v>
      </c>
      <c r="DI71">
        <f t="shared" si="33"/>
        <v>0</v>
      </c>
      <c r="DJ71">
        <f>DG71</f>
        <v>771.58</v>
      </c>
      <c r="DK71">
        <v>0</v>
      </c>
      <c r="DL71" t="s">
        <v>3</v>
      </c>
      <c r="DM71">
        <v>0</v>
      </c>
      <c r="DN71" t="s">
        <v>3</v>
      </c>
      <c r="DO71">
        <v>0</v>
      </c>
    </row>
    <row r="72" spans="1:119" x14ac:dyDescent="0.2">
      <c r="A72">
        <f>ROW(Source!A54)</f>
        <v>54</v>
      </c>
      <c r="B72">
        <v>145026783</v>
      </c>
      <c r="C72">
        <v>145039078</v>
      </c>
      <c r="D72">
        <v>140772680</v>
      </c>
      <c r="E72">
        <v>1</v>
      </c>
      <c r="F72">
        <v>1</v>
      </c>
      <c r="G72">
        <v>1</v>
      </c>
      <c r="H72">
        <v>3</v>
      </c>
      <c r="I72" t="s">
        <v>635</v>
      </c>
      <c r="J72" t="s">
        <v>636</v>
      </c>
      <c r="K72" t="s">
        <v>637</v>
      </c>
      <c r="L72">
        <v>1339</v>
      </c>
      <c r="N72">
        <v>1007</v>
      </c>
      <c r="O72" t="s">
        <v>638</v>
      </c>
      <c r="P72" t="s">
        <v>638</v>
      </c>
      <c r="Q72">
        <v>1</v>
      </c>
      <c r="W72">
        <v>0</v>
      </c>
      <c r="X72">
        <v>-143474561</v>
      </c>
      <c r="Y72">
        <f>AT72</f>
        <v>0.01</v>
      </c>
      <c r="AA72">
        <v>21.72</v>
      </c>
      <c r="AB72">
        <v>0</v>
      </c>
      <c r="AC72">
        <v>0</v>
      </c>
      <c r="AD72">
        <v>0</v>
      </c>
      <c r="AE72">
        <v>2.44</v>
      </c>
      <c r="AF72">
        <v>0</v>
      </c>
      <c r="AG72">
        <v>0</v>
      </c>
      <c r="AH72">
        <v>0</v>
      </c>
      <c r="AI72">
        <v>8.9</v>
      </c>
      <c r="AJ72">
        <v>1</v>
      </c>
      <c r="AK72">
        <v>1</v>
      </c>
      <c r="AL72">
        <v>1</v>
      </c>
      <c r="AM72">
        <v>4</v>
      </c>
      <c r="AN72">
        <v>0</v>
      </c>
      <c r="AO72">
        <v>1</v>
      </c>
      <c r="AP72">
        <v>1</v>
      </c>
      <c r="AQ72">
        <v>0</v>
      </c>
      <c r="AR72">
        <v>0</v>
      </c>
      <c r="AS72" t="s">
        <v>3</v>
      </c>
      <c r="AT72">
        <v>0.01</v>
      </c>
      <c r="AU72" t="s">
        <v>3</v>
      </c>
      <c r="AV72">
        <v>0</v>
      </c>
      <c r="AW72">
        <v>2</v>
      </c>
      <c r="AX72">
        <v>145039084</v>
      </c>
      <c r="AY72">
        <v>1</v>
      </c>
      <c r="AZ72">
        <v>0</v>
      </c>
      <c r="BA72">
        <v>77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ROUND(Y72*Source!I54,9)</f>
        <v>2.58E-2</v>
      </c>
      <c r="CY72">
        <f>AA72</f>
        <v>21.72</v>
      </c>
      <c r="CZ72">
        <f>AE72</f>
        <v>2.44</v>
      </c>
      <c r="DA72">
        <f>AI72</f>
        <v>8.9</v>
      </c>
      <c r="DB72">
        <f>ROUND(ROUND(AT72*CZ72,2),2)</f>
        <v>0.02</v>
      </c>
      <c r="DC72">
        <f>ROUND(ROUND(AT72*AG72,2),2)</f>
        <v>0</v>
      </c>
      <c r="DD72" t="s">
        <v>3</v>
      </c>
      <c r="DE72" t="s">
        <v>3</v>
      </c>
      <c r="DF72">
        <f>ROUND(ROUND(AE72*AI72,2)*CX72,2)</f>
        <v>0.56000000000000005</v>
      </c>
      <c r="DG72">
        <f>ROUND(ROUND(AF72,2)*CX72,2)</f>
        <v>0</v>
      </c>
      <c r="DH72">
        <f>ROUND(ROUND(AG72,2)*CX72,2)</f>
        <v>0</v>
      </c>
      <c r="DI72">
        <f t="shared" si="33"/>
        <v>0</v>
      </c>
      <c r="DJ72">
        <f>DF72</f>
        <v>0.56000000000000005</v>
      </c>
      <c r="DK72">
        <v>0</v>
      </c>
      <c r="DL72" t="s">
        <v>3</v>
      </c>
      <c r="DM72">
        <v>0</v>
      </c>
      <c r="DN72" t="s">
        <v>3</v>
      </c>
      <c r="DO72">
        <v>0</v>
      </c>
    </row>
    <row r="73" spans="1:119" x14ac:dyDescent="0.2">
      <c r="A73">
        <f>ROW(Source!A54)</f>
        <v>54</v>
      </c>
      <c r="B73">
        <v>145026783</v>
      </c>
      <c r="C73">
        <v>145039078</v>
      </c>
      <c r="D73">
        <v>140776226</v>
      </c>
      <c r="E73">
        <v>1</v>
      </c>
      <c r="F73">
        <v>1</v>
      </c>
      <c r="G73">
        <v>1</v>
      </c>
      <c r="H73">
        <v>3</v>
      </c>
      <c r="I73" t="s">
        <v>680</v>
      </c>
      <c r="J73" t="s">
        <v>681</v>
      </c>
      <c r="K73" t="s">
        <v>682</v>
      </c>
      <c r="L73">
        <v>1346</v>
      </c>
      <c r="N73">
        <v>1009</v>
      </c>
      <c r="O73" t="s">
        <v>154</v>
      </c>
      <c r="P73" t="s">
        <v>154</v>
      </c>
      <c r="Q73">
        <v>1</v>
      </c>
      <c r="W73">
        <v>0</v>
      </c>
      <c r="X73">
        <v>1052716416</v>
      </c>
      <c r="Y73">
        <f>AT73</f>
        <v>1</v>
      </c>
      <c r="AA73">
        <v>16.2</v>
      </c>
      <c r="AB73">
        <v>0</v>
      </c>
      <c r="AC73">
        <v>0</v>
      </c>
      <c r="AD73">
        <v>0</v>
      </c>
      <c r="AE73">
        <v>1.82</v>
      </c>
      <c r="AF73">
        <v>0</v>
      </c>
      <c r="AG73">
        <v>0</v>
      </c>
      <c r="AH73">
        <v>0</v>
      </c>
      <c r="AI73">
        <v>8.9</v>
      </c>
      <c r="AJ73">
        <v>1</v>
      </c>
      <c r="AK73">
        <v>1</v>
      </c>
      <c r="AL73">
        <v>1</v>
      </c>
      <c r="AM73">
        <v>4</v>
      </c>
      <c r="AN73">
        <v>0</v>
      </c>
      <c r="AO73">
        <v>1</v>
      </c>
      <c r="AP73">
        <v>1</v>
      </c>
      <c r="AQ73">
        <v>0</v>
      </c>
      <c r="AR73">
        <v>0</v>
      </c>
      <c r="AS73" t="s">
        <v>3</v>
      </c>
      <c r="AT73">
        <v>1</v>
      </c>
      <c r="AU73" t="s">
        <v>3</v>
      </c>
      <c r="AV73">
        <v>0</v>
      </c>
      <c r="AW73">
        <v>2</v>
      </c>
      <c r="AX73">
        <v>145039085</v>
      </c>
      <c r="AY73">
        <v>1</v>
      </c>
      <c r="AZ73">
        <v>0</v>
      </c>
      <c r="BA73">
        <v>78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ROUND(Y73*Source!I54,9)</f>
        <v>2.58</v>
      </c>
      <c r="CY73">
        <f>AA73</f>
        <v>16.2</v>
      </c>
      <c r="CZ73">
        <f>AE73</f>
        <v>1.82</v>
      </c>
      <c r="DA73">
        <f>AI73</f>
        <v>8.9</v>
      </c>
      <c r="DB73">
        <f>ROUND(ROUND(AT73*CZ73,2),2)</f>
        <v>1.82</v>
      </c>
      <c r="DC73">
        <f>ROUND(ROUND(AT73*AG73,2),2)</f>
        <v>0</v>
      </c>
      <c r="DD73" t="s">
        <v>3</v>
      </c>
      <c r="DE73" t="s">
        <v>3</v>
      </c>
      <c r="DF73">
        <f>ROUND(ROUND(AE73*AI73,2)*CX73,2)</f>
        <v>41.8</v>
      </c>
      <c r="DG73">
        <f>ROUND(ROUND(AF73,2)*CX73,2)</f>
        <v>0</v>
      </c>
      <c r="DH73">
        <f>ROUND(ROUND(AG73,2)*CX73,2)</f>
        <v>0</v>
      </c>
      <c r="DI73">
        <f t="shared" si="33"/>
        <v>0</v>
      </c>
      <c r="DJ73">
        <f>DF73</f>
        <v>41.8</v>
      </c>
      <c r="DK73">
        <v>0</v>
      </c>
      <c r="DL73" t="s">
        <v>3</v>
      </c>
      <c r="DM73">
        <v>0</v>
      </c>
      <c r="DN73" t="s">
        <v>3</v>
      </c>
      <c r="DO73">
        <v>0</v>
      </c>
    </row>
    <row r="74" spans="1:119" x14ac:dyDescent="0.2">
      <c r="A74">
        <f>ROW(Source!A56)</f>
        <v>56</v>
      </c>
      <c r="B74">
        <v>145026783</v>
      </c>
      <c r="C74">
        <v>145027255</v>
      </c>
      <c r="D74">
        <v>140759985</v>
      </c>
      <c r="E74">
        <v>70</v>
      </c>
      <c r="F74">
        <v>1</v>
      </c>
      <c r="G74">
        <v>1</v>
      </c>
      <c r="H74">
        <v>1</v>
      </c>
      <c r="I74" t="s">
        <v>708</v>
      </c>
      <c r="J74" t="s">
        <v>3</v>
      </c>
      <c r="K74" t="s">
        <v>709</v>
      </c>
      <c r="L74">
        <v>1191</v>
      </c>
      <c r="N74">
        <v>1013</v>
      </c>
      <c r="O74" t="s">
        <v>608</v>
      </c>
      <c r="P74" t="s">
        <v>608</v>
      </c>
      <c r="Q74">
        <v>1</v>
      </c>
      <c r="W74">
        <v>0</v>
      </c>
      <c r="X74">
        <v>784619160</v>
      </c>
      <c r="Y74">
        <f>(AT74*1.15)</f>
        <v>137.74699999999999</v>
      </c>
      <c r="AA74">
        <v>0</v>
      </c>
      <c r="AB74">
        <v>0</v>
      </c>
      <c r="AC74">
        <v>0</v>
      </c>
      <c r="AD74">
        <v>279.77</v>
      </c>
      <c r="AE74">
        <v>0</v>
      </c>
      <c r="AF74">
        <v>0</v>
      </c>
      <c r="AG74">
        <v>0</v>
      </c>
      <c r="AH74">
        <v>8.74</v>
      </c>
      <c r="AI74">
        <v>1</v>
      </c>
      <c r="AJ74">
        <v>1</v>
      </c>
      <c r="AK74">
        <v>1</v>
      </c>
      <c r="AL74">
        <v>32.01</v>
      </c>
      <c r="AM74">
        <v>4</v>
      </c>
      <c r="AN74">
        <v>0</v>
      </c>
      <c r="AO74">
        <v>1</v>
      </c>
      <c r="AP74">
        <v>1</v>
      </c>
      <c r="AQ74">
        <v>0</v>
      </c>
      <c r="AR74">
        <v>0</v>
      </c>
      <c r="AS74" t="s">
        <v>3</v>
      </c>
      <c r="AT74">
        <v>119.78</v>
      </c>
      <c r="AU74" t="s">
        <v>149</v>
      </c>
      <c r="AV74">
        <v>1</v>
      </c>
      <c r="AW74">
        <v>2</v>
      </c>
      <c r="AX74">
        <v>145027267</v>
      </c>
      <c r="AY74">
        <v>1</v>
      </c>
      <c r="AZ74">
        <v>0</v>
      </c>
      <c r="BA74">
        <v>80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ROUND(Y74*Source!I56,9)</f>
        <v>355.38726000000003</v>
      </c>
      <c r="CY74">
        <f>AD74</f>
        <v>279.77</v>
      </c>
      <c r="CZ74">
        <f>AH74</f>
        <v>8.74</v>
      </c>
      <c r="DA74">
        <f>AL74</f>
        <v>32.01</v>
      </c>
      <c r="DB74">
        <f>ROUND((ROUND(AT74*CZ74,2)*1.15),2)</f>
        <v>1203.9100000000001</v>
      </c>
      <c r="DC74">
        <f>ROUND((ROUND(AT74*AG74,2)*1.15),2)</f>
        <v>0</v>
      </c>
      <c r="DD74" t="s">
        <v>3</v>
      </c>
      <c r="DE74" t="s">
        <v>3</v>
      </c>
      <c r="DF74">
        <f t="shared" ref="DF74:DF79" si="34">ROUND(ROUND(AE74,2)*CX74,2)</f>
        <v>0</v>
      </c>
      <c r="DG74">
        <f>ROUND(ROUND(AF74,2)*CX74,2)</f>
        <v>0</v>
      </c>
      <c r="DH74">
        <f>ROUND(ROUND(AG74,2)*CX74,2)</f>
        <v>0</v>
      </c>
      <c r="DI74">
        <f>ROUND(ROUND(AH74*AL74,2)*CX74,2)</f>
        <v>99426.69</v>
      </c>
      <c r="DJ74">
        <f>DI74</f>
        <v>99426.69</v>
      </c>
      <c r="DK74">
        <v>0</v>
      </c>
      <c r="DL74" t="s">
        <v>3</v>
      </c>
      <c r="DM74">
        <v>0</v>
      </c>
      <c r="DN74" t="s">
        <v>3</v>
      </c>
      <c r="DO74">
        <v>0</v>
      </c>
    </row>
    <row r="75" spans="1:119" x14ac:dyDescent="0.2">
      <c r="A75">
        <f>ROW(Source!A56)</f>
        <v>56</v>
      </c>
      <c r="B75">
        <v>145026783</v>
      </c>
      <c r="C75">
        <v>145027255</v>
      </c>
      <c r="D75">
        <v>140760225</v>
      </c>
      <c r="E75">
        <v>70</v>
      </c>
      <c r="F75">
        <v>1</v>
      </c>
      <c r="G75">
        <v>1</v>
      </c>
      <c r="H75">
        <v>1</v>
      </c>
      <c r="I75" t="s">
        <v>609</v>
      </c>
      <c r="J75" t="s">
        <v>3</v>
      </c>
      <c r="K75" t="s">
        <v>610</v>
      </c>
      <c r="L75">
        <v>1191</v>
      </c>
      <c r="N75">
        <v>1013</v>
      </c>
      <c r="O75" t="s">
        <v>608</v>
      </c>
      <c r="P75" t="s">
        <v>608</v>
      </c>
      <c r="Q75">
        <v>1</v>
      </c>
      <c r="W75">
        <v>0</v>
      </c>
      <c r="X75">
        <v>-1417349443</v>
      </c>
      <c r="Y75">
        <f>(AT75*1.25)</f>
        <v>5.625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1</v>
      </c>
      <c r="AJ75">
        <v>1</v>
      </c>
      <c r="AK75">
        <v>32.01</v>
      </c>
      <c r="AL75">
        <v>1</v>
      </c>
      <c r="AM75">
        <v>4</v>
      </c>
      <c r="AN75">
        <v>0</v>
      </c>
      <c r="AO75">
        <v>1</v>
      </c>
      <c r="AP75">
        <v>1</v>
      </c>
      <c r="AQ75">
        <v>0</v>
      </c>
      <c r="AR75">
        <v>0</v>
      </c>
      <c r="AS75" t="s">
        <v>3</v>
      </c>
      <c r="AT75">
        <v>4.5</v>
      </c>
      <c r="AU75" t="s">
        <v>148</v>
      </c>
      <c r="AV75">
        <v>2</v>
      </c>
      <c r="AW75">
        <v>2</v>
      </c>
      <c r="AX75">
        <v>145027268</v>
      </c>
      <c r="AY75">
        <v>1</v>
      </c>
      <c r="AZ75">
        <v>0</v>
      </c>
      <c r="BA75">
        <v>81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ROUND(Y75*Source!I56,9)</f>
        <v>14.512499999999999</v>
      </c>
      <c r="CY75">
        <f>AD75</f>
        <v>0</v>
      </c>
      <c r="CZ75">
        <f>AH75</f>
        <v>0</v>
      </c>
      <c r="DA75">
        <f>AL75</f>
        <v>1</v>
      </c>
      <c r="DB75">
        <f>ROUND((ROUND(AT75*CZ75,2)*1.25),2)</f>
        <v>0</v>
      </c>
      <c r="DC75">
        <f>ROUND((ROUND(AT75*AG75,2)*1.25),2)</f>
        <v>0</v>
      </c>
      <c r="DD75" t="s">
        <v>3</v>
      </c>
      <c r="DE75" t="s">
        <v>3</v>
      </c>
      <c r="DF75">
        <f t="shared" si="34"/>
        <v>0</v>
      </c>
      <c r="DG75">
        <f>ROUND(ROUND(AF75,2)*CX75,2)</f>
        <v>0</v>
      </c>
      <c r="DH75">
        <f>ROUND(ROUND(AG75*AK75,2)*CX75,2)</f>
        <v>0</v>
      </c>
      <c r="DI75">
        <f t="shared" ref="DI75:DI84" si="35">ROUND(ROUND(AH75,2)*CX75,2)</f>
        <v>0</v>
      </c>
      <c r="DJ75">
        <f>DI75</f>
        <v>0</v>
      </c>
      <c r="DK75">
        <v>0</v>
      </c>
      <c r="DL75" t="s">
        <v>3</v>
      </c>
      <c r="DM75">
        <v>0</v>
      </c>
      <c r="DN75" t="s">
        <v>3</v>
      </c>
      <c r="DO75">
        <v>0</v>
      </c>
    </row>
    <row r="76" spans="1:119" x14ac:dyDescent="0.2">
      <c r="A76">
        <f>ROW(Source!A56)</f>
        <v>56</v>
      </c>
      <c r="B76">
        <v>145026783</v>
      </c>
      <c r="C76">
        <v>145027255</v>
      </c>
      <c r="D76">
        <v>140923105</v>
      </c>
      <c r="E76">
        <v>1</v>
      </c>
      <c r="F76">
        <v>1</v>
      </c>
      <c r="G76">
        <v>1</v>
      </c>
      <c r="H76">
        <v>2</v>
      </c>
      <c r="I76" t="s">
        <v>710</v>
      </c>
      <c r="J76" t="s">
        <v>711</v>
      </c>
      <c r="K76" t="s">
        <v>712</v>
      </c>
      <c r="L76">
        <v>1367</v>
      </c>
      <c r="N76">
        <v>1011</v>
      </c>
      <c r="O76" t="s">
        <v>614</v>
      </c>
      <c r="P76" t="s">
        <v>614</v>
      </c>
      <c r="Q76">
        <v>1</v>
      </c>
      <c r="W76">
        <v>0</v>
      </c>
      <c r="X76">
        <v>-896236776</v>
      </c>
      <c r="Y76">
        <f>(AT76*1.25)</f>
        <v>0.44999999999999996</v>
      </c>
      <c r="AA76">
        <v>0</v>
      </c>
      <c r="AB76">
        <v>1119.48</v>
      </c>
      <c r="AC76">
        <v>322.02</v>
      </c>
      <c r="AD76">
        <v>0</v>
      </c>
      <c r="AE76">
        <v>0</v>
      </c>
      <c r="AF76">
        <v>89.99</v>
      </c>
      <c r="AG76">
        <v>10.06</v>
      </c>
      <c r="AH76">
        <v>0</v>
      </c>
      <c r="AI76">
        <v>1</v>
      </c>
      <c r="AJ76">
        <v>12.44</v>
      </c>
      <c r="AK76">
        <v>32.01</v>
      </c>
      <c r="AL76">
        <v>1</v>
      </c>
      <c r="AM76">
        <v>4</v>
      </c>
      <c r="AN76">
        <v>0</v>
      </c>
      <c r="AO76">
        <v>1</v>
      </c>
      <c r="AP76">
        <v>1</v>
      </c>
      <c r="AQ76">
        <v>0</v>
      </c>
      <c r="AR76">
        <v>0</v>
      </c>
      <c r="AS76" t="s">
        <v>3</v>
      </c>
      <c r="AT76">
        <v>0.36</v>
      </c>
      <c r="AU76" t="s">
        <v>148</v>
      </c>
      <c r="AV76">
        <v>0</v>
      </c>
      <c r="AW76">
        <v>2</v>
      </c>
      <c r="AX76">
        <v>145027269</v>
      </c>
      <c r="AY76">
        <v>1</v>
      </c>
      <c r="AZ76">
        <v>0</v>
      </c>
      <c r="BA76">
        <v>82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ROUND(Y76*Source!I56,9)</f>
        <v>1.161</v>
      </c>
      <c r="CY76">
        <f>AB76</f>
        <v>1119.48</v>
      </c>
      <c r="CZ76">
        <f>AF76</f>
        <v>89.99</v>
      </c>
      <c r="DA76">
        <f>AJ76</f>
        <v>12.44</v>
      </c>
      <c r="DB76">
        <f>ROUND((ROUND(AT76*CZ76,2)*1.25),2)</f>
        <v>40.5</v>
      </c>
      <c r="DC76">
        <f>ROUND((ROUND(AT76*AG76,2)*1.25),2)</f>
        <v>4.53</v>
      </c>
      <c r="DD76" t="s">
        <v>3</v>
      </c>
      <c r="DE76" t="s">
        <v>3</v>
      </c>
      <c r="DF76">
        <f t="shared" si="34"/>
        <v>0</v>
      </c>
      <c r="DG76">
        <f>ROUND(ROUND(AF76*AJ76,2)*CX76,2)</f>
        <v>1299.72</v>
      </c>
      <c r="DH76">
        <f>ROUND(ROUND(AG76*AK76,2)*CX76,2)</f>
        <v>373.87</v>
      </c>
      <c r="DI76">
        <f t="shared" si="35"/>
        <v>0</v>
      </c>
      <c r="DJ76">
        <f>DG76</f>
        <v>1299.72</v>
      </c>
      <c r="DK76">
        <v>0</v>
      </c>
      <c r="DL76" t="s">
        <v>3</v>
      </c>
      <c r="DM76">
        <v>0</v>
      </c>
      <c r="DN76" t="s">
        <v>3</v>
      </c>
      <c r="DO76">
        <v>0</v>
      </c>
    </row>
    <row r="77" spans="1:119" x14ac:dyDescent="0.2">
      <c r="A77">
        <f>ROW(Source!A56)</f>
        <v>56</v>
      </c>
      <c r="B77">
        <v>145026783</v>
      </c>
      <c r="C77">
        <v>145027255</v>
      </c>
      <c r="D77">
        <v>140923145</v>
      </c>
      <c r="E77">
        <v>1</v>
      </c>
      <c r="F77">
        <v>1</v>
      </c>
      <c r="G77">
        <v>1</v>
      </c>
      <c r="H77">
        <v>2</v>
      </c>
      <c r="I77" t="s">
        <v>611</v>
      </c>
      <c r="J77" t="s">
        <v>612</v>
      </c>
      <c r="K77" t="s">
        <v>613</v>
      </c>
      <c r="L77">
        <v>1367</v>
      </c>
      <c r="N77">
        <v>1011</v>
      </c>
      <c r="O77" t="s">
        <v>614</v>
      </c>
      <c r="P77" t="s">
        <v>614</v>
      </c>
      <c r="Q77">
        <v>1</v>
      </c>
      <c r="W77">
        <v>0</v>
      </c>
      <c r="X77">
        <v>1232162608</v>
      </c>
      <c r="Y77">
        <f>(AT77*1.25)</f>
        <v>2.875</v>
      </c>
      <c r="AA77">
        <v>0</v>
      </c>
      <c r="AB77">
        <v>388.87</v>
      </c>
      <c r="AC77">
        <v>432.14</v>
      </c>
      <c r="AD77">
        <v>0</v>
      </c>
      <c r="AE77">
        <v>0</v>
      </c>
      <c r="AF77">
        <v>31.26</v>
      </c>
      <c r="AG77">
        <v>13.5</v>
      </c>
      <c r="AH77">
        <v>0</v>
      </c>
      <c r="AI77">
        <v>1</v>
      </c>
      <c r="AJ77">
        <v>12.44</v>
      </c>
      <c r="AK77">
        <v>32.01</v>
      </c>
      <c r="AL77">
        <v>1</v>
      </c>
      <c r="AM77">
        <v>4</v>
      </c>
      <c r="AN77">
        <v>0</v>
      </c>
      <c r="AO77">
        <v>1</v>
      </c>
      <c r="AP77">
        <v>1</v>
      </c>
      <c r="AQ77">
        <v>0</v>
      </c>
      <c r="AR77">
        <v>0</v>
      </c>
      <c r="AS77" t="s">
        <v>3</v>
      </c>
      <c r="AT77">
        <v>2.2999999999999998</v>
      </c>
      <c r="AU77" t="s">
        <v>148</v>
      </c>
      <c r="AV77">
        <v>0</v>
      </c>
      <c r="AW77">
        <v>2</v>
      </c>
      <c r="AX77">
        <v>145027270</v>
      </c>
      <c r="AY77">
        <v>1</v>
      </c>
      <c r="AZ77">
        <v>0</v>
      </c>
      <c r="BA77">
        <v>83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ROUND(Y77*Source!I56,9)</f>
        <v>7.4175000000000004</v>
      </c>
      <c r="CY77">
        <f>AB77</f>
        <v>388.87</v>
      </c>
      <c r="CZ77">
        <f>AF77</f>
        <v>31.26</v>
      </c>
      <c r="DA77">
        <f>AJ77</f>
        <v>12.44</v>
      </c>
      <c r="DB77">
        <f>ROUND((ROUND(AT77*CZ77,2)*1.25),2)</f>
        <v>89.88</v>
      </c>
      <c r="DC77">
        <f>ROUND((ROUND(AT77*AG77,2)*1.25),2)</f>
        <v>38.81</v>
      </c>
      <c r="DD77" t="s">
        <v>3</v>
      </c>
      <c r="DE77" t="s">
        <v>3</v>
      </c>
      <c r="DF77">
        <f t="shared" si="34"/>
        <v>0</v>
      </c>
      <c r="DG77">
        <f>ROUND(ROUND(AF77*AJ77,2)*CX77,2)</f>
        <v>2884.44</v>
      </c>
      <c r="DH77">
        <f>ROUND(ROUND(AG77*AK77,2)*CX77,2)</f>
        <v>3205.4</v>
      </c>
      <c r="DI77">
        <f t="shared" si="35"/>
        <v>0</v>
      </c>
      <c r="DJ77">
        <f>DG77</f>
        <v>2884.44</v>
      </c>
      <c r="DK77">
        <v>0</v>
      </c>
      <c r="DL77" t="s">
        <v>3</v>
      </c>
      <c r="DM77">
        <v>0</v>
      </c>
      <c r="DN77" t="s">
        <v>3</v>
      </c>
      <c r="DO77">
        <v>0</v>
      </c>
    </row>
    <row r="78" spans="1:119" x14ac:dyDescent="0.2">
      <c r="A78">
        <f>ROW(Source!A56)</f>
        <v>56</v>
      </c>
      <c r="B78">
        <v>145026783</v>
      </c>
      <c r="C78">
        <v>145027255</v>
      </c>
      <c r="D78">
        <v>140923268</v>
      </c>
      <c r="E78">
        <v>1</v>
      </c>
      <c r="F78">
        <v>1</v>
      </c>
      <c r="G78">
        <v>1</v>
      </c>
      <c r="H78">
        <v>2</v>
      </c>
      <c r="I78" t="s">
        <v>713</v>
      </c>
      <c r="J78" t="s">
        <v>714</v>
      </c>
      <c r="K78" t="s">
        <v>715</v>
      </c>
      <c r="L78">
        <v>1367</v>
      </c>
      <c r="N78">
        <v>1011</v>
      </c>
      <c r="O78" t="s">
        <v>614</v>
      </c>
      <c r="P78" t="s">
        <v>614</v>
      </c>
      <c r="Q78">
        <v>1</v>
      </c>
      <c r="W78">
        <v>0</v>
      </c>
      <c r="X78">
        <v>1385328552</v>
      </c>
      <c r="Y78">
        <f>(AT78*1.25)</f>
        <v>1.9500000000000002</v>
      </c>
      <c r="AA78">
        <v>0</v>
      </c>
      <c r="AB78">
        <v>154.13</v>
      </c>
      <c r="AC78">
        <v>322.02</v>
      </c>
      <c r="AD78">
        <v>0</v>
      </c>
      <c r="AE78">
        <v>0</v>
      </c>
      <c r="AF78">
        <v>12.39</v>
      </c>
      <c r="AG78">
        <v>10.06</v>
      </c>
      <c r="AH78">
        <v>0</v>
      </c>
      <c r="AI78">
        <v>1</v>
      </c>
      <c r="AJ78">
        <v>12.44</v>
      </c>
      <c r="AK78">
        <v>32.01</v>
      </c>
      <c r="AL78">
        <v>1</v>
      </c>
      <c r="AM78">
        <v>4</v>
      </c>
      <c r="AN78">
        <v>0</v>
      </c>
      <c r="AO78">
        <v>1</v>
      </c>
      <c r="AP78">
        <v>1</v>
      </c>
      <c r="AQ78">
        <v>0</v>
      </c>
      <c r="AR78">
        <v>0</v>
      </c>
      <c r="AS78" t="s">
        <v>3</v>
      </c>
      <c r="AT78">
        <v>1.56</v>
      </c>
      <c r="AU78" t="s">
        <v>148</v>
      </c>
      <c r="AV78">
        <v>0</v>
      </c>
      <c r="AW78">
        <v>2</v>
      </c>
      <c r="AX78">
        <v>145027271</v>
      </c>
      <c r="AY78">
        <v>1</v>
      </c>
      <c r="AZ78">
        <v>0</v>
      </c>
      <c r="BA78">
        <v>84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ROUND(Y78*Source!I56,9)</f>
        <v>5.0309999999999997</v>
      </c>
      <c r="CY78">
        <f>AB78</f>
        <v>154.13</v>
      </c>
      <c r="CZ78">
        <f>AF78</f>
        <v>12.39</v>
      </c>
      <c r="DA78">
        <f>AJ78</f>
        <v>12.44</v>
      </c>
      <c r="DB78">
        <f>ROUND((ROUND(AT78*CZ78,2)*1.25),2)</f>
        <v>24.16</v>
      </c>
      <c r="DC78">
        <f>ROUND((ROUND(AT78*AG78,2)*1.25),2)</f>
        <v>19.61</v>
      </c>
      <c r="DD78" t="s">
        <v>3</v>
      </c>
      <c r="DE78" t="s">
        <v>3</v>
      </c>
      <c r="DF78">
        <f t="shared" si="34"/>
        <v>0</v>
      </c>
      <c r="DG78">
        <f>ROUND(ROUND(AF78*AJ78,2)*CX78,2)</f>
        <v>775.43</v>
      </c>
      <c r="DH78">
        <f>ROUND(ROUND(AG78*AK78,2)*CX78,2)</f>
        <v>1620.08</v>
      </c>
      <c r="DI78">
        <f t="shared" si="35"/>
        <v>0</v>
      </c>
      <c r="DJ78">
        <f>DG78</f>
        <v>775.43</v>
      </c>
      <c r="DK78">
        <v>0</v>
      </c>
      <c r="DL78" t="s">
        <v>3</v>
      </c>
      <c r="DM78">
        <v>0</v>
      </c>
      <c r="DN78" t="s">
        <v>3</v>
      </c>
      <c r="DO78">
        <v>0</v>
      </c>
    </row>
    <row r="79" spans="1:119" x14ac:dyDescent="0.2">
      <c r="A79">
        <f>ROW(Source!A56)</f>
        <v>56</v>
      </c>
      <c r="B79">
        <v>145026783</v>
      </c>
      <c r="C79">
        <v>145027255</v>
      </c>
      <c r="D79">
        <v>140923885</v>
      </c>
      <c r="E79">
        <v>1</v>
      </c>
      <c r="F79">
        <v>1</v>
      </c>
      <c r="G79">
        <v>1</v>
      </c>
      <c r="H79">
        <v>2</v>
      </c>
      <c r="I79" t="s">
        <v>668</v>
      </c>
      <c r="J79" t="s">
        <v>669</v>
      </c>
      <c r="K79" t="s">
        <v>670</v>
      </c>
      <c r="L79">
        <v>1367</v>
      </c>
      <c r="N79">
        <v>1011</v>
      </c>
      <c r="O79" t="s">
        <v>614</v>
      </c>
      <c r="P79" t="s">
        <v>614</v>
      </c>
      <c r="Q79">
        <v>1</v>
      </c>
      <c r="W79">
        <v>0</v>
      </c>
      <c r="X79">
        <v>509054691</v>
      </c>
      <c r="Y79">
        <f>(AT79*1.25)</f>
        <v>0.35000000000000003</v>
      </c>
      <c r="AA79">
        <v>0</v>
      </c>
      <c r="AB79">
        <v>817.43</v>
      </c>
      <c r="AC79">
        <v>371.32</v>
      </c>
      <c r="AD79">
        <v>0</v>
      </c>
      <c r="AE79">
        <v>0</v>
      </c>
      <c r="AF79">
        <v>65.709999999999994</v>
      </c>
      <c r="AG79">
        <v>11.6</v>
      </c>
      <c r="AH79">
        <v>0</v>
      </c>
      <c r="AI79">
        <v>1</v>
      </c>
      <c r="AJ79">
        <v>12.44</v>
      </c>
      <c r="AK79">
        <v>32.01</v>
      </c>
      <c r="AL79">
        <v>1</v>
      </c>
      <c r="AM79">
        <v>4</v>
      </c>
      <c r="AN79">
        <v>0</v>
      </c>
      <c r="AO79">
        <v>1</v>
      </c>
      <c r="AP79">
        <v>1</v>
      </c>
      <c r="AQ79">
        <v>0</v>
      </c>
      <c r="AR79">
        <v>0</v>
      </c>
      <c r="AS79" t="s">
        <v>3</v>
      </c>
      <c r="AT79">
        <v>0.28000000000000003</v>
      </c>
      <c r="AU79" t="s">
        <v>148</v>
      </c>
      <c r="AV79">
        <v>0</v>
      </c>
      <c r="AW79">
        <v>2</v>
      </c>
      <c r="AX79">
        <v>145027272</v>
      </c>
      <c r="AY79">
        <v>1</v>
      </c>
      <c r="AZ79">
        <v>0</v>
      </c>
      <c r="BA79">
        <v>85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ROUND(Y79*Source!I56,9)</f>
        <v>0.90300000000000002</v>
      </c>
      <c r="CY79">
        <f>AB79</f>
        <v>817.43</v>
      </c>
      <c r="CZ79">
        <f>AF79</f>
        <v>65.709999999999994</v>
      </c>
      <c r="DA79">
        <f>AJ79</f>
        <v>12.44</v>
      </c>
      <c r="DB79">
        <f>ROUND((ROUND(AT79*CZ79,2)*1.25),2)</f>
        <v>23</v>
      </c>
      <c r="DC79">
        <f>ROUND((ROUND(AT79*AG79,2)*1.25),2)</f>
        <v>4.0599999999999996</v>
      </c>
      <c r="DD79" t="s">
        <v>3</v>
      </c>
      <c r="DE79" t="s">
        <v>3</v>
      </c>
      <c r="DF79">
        <f t="shared" si="34"/>
        <v>0</v>
      </c>
      <c r="DG79">
        <f>ROUND(ROUND(AF79*AJ79,2)*CX79,2)</f>
        <v>738.14</v>
      </c>
      <c r="DH79">
        <f>ROUND(ROUND(AG79*AK79,2)*CX79,2)</f>
        <v>335.3</v>
      </c>
      <c r="DI79">
        <f t="shared" si="35"/>
        <v>0</v>
      </c>
      <c r="DJ79">
        <f>DG79</f>
        <v>738.14</v>
      </c>
      <c r="DK79">
        <v>0</v>
      </c>
      <c r="DL79" t="s">
        <v>3</v>
      </c>
      <c r="DM79">
        <v>0</v>
      </c>
      <c r="DN79" t="s">
        <v>3</v>
      </c>
      <c r="DO79">
        <v>0</v>
      </c>
    </row>
    <row r="80" spans="1:119" x14ac:dyDescent="0.2">
      <c r="A80">
        <f>ROW(Source!A56)</f>
        <v>56</v>
      </c>
      <c r="B80">
        <v>145026783</v>
      </c>
      <c r="C80">
        <v>145027255</v>
      </c>
      <c r="D80">
        <v>140772680</v>
      </c>
      <c r="E80">
        <v>1</v>
      </c>
      <c r="F80">
        <v>1</v>
      </c>
      <c r="G80">
        <v>1</v>
      </c>
      <c r="H80">
        <v>3</v>
      </c>
      <c r="I80" t="s">
        <v>635</v>
      </c>
      <c r="J80" t="s">
        <v>636</v>
      </c>
      <c r="K80" t="s">
        <v>637</v>
      </c>
      <c r="L80">
        <v>1339</v>
      </c>
      <c r="N80">
        <v>1007</v>
      </c>
      <c r="O80" t="s">
        <v>638</v>
      </c>
      <c r="P80" t="s">
        <v>638</v>
      </c>
      <c r="Q80">
        <v>1</v>
      </c>
      <c r="W80">
        <v>0</v>
      </c>
      <c r="X80">
        <v>-143474561</v>
      </c>
      <c r="Y80">
        <f>AT80</f>
        <v>0.1</v>
      </c>
      <c r="AA80">
        <v>21.72</v>
      </c>
      <c r="AB80">
        <v>0</v>
      </c>
      <c r="AC80">
        <v>0</v>
      </c>
      <c r="AD80">
        <v>0</v>
      </c>
      <c r="AE80">
        <v>2.44</v>
      </c>
      <c r="AF80">
        <v>0</v>
      </c>
      <c r="AG80">
        <v>0</v>
      </c>
      <c r="AH80">
        <v>0</v>
      </c>
      <c r="AI80">
        <v>8.9</v>
      </c>
      <c r="AJ80">
        <v>1</v>
      </c>
      <c r="AK80">
        <v>1</v>
      </c>
      <c r="AL80">
        <v>1</v>
      </c>
      <c r="AM80">
        <v>4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3</v>
      </c>
      <c r="AT80">
        <v>0.1</v>
      </c>
      <c r="AU80" t="s">
        <v>3</v>
      </c>
      <c r="AV80">
        <v>0</v>
      </c>
      <c r="AW80">
        <v>2</v>
      </c>
      <c r="AX80">
        <v>145027273</v>
      </c>
      <c r="AY80">
        <v>1</v>
      </c>
      <c r="AZ80">
        <v>0</v>
      </c>
      <c r="BA80">
        <v>86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ROUND(Y80*Source!I56,9)</f>
        <v>0.25800000000000001</v>
      </c>
      <c r="CY80">
        <f>AA80</f>
        <v>21.72</v>
      </c>
      <c r="CZ80">
        <f>AE80</f>
        <v>2.44</v>
      </c>
      <c r="DA80">
        <f>AI80</f>
        <v>8.9</v>
      </c>
      <c r="DB80">
        <f>ROUND(ROUND(AT80*CZ80,2),2)</f>
        <v>0.24</v>
      </c>
      <c r="DC80">
        <f>ROUND(ROUND(AT80*AG80,2),2)</f>
        <v>0</v>
      </c>
      <c r="DD80" t="s">
        <v>3</v>
      </c>
      <c r="DE80" t="s">
        <v>3</v>
      </c>
      <c r="DF80">
        <f>ROUND(ROUND(AE80*AI80,2)*CX80,2)</f>
        <v>5.6</v>
      </c>
      <c r="DG80">
        <f t="shared" ref="DG80:DG86" si="36">ROUND(ROUND(AF80,2)*CX80,2)</f>
        <v>0</v>
      </c>
      <c r="DH80">
        <f t="shared" ref="DH80:DH85" si="37">ROUND(ROUND(AG80,2)*CX80,2)</f>
        <v>0</v>
      </c>
      <c r="DI80">
        <f t="shared" si="35"/>
        <v>0</v>
      </c>
      <c r="DJ80">
        <f>DF80</f>
        <v>5.6</v>
      </c>
      <c r="DK80">
        <v>0</v>
      </c>
      <c r="DL80" t="s">
        <v>3</v>
      </c>
      <c r="DM80">
        <v>0</v>
      </c>
      <c r="DN80" t="s">
        <v>3</v>
      </c>
      <c r="DO80">
        <v>0</v>
      </c>
    </row>
    <row r="81" spans="1:119" x14ac:dyDescent="0.2">
      <c r="A81">
        <f>ROW(Source!A56)</f>
        <v>56</v>
      </c>
      <c r="B81">
        <v>145026783</v>
      </c>
      <c r="C81">
        <v>145027255</v>
      </c>
      <c r="D81">
        <v>140776226</v>
      </c>
      <c r="E81">
        <v>1</v>
      </c>
      <c r="F81">
        <v>1</v>
      </c>
      <c r="G81">
        <v>1</v>
      </c>
      <c r="H81">
        <v>3</v>
      </c>
      <c r="I81" t="s">
        <v>680</v>
      </c>
      <c r="J81" t="s">
        <v>681</v>
      </c>
      <c r="K81" t="s">
        <v>682</v>
      </c>
      <c r="L81">
        <v>1346</v>
      </c>
      <c r="N81">
        <v>1009</v>
      </c>
      <c r="O81" t="s">
        <v>154</v>
      </c>
      <c r="P81" t="s">
        <v>154</v>
      </c>
      <c r="Q81">
        <v>1</v>
      </c>
      <c r="W81">
        <v>0</v>
      </c>
      <c r="X81">
        <v>1052716416</v>
      </c>
      <c r="Y81">
        <f>AT81</f>
        <v>0.5</v>
      </c>
      <c r="AA81">
        <v>16.2</v>
      </c>
      <c r="AB81">
        <v>0</v>
      </c>
      <c r="AC81">
        <v>0</v>
      </c>
      <c r="AD81">
        <v>0</v>
      </c>
      <c r="AE81">
        <v>1.82</v>
      </c>
      <c r="AF81">
        <v>0</v>
      </c>
      <c r="AG81">
        <v>0</v>
      </c>
      <c r="AH81">
        <v>0</v>
      </c>
      <c r="AI81">
        <v>8.9</v>
      </c>
      <c r="AJ81">
        <v>1</v>
      </c>
      <c r="AK81">
        <v>1</v>
      </c>
      <c r="AL81">
        <v>1</v>
      </c>
      <c r="AM81">
        <v>4</v>
      </c>
      <c r="AN81">
        <v>0</v>
      </c>
      <c r="AO81">
        <v>1</v>
      </c>
      <c r="AP81">
        <v>0</v>
      </c>
      <c r="AQ81">
        <v>0</v>
      </c>
      <c r="AR81">
        <v>0</v>
      </c>
      <c r="AS81" t="s">
        <v>3</v>
      </c>
      <c r="AT81">
        <v>0.5</v>
      </c>
      <c r="AU81" t="s">
        <v>3</v>
      </c>
      <c r="AV81">
        <v>0</v>
      </c>
      <c r="AW81">
        <v>2</v>
      </c>
      <c r="AX81">
        <v>145027274</v>
      </c>
      <c r="AY81">
        <v>1</v>
      </c>
      <c r="AZ81">
        <v>0</v>
      </c>
      <c r="BA81">
        <v>87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ROUND(Y81*Source!I56,9)</f>
        <v>1.29</v>
      </c>
      <c r="CY81">
        <f>AA81</f>
        <v>16.2</v>
      </c>
      <c r="CZ81">
        <f>AE81</f>
        <v>1.82</v>
      </c>
      <c r="DA81">
        <f>AI81</f>
        <v>8.9</v>
      </c>
      <c r="DB81">
        <f>ROUND(ROUND(AT81*CZ81,2),2)</f>
        <v>0.91</v>
      </c>
      <c r="DC81">
        <f>ROUND(ROUND(AT81*AG81,2),2)</f>
        <v>0</v>
      </c>
      <c r="DD81" t="s">
        <v>3</v>
      </c>
      <c r="DE81" t="s">
        <v>3</v>
      </c>
      <c r="DF81">
        <f>ROUND(ROUND(AE81*AI81,2)*CX81,2)</f>
        <v>20.9</v>
      </c>
      <c r="DG81">
        <f t="shared" si="36"/>
        <v>0</v>
      </c>
      <c r="DH81">
        <f t="shared" si="37"/>
        <v>0</v>
      </c>
      <c r="DI81">
        <f t="shared" si="35"/>
        <v>0</v>
      </c>
      <c r="DJ81">
        <f>DF81</f>
        <v>20.9</v>
      </c>
      <c r="DK81">
        <v>0</v>
      </c>
      <c r="DL81" t="s">
        <v>3</v>
      </c>
      <c r="DM81">
        <v>0</v>
      </c>
      <c r="DN81" t="s">
        <v>3</v>
      </c>
      <c r="DO81">
        <v>0</v>
      </c>
    </row>
    <row r="82" spans="1:119" x14ac:dyDescent="0.2">
      <c r="A82">
        <f>ROW(Source!A56)</f>
        <v>56</v>
      </c>
      <c r="B82">
        <v>145026783</v>
      </c>
      <c r="C82">
        <v>145027255</v>
      </c>
      <c r="D82">
        <v>140778268</v>
      </c>
      <c r="E82">
        <v>1</v>
      </c>
      <c r="F82">
        <v>1</v>
      </c>
      <c r="G82">
        <v>1</v>
      </c>
      <c r="H82">
        <v>3</v>
      </c>
      <c r="I82" t="s">
        <v>170</v>
      </c>
      <c r="J82" t="s">
        <v>172</v>
      </c>
      <c r="K82" t="s">
        <v>171</v>
      </c>
      <c r="L82">
        <v>1348</v>
      </c>
      <c r="N82">
        <v>1009</v>
      </c>
      <c r="O82" t="s">
        <v>49</v>
      </c>
      <c r="P82" t="s">
        <v>49</v>
      </c>
      <c r="Q82">
        <v>1000</v>
      </c>
      <c r="W82">
        <v>1</v>
      </c>
      <c r="X82">
        <v>-1724628855</v>
      </c>
      <c r="Y82">
        <f>AT82</f>
        <v>-0.05</v>
      </c>
      <c r="AA82">
        <v>57965.7</v>
      </c>
      <c r="AB82">
        <v>0</v>
      </c>
      <c r="AC82">
        <v>0</v>
      </c>
      <c r="AD82">
        <v>0</v>
      </c>
      <c r="AE82">
        <v>6513</v>
      </c>
      <c r="AF82">
        <v>0</v>
      </c>
      <c r="AG82">
        <v>0</v>
      </c>
      <c r="AH82">
        <v>0</v>
      </c>
      <c r="AI82">
        <v>8.9</v>
      </c>
      <c r="AJ82">
        <v>1</v>
      </c>
      <c r="AK82">
        <v>1</v>
      </c>
      <c r="AL82">
        <v>1</v>
      </c>
      <c r="AM82">
        <v>4</v>
      </c>
      <c r="AN82">
        <v>0</v>
      </c>
      <c r="AO82">
        <v>1</v>
      </c>
      <c r="AP82">
        <v>0</v>
      </c>
      <c r="AQ82">
        <v>0</v>
      </c>
      <c r="AR82">
        <v>0</v>
      </c>
      <c r="AS82" t="s">
        <v>3</v>
      </c>
      <c r="AT82">
        <v>-0.05</v>
      </c>
      <c r="AU82" t="s">
        <v>3</v>
      </c>
      <c r="AV82">
        <v>0</v>
      </c>
      <c r="AW82">
        <v>2</v>
      </c>
      <c r="AX82">
        <v>145027275</v>
      </c>
      <c r="AY82">
        <v>1</v>
      </c>
      <c r="AZ82">
        <v>6144</v>
      </c>
      <c r="BA82">
        <v>88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ROUND(Y82*Source!I56,9)</f>
        <v>-0.129</v>
      </c>
      <c r="CY82">
        <f>AA82</f>
        <v>57965.7</v>
      </c>
      <c r="CZ82">
        <f>AE82</f>
        <v>6513</v>
      </c>
      <c r="DA82">
        <f>AI82</f>
        <v>8.9</v>
      </c>
      <c r="DB82">
        <f>ROUND(ROUND(AT82*CZ82,2),2)</f>
        <v>-325.64999999999998</v>
      </c>
      <c r="DC82">
        <f>ROUND(ROUND(AT82*AG82,2),2)</f>
        <v>0</v>
      </c>
      <c r="DD82" t="s">
        <v>3</v>
      </c>
      <c r="DE82" t="s">
        <v>3</v>
      </c>
      <c r="DF82">
        <f>ROUND(ROUND(AE82*AI82,2)*CX82,2)</f>
        <v>-7477.58</v>
      </c>
      <c r="DG82">
        <f t="shared" si="36"/>
        <v>0</v>
      </c>
      <c r="DH82">
        <f t="shared" si="37"/>
        <v>0</v>
      </c>
      <c r="DI82">
        <f t="shared" si="35"/>
        <v>0</v>
      </c>
      <c r="DJ82">
        <f>DF82</f>
        <v>-7477.58</v>
      </c>
      <c r="DK82">
        <v>0</v>
      </c>
      <c r="DL82" t="s">
        <v>3</v>
      </c>
      <c r="DM82">
        <v>0</v>
      </c>
      <c r="DN82" t="s">
        <v>3</v>
      </c>
      <c r="DO82">
        <v>0</v>
      </c>
    </row>
    <row r="83" spans="1:119" x14ac:dyDescent="0.2">
      <c r="A83">
        <f>ROW(Source!A56)</f>
        <v>56</v>
      </c>
      <c r="B83">
        <v>145026783</v>
      </c>
      <c r="C83">
        <v>145027255</v>
      </c>
      <c r="D83">
        <v>140788123</v>
      </c>
      <c r="E83">
        <v>1</v>
      </c>
      <c r="F83">
        <v>1</v>
      </c>
      <c r="G83">
        <v>1</v>
      </c>
      <c r="H83">
        <v>3</v>
      </c>
      <c r="I83" t="s">
        <v>166</v>
      </c>
      <c r="J83" t="s">
        <v>168</v>
      </c>
      <c r="K83" t="s">
        <v>167</v>
      </c>
      <c r="L83">
        <v>1327</v>
      </c>
      <c r="N83">
        <v>1005</v>
      </c>
      <c r="O83" t="s">
        <v>72</v>
      </c>
      <c r="P83" t="s">
        <v>72</v>
      </c>
      <c r="Q83">
        <v>1</v>
      </c>
      <c r="W83">
        <v>1</v>
      </c>
      <c r="X83">
        <v>-581727036</v>
      </c>
      <c r="Y83">
        <f>AT83</f>
        <v>-102</v>
      </c>
      <c r="AA83">
        <v>603.41999999999996</v>
      </c>
      <c r="AB83">
        <v>0</v>
      </c>
      <c r="AC83">
        <v>0</v>
      </c>
      <c r="AD83">
        <v>0</v>
      </c>
      <c r="AE83">
        <v>67.8</v>
      </c>
      <c r="AF83">
        <v>0</v>
      </c>
      <c r="AG83">
        <v>0</v>
      </c>
      <c r="AH83">
        <v>0</v>
      </c>
      <c r="AI83">
        <v>8.9</v>
      </c>
      <c r="AJ83">
        <v>1</v>
      </c>
      <c r="AK83">
        <v>1</v>
      </c>
      <c r="AL83">
        <v>1</v>
      </c>
      <c r="AM83">
        <v>4</v>
      </c>
      <c r="AN83">
        <v>0</v>
      </c>
      <c r="AO83">
        <v>1</v>
      </c>
      <c r="AP83">
        <v>0</v>
      </c>
      <c r="AQ83">
        <v>0</v>
      </c>
      <c r="AR83">
        <v>0</v>
      </c>
      <c r="AS83" t="s">
        <v>3</v>
      </c>
      <c r="AT83">
        <v>-102</v>
      </c>
      <c r="AU83" t="s">
        <v>3</v>
      </c>
      <c r="AV83">
        <v>0</v>
      </c>
      <c r="AW83">
        <v>2</v>
      </c>
      <c r="AX83">
        <v>145027276</v>
      </c>
      <c r="AY83">
        <v>1</v>
      </c>
      <c r="AZ83">
        <v>6144</v>
      </c>
      <c r="BA83">
        <v>89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ROUND(Y83*Source!I56,9)</f>
        <v>-263.16000000000003</v>
      </c>
      <c r="CY83">
        <f>AA83</f>
        <v>603.41999999999996</v>
      </c>
      <c r="CZ83">
        <f>AE83</f>
        <v>67.8</v>
      </c>
      <c r="DA83">
        <f>AI83</f>
        <v>8.9</v>
      </c>
      <c r="DB83">
        <f>ROUND(ROUND(AT83*CZ83,2),2)</f>
        <v>-6915.6</v>
      </c>
      <c r="DC83">
        <f>ROUND(ROUND(AT83*AG83,2),2)</f>
        <v>0</v>
      </c>
      <c r="DD83" t="s">
        <v>3</v>
      </c>
      <c r="DE83" t="s">
        <v>3</v>
      </c>
      <c r="DF83">
        <f>ROUND(ROUND(AE83*AI83,2)*CX83,2)</f>
        <v>-158796.01</v>
      </c>
      <c r="DG83">
        <f t="shared" si="36"/>
        <v>0</v>
      </c>
      <c r="DH83">
        <f t="shared" si="37"/>
        <v>0</v>
      </c>
      <c r="DI83">
        <f t="shared" si="35"/>
        <v>0</v>
      </c>
      <c r="DJ83">
        <f>DF83</f>
        <v>-158796.01</v>
      </c>
      <c r="DK83">
        <v>0</v>
      </c>
      <c r="DL83" t="s">
        <v>3</v>
      </c>
      <c r="DM83">
        <v>0</v>
      </c>
      <c r="DN83" t="s">
        <v>3</v>
      </c>
      <c r="DO83">
        <v>0</v>
      </c>
    </row>
    <row r="84" spans="1:119" x14ac:dyDescent="0.2">
      <c r="A84">
        <f>ROW(Source!A56)</f>
        <v>56</v>
      </c>
      <c r="B84">
        <v>145026783</v>
      </c>
      <c r="C84">
        <v>145027255</v>
      </c>
      <c r="D84">
        <v>140803309</v>
      </c>
      <c r="E84">
        <v>1</v>
      </c>
      <c r="F84">
        <v>1</v>
      </c>
      <c r="G84">
        <v>1</v>
      </c>
      <c r="H84">
        <v>3</v>
      </c>
      <c r="I84" t="s">
        <v>174</v>
      </c>
      <c r="J84" t="s">
        <v>176</v>
      </c>
      <c r="K84" t="s">
        <v>175</v>
      </c>
      <c r="L84">
        <v>1346</v>
      </c>
      <c r="N84">
        <v>1009</v>
      </c>
      <c r="O84" t="s">
        <v>154</v>
      </c>
      <c r="P84" t="s">
        <v>154</v>
      </c>
      <c r="Q84">
        <v>1</v>
      </c>
      <c r="W84">
        <v>1</v>
      </c>
      <c r="X84">
        <v>-1263215297</v>
      </c>
      <c r="Y84">
        <f>AT84</f>
        <v>-450</v>
      </c>
      <c r="AA84">
        <v>12.19</v>
      </c>
      <c r="AB84">
        <v>0</v>
      </c>
      <c r="AC84">
        <v>0</v>
      </c>
      <c r="AD84">
        <v>0</v>
      </c>
      <c r="AE84">
        <v>1.37</v>
      </c>
      <c r="AF84">
        <v>0</v>
      </c>
      <c r="AG84">
        <v>0</v>
      </c>
      <c r="AH84">
        <v>0</v>
      </c>
      <c r="AI84">
        <v>8.9</v>
      </c>
      <c r="AJ84">
        <v>1</v>
      </c>
      <c r="AK84">
        <v>1</v>
      </c>
      <c r="AL84">
        <v>1</v>
      </c>
      <c r="AM84">
        <v>4</v>
      </c>
      <c r="AN84">
        <v>0</v>
      </c>
      <c r="AO84">
        <v>1</v>
      </c>
      <c r="AP84">
        <v>0</v>
      </c>
      <c r="AQ84">
        <v>0</v>
      </c>
      <c r="AR84">
        <v>0</v>
      </c>
      <c r="AS84" t="s">
        <v>3</v>
      </c>
      <c r="AT84">
        <v>-450</v>
      </c>
      <c r="AU84" t="s">
        <v>3</v>
      </c>
      <c r="AV84">
        <v>0</v>
      </c>
      <c r="AW84">
        <v>2</v>
      </c>
      <c r="AX84">
        <v>145027277</v>
      </c>
      <c r="AY84">
        <v>1</v>
      </c>
      <c r="AZ84">
        <v>6144</v>
      </c>
      <c r="BA84">
        <v>90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ROUND(Y84*Source!I56,9)</f>
        <v>-1161</v>
      </c>
      <c r="CY84">
        <f>AA84</f>
        <v>12.19</v>
      </c>
      <c r="CZ84">
        <f>AE84</f>
        <v>1.37</v>
      </c>
      <c r="DA84">
        <f>AI84</f>
        <v>8.9</v>
      </c>
      <c r="DB84">
        <f>ROUND(ROUND(AT84*CZ84,2),2)</f>
        <v>-616.5</v>
      </c>
      <c r="DC84">
        <f>ROUND(ROUND(AT84*AG84,2),2)</f>
        <v>0</v>
      </c>
      <c r="DD84" t="s">
        <v>3</v>
      </c>
      <c r="DE84" t="s">
        <v>3</v>
      </c>
      <c r="DF84">
        <f>ROUND(ROUND(AE84*AI84,2)*CX84,2)</f>
        <v>-14152.59</v>
      </c>
      <c r="DG84">
        <f t="shared" si="36"/>
        <v>0</v>
      </c>
      <c r="DH84">
        <f t="shared" si="37"/>
        <v>0</v>
      </c>
      <c r="DI84">
        <f t="shared" si="35"/>
        <v>0</v>
      </c>
      <c r="DJ84">
        <f>DF84</f>
        <v>-14152.59</v>
      </c>
      <c r="DK84">
        <v>0</v>
      </c>
      <c r="DL84" t="s">
        <v>3</v>
      </c>
      <c r="DM84">
        <v>0</v>
      </c>
      <c r="DN84" t="s">
        <v>3</v>
      </c>
      <c r="DO84">
        <v>0</v>
      </c>
    </row>
    <row r="85" spans="1:119" x14ac:dyDescent="0.2">
      <c r="A85">
        <f>ROW(Source!A63)</f>
        <v>63</v>
      </c>
      <c r="B85">
        <v>145026783</v>
      </c>
      <c r="C85">
        <v>145041144</v>
      </c>
      <c r="D85">
        <v>140755437</v>
      </c>
      <c r="E85">
        <v>70</v>
      </c>
      <c r="F85">
        <v>1</v>
      </c>
      <c r="G85">
        <v>1</v>
      </c>
      <c r="H85">
        <v>1</v>
      </c>
      <c r="I85" t="s">
        <v>630</v>
      </c>
      <c r="J85" t="s">
        <v>3</v>
      </c>
      <c r="K85" t="s">
        <v>631</v>
      </c>
      <c r="L85">
        <v>1191</v>
      </c>
      <c r="N85">
        <v>1013</v>
      </c>
      <c r="O85" t="s">
        <v>608</v>
      </c>
      <c r="P85" t="s">
        <v>608</v>
      </c>
      <c r="Q85">
        <v>1</v>
      </c>
      <c r="W85">
        <v>0</v>
      </c>
      <c r="X85">
        <v>-112797078</v>
      </c>
      <c r="Y85">
        <f>(AT85*1.15)</f>
        <v>92.885499999999993</v>
      </c>
      <c r="AA85">
        <v>0</v>
      </c>
      <c r="AB85">
        <v>0</v>
      </c>
      <c r="AC85">
        <v>0</v>
      </c>
      <c r="AD85">
        <v>287.13</v>
      </c>
      <c r="AE85">
        <v>0</v>
      </c>
      <c r="AF85">
        <v>0</v>
      </c>
      <c r="AG85">
        <v>0</v>
      </c>
      <c r="AH85">
        <v>8.9700000000000006</v>
      </c>
      <c r="AI85">
        <v>1</v>
      </c>
      <c r="AJ85">
        <v>1</v>
      </c>
      <c r="AK85">
        <v>1</v>
      </c>
      <c r="AL85">
        <v>32.01</v>
      </c>
      <c r="AM85">
        <v>4</v>
      </c>
      <c r="AN85">
        <v>0</v>
      </c>
      <c r="AO85">
        <v>1</v>
      </c>
      <c r="AP85">
        <v>1</v>
      </c>
      <c r="AQ85">
        <v>0</v>
      </c>
      <c r="AR85">
        <v>0</v>
      </c>
      <c r="AS85" t="s">
        <v>3</v>
      </c>
      <c r="AT85">
        <v>80.77</v>
      </c>
      <c r="AU85" t="s">
        <v>149</v>
      </c>
      <c r="AV85">
        <v>1</v>
      </c>
      <c r="AW85">
        <v>2</v>
      </c>
      <c r="AX85">
        <v>145041161</v>
      </c>
      <c r="AY85">
        <v>1</v>
      </c>
      <c r="AZ85">
        <v>0</v>
      </c>
      <c r="BA85">
        <v>91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ROUND(Y85*Source!I63,9)</f>
        <v>166.46939309999999</v>
      </c>
      <c r="CY85">
        <f>AD85</f>
        <v>287.13</v>
      </c>
      <c r="CZ85">
        <f>AH85</f>
        <v>8.9700000000000006</v>
      </c>
      <c r="DA85">
        <f>AL85</f>
        <v>32.01</v>
      </c>
      <c r="DB85">
        <f>ROUND((ROUND(AT85*CZ85,2)*1.15),2)</f>
        <v>833.19</v>
      </c>
      <c r="DC85">
        <f>ROUND((ROUND(AT85*AG85,2)*1.15),2)</f>
        <v>0</v>
      </c>
      <c r="DD85" t="s">
        <v>3</v>
      </c>
      <c r="DE85" t="s">
        <v>3</v>
      </c>
      <c r="DF85">
        <f>ROUND(ROUND(AE85,2)*CX85,2)</f>
        <v>0</v>
      </c>
      <c r="DG85">
        <f t="shared" si="36"/>
        <v>0</v>
      </c>
      <c r="DH85">
        <f t="shared" si="37"/>
        <v>0</v>
      </c>
      <c r="DI85">
        <f>ROUND(ROUND(AH85*AL85,2)*CX85,2)</f>
        <v>47798.36</v>
      </c>
      <c r="DJ85">
        <f>DI85</f>
        <v>47798.36</v>
      </c>
      <c r="DK85">
        <v>0</v>
      </c>
      <c r="DL85" t="s">
        <v>3</v>
      </c>
      <c r="DM85">
        <v>0</v>
      </c>
      <c r="DN85" t="s">
        <v>3</v>
      </c>
      <c r="DO85">
        <v>0</v>
      </c>
    </row>
    <row r="86" spans="1:119" x14ac:dyDescent="0.2">
      <c r="A86">
        <f>ROW(Source!A63)</f>
        <v>63</v>
      </c>
      <c r="B86">
        <v>145026783</v>
      </c>
      <c r="C86">
        <v>145041144</v>
      </c>
      <c r="D86">
        <v>140755491</v>
      </c>
      <c r="E86">
        <v>70</v>
      </c>
      <c r="F86">
        <v>1</v>
      </c>
      <c r="G86">
        <v>1</v>
      </c>
      <c r="H86">
        <v>1</v>
      </c>
      <c r="I86" t="s">
        <v>609</v>
      </c>
      <c r="J86" t="s">
        <v>3</v>
      </c>
      <c r="K86" t="s">
        <v>610</v>
      </c>
      <c r="L86">
        <v>1191</v>
      </c>
      <c r="N86">
        <v>1013</v>
      </c>
      <c r="O86" t="s">
        <v>608</v>
      </c>
      <c r="P86" t="s">
        <v>608</v>
      </c>
      <c r="Q86">
        <v>1</v>
      </c>
      <c r="W86">
        <v>0</v>
      </c>
      <c r="X86">
        <v>-1417349443</v>
      </c>
      <c r="Y86">
        <f>(AT86*1.25)</f>
        <v>0.17500000000000002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1</v>
      </c>
      <c r="AJ86">
        <v>1</v>
      </c>
      <c r="AK86">
        <v>32.01</v>
      </c>
      <c r="AL86">
        <v>1</v>
      </c>
      <c r="AM86">
        <v>4</v>
      </c>
      <c r="AN86">
        <v>0</v>
      </c>
      <c r="AO86">
        <v>1</v>
      </c>
      <c r="AP86">
        <v>1</v>
      </c>
      <c r="AQ86">
        <v>0</v>
      </c>
      <c r="AR86">
        <v>0</v>
      </c>
      <c r="AS86" t="s">
        <v>3</v>
      </c>
      <c r="AT86">
        <v>0.14000000000000001</v>
      </c>
      <c r="AU86" t="s">
        <v>148</v>
      </c>
      <c r="AV86">
        <v>2</v>
      </c>
      <c r="AW86">
        <v>2</v>
      </c>
      <c r="AX86">
        <v>145041162</v>
      </c>
      <c r="AY86">
        <v>1</v>
      </c>
      <c r="AZ86">
        <v>0</v>
      </c>
      <c r="BA86">
        <v>92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ROUND(Y86*Source!I63,9)</f>
        <v>0.313635</v>
      </c>
      <c r="CY86">
        <f>AD86</f>
        <v>0</v>
      </c>
      <c r="CZ86">
        <f>AH86</f>
        <v>0</v>
      </c>
      <c r="DA86">
        <f>AL86</f>
        <v>1</v>
      </c>
      <c r="DB86">
        <f>ROUND((ROUND(AT86*CZ86,2)*1.25),2)</f>
        <v>0</v>
      </c>
      <c r="DC86">
        <f>ROUND((ROUND(AT86*AG86,2)*1.25),2)</f>
        <v>0</v>
      </c>
      <c r="DD86" t="s">
        <v>3</v>
      </c>
      <c r="DE86" t="s">
        <v>3</v>
      </c>
      <c r="DF86">
        <f>ROUND(ROUND(AE86,2)*CX86,2)</f>
        <v>0</v>
      </c>
      <c r="DG86">
        <f t="shared" si="36"/>
        <v>0</v>
      </c>
      <c r="DH86">
        <f>ROUND(ROUND(AG86*AK86,2)*CX86,2)</f>
        <v>0</v>
      </c>
      <c r="DI86">
        <f t="shared" ref="DI86:DI100" si="38">ROUND(ROUND(AH86,2)*CX86,2)</f>
        <v>0</v>
      </c>
      <c r="DJ86">
        <f>DI86</f>
        <v>0</v>
      </c>
      <c r="DK86">
        <v>0</v>
      </c>
      <c r="DL86" t="s">
        <v>3</v>
      </c>
      <c r="DM86">
        <v>0</v>
      </c>
      <c r="DN86" t="s">
        <v>3</v>
      </c>
      <c r="DO86">
        <v>0</v>
      </c>
    </row>
    <row r="87" spans="1:119" x14ac:dyDescent="0.2">
      <c r="A87">
        <f>ROW(Source!A63)</f>
        <v>63</v>
      </c>
      <c r="B87">
        <v>145026783</v>
      </c>
      <c r="C87">
        <v>145041144</v>
      </c>
      <c r="D87">
        <v>140923142</v>
      </c>
      <c r="E87">
        <v>1</v>
      </c>
      <c r="F87">
        <v>1</v>
      </c>
      <c r="G87">
        <v>1</v>
      </c>
      <c r="H87">
        <v>2</v>
      </c>
      <c r="I87" t="s">
        <v>632</v>
      </c>
      <c r="J87" t="s">
        <v>633</v>
      </c>
      <c r="K87" t="s">
        <v>634</v>
      </c>
      <c r="L87">
        <v>1367</v>
      </c>
      <c r="N87">
        <v>1011</v>
      </c>
      <c r="O87" t="s">
        <v>614</v>
      </c>
      <c r="P87" t="s">
        <v>614</v>
      </c>
      <c r="Q87">
        <v>1</v>
      </c>
      <c r="W87">
        <v>0</v>
      </c>
      <c r="X87">
        <v>-777582489</v>
      </c>
      <c r="Y87">
        <f>(AT87*1.25)</f>
        <v>0.17500000000000002</v>
      </c>
      <c r="AA87">
        <v>0</v>
      </c>
      <c r="AB87">
        <v>302.67</v>
      </c>
      <c r="AC87">
        <v>322.02</v>
      </c>
      <c r="AD87">
        <v>0</v>
      </c>
      <c r="AE87">
        <v>0</v>
      </c>
      <c r="AF87">
        <v>24.33</v>
      </c>
      <c r="AG87">
        <v>10.06</v>
      </c>
      <c r="AH87">
        <v>0</v>
      </c>
      <c r="AI87">
        <v>1</v>
      </c>
      <c r="AJ87">
        <v>12.44</v>
      </c>
      <c r="AK87">
        <v>32.01</v>
      </c>
      <c r="AL87">
        <v>1</v>
      </c>
      <c r="AM87">
        <v>4</v>
      </c>
      <c r="AN87">
        <v>0</v>
      </c>
      <c r="AO87">
        <v>1</v>
      </c>
      <c r="AP87">
        <v>1</v>
      </c>
      <c r="AQ87">
        <v>0</v>
      </c>
      <c r="AR87">
        <v>0</v>
      </c>
      <c r="AS87" t="s">
        <v>3</v>
      </c>
      <c r="AT87">
        <v>0.14000000000000001</v>
      </c>
      <c r="AU87" t="s">
        <v>148</v>
      </c>
      <c r="AV87">
        <v>0</v>
      </c>
      <c r="AW87">
        <v>2</v>
      </c>
      <c r="AX87">
        <v>145041163</v>
      </c>
      <c r="AY87">
        <v>1</v>
      </c>
      <c r="AZ87">
        <v>0</v>
      </c>
      <c r="BA87">
        <v>93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ROUND(Y87*Source!I63,9)</f>
        <v>0.313635</v>
      </c>
      <c r="CY87">
        <f>AB87</f>
        <v>302.67</v>
      </c>
      <c r="CZ87">
        <f>AF87</f>
        <v>24.33</v>
      </c>
      <c r="DA87">
        <f>AJ87</f>
        <v>12.44</v>
      </c>
      <c r="DB87">
        <f>ROUND((ROUND(AT87*CZ87,2)*1.25),2)</f>
        <v>4.26</v>
      </c>
      <c r="DC87">
        <f>ROUND((ROUND(AT87*AG87,2)*1.25),2)</f>
        <v>1.76</v>
      </c>
      <c r="DD87" t="s">
        <v>3</v>
      </c>
      <c r="DE87" t="s">
        <v>3</v>
      </c>
      <c r="DF87">
        <f>ROUND(ROUND(AE87,2)*CX87,2)</f>
        <v>0</v>
      </c>
      <c r="DG87">
        <f>ROUND(ROUND(AF87*AJ87,2)*CX87,2)</f>
        <v>94.93</v>
      </c>
      <c r="DH87">
        <f>ROUND(ROUND(AG87*AK87,2)*CX87,2)</f>
        <v>101</v>
      </c>
      <c r="DI87">
        <f t="shared" si="38"/>
        <v>0</v>
      </c>
      <c r="DJ87">
        <f>DG87</f>
        <v>94.93</v>
      </c>
      <c r="DK87">
        <v>0</v>
      </c>
      <c r="DL87" t="s">
        <v>3</v>
      </c>
      <c r="DM87">
        <v>0</v>
      </c>
      <c r="DN87" t="s">
        <v>3</v>
      </c>
      <c r="DO87">
        <v>0</v>
      </c>
    </row>
    <row r="88" spans="1:119" x14ac:dyDescent="0.2">
      <c r="A88">
        <f>ROW(Source!A63)</f>
        <v>63</v>
      </c>
      <c r="B88">
        <v>145026783</v>
      </c>
      <c r="C88">
        <v>145041144</v>
      </c>
      <c r="D88">
        <v>140772680</v>
      </c>
      <c r="E88">
        <v>1</v>
      </c>
      <c r="F88">
        <v>1</v>
      </c>
      <c r="G88">
        <v>1</v>
      </c>
      <c r="H88">
        <v>3</v>
      </c>
      <c r="I88" t="s">
        <v>635</v>
      </c>
      <c r="J88" t="s">
        <v>636</v>
      </c>
      <c r="K88" t="s">
        <v>637</v>
      </c>
      <c r="L88">
        <v>1339</v>
      </c>
      <c r="N88">
        <v>1007</v>
      </c>
      <c r="O88" t="s">
        <v>638</v>
      </c>
      <c r="P88" t="s">
        <v>638</v>
      </c>
      <c r="Q88">
        <v>1</v>
      </c>
      <c r="W88">
        <v>0</v>
      </c>
      <c r="X88">
        <v>-143474561</v>
      </c>
      <c r="Y88">
        <f t="shared" ref="Y88:Y100" si="39">AT88</f>
        <v>3.5000000000000003E-2</v>
      </c>
      <c r="AA88">
        <v>21.72</v>
      </c>
      <c r="AB88">
        <v>0</v>
      </c>
      <c r="AC88">
        <v>0</v>
      </c>
      <c r="AD88">
        <v>0</v>
      </c>
      <c r="AE88">
        <v>2.44</v>
      </c>
      <c r="AF88">
        <v>0</v>
      </c>
      <c r="AG88">
        <v>0</v>
      </c>
      <c r="AH88">
        <v>0</v>
      </c>
      <c r="AI88">
        <v>8.9</v>
      </c>
      <c r="AJ88">
        <v>1</v>
      </c>
      <c r="AK88">
        <v>1</v>
      </c>
      <c r="AL88">
        <v>1</v>
      </c>
      <c r="AM88">
        <v>4</v>
      </c>
      <c r="AN88">
        <v>0</v>
      </c>
      <c r="AO88">
        <v>1</v>
      </c>
      <c r="AP88">
        <v>0</v>
      </c>
      <c r="AQ88">
        <v>0</v>
      </c>
      <c r="AR88">
        <v>0</v>
      </c>
      <c r="AS88" t="s">
        <v>3</v>
      </c>
      <c r="AT88">
        <v>3.5000000000000003E-2</v>
      </c>
      <c r="AU88" t="s">
        <v>3</v>
      </c>
      <c r="AV88">
        <v>0</v>
      </c>
      <c r="AW88">
        <v>2</v>
      </c>
      <c r="AX88">
        <v>145041165</v>
      </c>
      <c r="AY88">
        <v>1</v>
      </c>
      <c r="AZ88">
        <v>0</v>
      </c>
      <c r="BA88">
        <v>95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ROUND(Y88*Source!I63,9)</f>
        <v>6.2727000000000005E-2</v>
      </c>
      <c r="CY88">
        <f t="shared" ref="CY88:CY100" si="40">AA88</f>
        <v>21.72</v>
      </c>
      <c r="CZ88">
        <f t="shared" ref="CZ88:CZ100" si="41">AE88</f>
        <v>2.44</v>
      </c>
      <c r="DA88">
        <f t="shared" ref="DA88:DA100" si="42">AI88</f>
        <v>8.9</v>
      </c>
      <c r="DB88">
        <f t="shared" ref="DB88:DB100" si="43">ROUND(ROUND(AT88*CZ88,2),2)</f>
        <v>0.09</v>
      </c>
      <c r="DC88">
        <f t="shared" ref="DC88:DC100" si="44">ROUND(ROUND(AT88*AG88,2),2)</f>
        <v>0</v>
      </c>
      <c r="DD88" t="s">
        <v>3</v>
      </c>
      <c r="DE88" t="s">
        <v>3</v>
      </c>
      <c r="DF88">
        <f t="shared" ref="DF88:DF100" si="45">ROUND(ROUND(AE88*AI88,2)*CX88,2)</f>
        <v>1.36</v>
      </c>
      <c r="DG88">
        <f t="shared" ref="DG88:DG102" si="46">ROUND(ROUND(AF88,2)*CX88,2)</f>
        <v>0</v>
      </c>
      <c r="DH88">
        <f t="shared" ref="DH88:DH101" si="47">ROUND(ROUND(AG88,2)*CX88,2)</f>
        <v>0</v>
      </c>
      <c r="DI88">
        <f t="shared" si="38"/>
        <v>0</v>
      </c>
      <c r="DJ88">
        <f t="shared" ref="DJ88:DJ100" si="48">DF88</f>
        <v>1.36</v>
      </c>
      <c r="DK88">
        <v>0</v>
      </c>
      <c r="DL88" t="s">
        <v>3</v>
      </c>
      <c r="DM88">
        <v>0</v>
      </c>
      <c r="DN88" t="s">
        <v>3</v>
      </c>
      <c r="DO88">
        <v>0</v>
      </c>
    </row>
    <row r="89" spans="1:119" x14ac:dyDescent="0.2">
      <c r="A89">
        <f>ROW(Source!A63)</f>
        <v>63</v>
      </c>
      <c r="B89">
        <v>145026783</v>
      </c>
      <c r="C89">
        <v>145041144</v>
      </c>
      <c r="D89">
        <v>140772927</v>
      </c>
      <c r="E89">
        <v>1</v>
      </c>
      <c r="F89">
        <v>1</v>
      </c>
      <c r="G89">
        <v>1</v>
      </c>
      <c r="H89">
        <v>3</v>
      </c>
      <c r="I89" t="s">
        <v>639</v>
      </c>
      <c r="J89" t="s">
        <v>640</v>
      </c>
      <c r="K89" t="s">
        <v>641</v>
      </c>
      <c r="L89">
        <v>1301</v>
      </c>
      <c r="N89">
        <v>1003</v>
      </c>
      <c r="O89" t="s">
        <v>191</v>
      </c>
      <c r="P89" t="s">
        <v>191</v>
      </c>
      <c r="Q89">
        <v>1</v>
      </c>
      <c r="W89">
        <v>0</v>
      </c>
      <c r="X89">
        <v>2073110045</v>
      </c>
      <c r="Y89">
        <f t="shared" si="39"/>
        <v>93.81</v>
      </c>
      <c r="AA89">
        <v>5.34</v>
      </c>
      <c r="AB89">
        <v>0</v>
      </c>
      <c r="AC89">
        <v>0</v>
      </c>
      <c r="AD89">
        <v>0</v>
      </c>
      <c r="AE89">
        <v>0.6</v>
      </c>
      <c r="AF89">
        <v>0</v>
      </c>
      <c r="AG89">
        <v>0</v>
      </c>
      <c r="AH89">
        <v>0</v>
      </c>
      <c r="AI89">
        <v>8.9</v>
      </c>
      <c r="AJ89">
        <v>1</v>
      </c>
      <c r="AK89">
        <v>1</v>
      </c>
      <c r="AL89">
        <v>1</v>
      </c>
      <c r="AM89">
        <v>4</v>
      </c>
      <c r="AN89">
        <v>0</v>
      </c>
      <c r="AO89">
        <v>1</v>
      </c>
      <c r="AP89">
        <v>0</v>
      </c>
      <c r="AQ89">
        <v>0</v>
      </c>
      <c r="AR89">
        <v>0</v>
      </c>
      <c r="AS89" t="s">
        <v>3</v>
      </c>
      <c r="AT89">
        <v>93.81</v>
      </c>
      <c r="AU89" t="s">
        <v>3</v>
      </c>
      <c r="AV89">
        <v>0</v>
      </c>
      <c r="AW89">
        <v>2</v>
      </c>
      <c r="AX89">
        <v>145041166</v>
      </c>
      <c r="AY89">
        <v>1</v>
      </c>
      <c r="AZ89">
        <v>0</v>
      </c>
      <c r="BA89">
        <v>96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ROUND(Y89*Source!I63,9)</f>
        <v>168.126282</v>
      </c>
      <c r="CY89">
        <f t="shared" si="40"/>
        <v>5.34</v>
      </c>
      <c r="CZ89">
        <f t="shared" si="41"/>
        <v>0.6</v>
      </c>
      <c r="DA89">
        <f t="shared" si="42"/>
        <v>8.9</v>
      </c>
      <c r="DB89">
        <f t="shared" si="43"/>
        <v>56.29</v>
      </c>
      <c r="DC89">
        <f t="shared" si="44"/>
        <v>0</v>
      </c>
      <c r="DD89" t="s">
        <v>3</v>
      </c>
      <c r="DE89" t="s">
        <v>3</v>
      </c>
      <c r="DF89">
        <f t="shared" si="45"/>
        <v>897.79</v>
      </c>
      <c r="DG89">
        <f t="shared" si="46"/>
        <v>0</v>
      </c>
      <c r="DH89">
        <f t="shared" si="47"/>
        <v>0</v>
      </c>
      <c r="DI89">
        <f t="shared" si="38"/>
        <v>0</v>
      </c>
      <c r="DJ89">
        <f t="shared" si="48"/>
        <v>897.79</v>
      </c>
      <c r="DK89">
        <v>0</v>
      </c>
      <c r="DL89" t="s">
        <v>3</v>
      </c>
      <c r="DM89">
        <v>0</v>
      </c>
      <c r="DN89" t="s">
        <v>3</v>
      </c>
      <c r="DO89">
        <v>0</v>
      </c>
    </row>
    <row r="90" spans="1:119" x14ac:dyDescent="0.2">
      <c r="A90">
        <f>ROW(Source!A63)</f>
        <v>63</v>
      </c>
      <c r="B90">
        <v>145026783</v>
      </c>
      <c r="C90">
        <v>145041144</v>
      </c>
      <c r="D90">
        <v>140772954</v>
      </c>
      <c r="E90">
        <v>1</v>
      </c>
      <c r="F90">
        <v>1</v>
      </c>
      <c r="G90">
        <v>1</v>
      </c>
      <c r="H90">
        <v>3</v>
      </c>
      <c r="I90" t="s">
        <v>642</v>
      </c>
      <c r="J90" t="s">
        <v>643</v>
      </c>
      <c r="K90" t="s">
        <v>644</v>
      </c>
      <c r="L90">
        <v>1301</v>
      </c>
      <c r="N90">
        <v>1003</v>
      </c>
      <c r="O90" t="s">
        <v>191</v>
      </c>
      <c r="P90" t="s">
        <v>191</v>
      </c>
      <c r="Q90">
        <v>1</v>
      </c>
      <c r="W90">
        <v>0</v>
      </c>
      <c r="X90">
        <v>-1512342129</v>
      </c>
      <c r="Y90">
        <f t="shared" si="39"/>
        <v>130</v>
      </c>
      <c r="AA90">
        <v>1.51</v>
      </c>
      <c r="AB90">
        <v>0</v>
      </c>
      <c r="AC90">
        <v>0</v>
      </c>
      <c r="AD90">
        <v>0</v>
      </c>
      <c r="AE90">
        <v>0.17</v>
      </c>
      <c r="AF90">
        <v>0</v>
      </c>
      <c r="AG90">
        <v>0</v>
      </c>
      <c r="AH90">
        <v>0</v>
      </c>
      <c r="AI90">
        <v>8.9</v>
      </c>
      <c r="AJ90">
        <v>1</v>
      </c>
      <c r="AK90">
        <v>1</v>
      </c>
      <c r="AL90">
        <v>1</v>
      </c>
      <c r="AM90">
        <v>4</v>
      </c>
      <c r="AN90">
        <v>0</v>
      </c>
      <c r="AO90">
        <v>1</v>
      </c>
      <c r="AP90">
        <v>0</v>
      </c>
      <c r="AQ90">
        <v>0</v>
      </c>
      <c r="AR90">
        <v>0</v>
      </c>
      <c r="AS90" t="s">
        <v>3</v>
      </c>
      <c r="AT90">
        <v>130</v>
      </c>
      <c r="AU90" t="s">
        <v>3</v>
      </c>
      <c r="AV90">
        <v>0</v>
      </c>
      <c r="AW90">
        <v>2</v>
      </c>
      <c r="AX90">
        <v>145041167</v>
      </c>
      <c r="AY90">
        <v>1</v>
      </c>
      <c r="AZ90">
        <v>0</v>
      </c>
      <c r="BA90">
        <v>97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ROUND(Y90*Source!I63,9)</f>
        <v>232.98599999999999</v>
      </c>
      <c r="CY90">
        <f t="shared" si="40"/>
        <v>1.51</v>
      </c>
      <c r="CZ90">
        <f t="shared" si="41"/>
        <v>0.17</v>
      </c>
      <c r="DA90">
        <f t="shared" si="42"/>
        <v>8.9</v>
      </c>
      <c r="DB90">
        <f t="shared" si="43"/>
        <v>22.1</v>
      </c>
      <c r="DC90">
        <f t="shared" si="44"/>
        <v>0</v>
      </c>
      <c r="DD90" t="s">
        <v>3</v>
      </c>
      <c r="DE90" t="s">
        <v>3</v>
      </c>
      <c r="DF90">
        <f t="shared" si="45"/>
        <v>351.81</v>
      </c>
      <c r="DG90">
        <f t="shared" si="46"/>
        <v>0</v>
      </c>
      <c r="DH90">
        <f t="shared" si="47"/>
        <v>0</v>
      </c>
      <c r="DI90">
        <f t="shared" si="38"/>
        <v>0</v>
      </c>
      <c r="DJ90">
        <f t="shared" si="48"/>
        <v>351.81</v>
      </c>
      <c r="DK90">
        <v>0</v>
      </c>
      <c r="DL90" t="s">
        <v>3</v>
      </c>
      <c r="DM90">
        <v>0</v>
      </c>
      <c r="DN90" t="s">
        <v>3</v>
      </c>
      <c r="DO90">
        <v>0</v>
      </c>
    </row>
    <row r="91" spans="1:119" x14ac:dyDescent="0.2">
      <c r="A91">
        <f>ROW(Source!A63)</f>
        <v>63</v>
      </c>
      <c r="B91">
        <v>145026783</v>
      </c>
      <c r="C91">
        <v>145041144</v>
      </c>
      <c r="D91">
        <v>140772959</v>
      </c>
      <c r="E91">
        <v>1</v>
      </c>
      <c r="F91">
        <v>1</v>
      </c>
      <c r="G91">
        <v>1</v>
      </c>
      <c r="H91">
        <v>3</v>
      </c>
      <c r="I91" t="s">
        <v>645</v>
      </c>
      <c r="J91" t="s">
        <v>646</v>
      </c>
      <c r="K91" t="s">
        <v>647</v>
      </c>
      <c r="L91">
        <v>1308</v>
      </c>
      <c r="N91">
        <v>1003</v>
      </c>
      <c r="O91" t="s">
        <v>53</v>
      </c>
      <c r="P91" t="s">
        <v>53</v>
      </c>
      <c r="Q91">
        <v>100</v>
      </c>
      <c r="W91">
        <v>0</v>
      </c>
      <c r="X91">
        <v>1983229322</v>
      </c>
      <c r="Y91">
        <f t="shared" si="39"/>
        <v>0.33329999999999999</v>
      </c>
      <c r="AA91">
        <v>1539.7</v>
      </c>
      <c r="AB91">
        <v>0</v>
      </c>
      <c r="AC91">
        <v>0</v>
      </c>
      <c r="AD91">
        <v>0</v>
      </c>
      <c r="AE91">
        <v>173</v>
      </c>
      <c r="AF91">
        <v>0</v>
      </c>
      <c r="AG91">
        <v>0</v>
      </c>
      <c r="AH91">
        <v>0</v>
      </c>
      <c r="AI91">
        <v>8.9</v>
      </c>
      <c r="AJ91">
        <v>1</v>
      </c>
      <c r="AK91">
        <v>1</v>
      </c>
      <c r="AL91">
        <v>1</v>
      </c>
      <c r="AM91">
        <v>4</v>
      </c>
      <c r="AN91">
        <v>0</v>
      </c>
      <c r="AO91">
        <v>1</v>
      </c>
      <c r="AP91">
        <v>0</v>
      </c>
      <c r="AQ91">
        <v>0</v>
      </c>
      <c r="AR91">
        <v>0</v>
      </c>
      <c r="AS91" t="s">
        <v>3</v>
      </c>
      <c r="AT91">
        <v>0.33329999999999999</v>
      </c>
      <c r="AU91" t="s">
        <v>3</v>
      </c>
      <c r="AV91">
        <v>0</v>
      </c>
      <c r="AW91">
        <v>2</v>
      </c>
      <c r="AX91">
        <v>145041168</v>
      </c>
      <c r="AY91">
        <v>1</v>
      </c>
      <c r="AZ91">
        <v>0</v>
      </c>
      <c r="BA91">
        <v>98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ROUND(Y91*Source!I63,9)</f>
        <v>0.59734025999999996</v>
      </c>
      <c r="CY91">
        <f t="shared" si="40"/>
        <v>1539.7</v>
      </c>
      <c r="CZ91">
        <f t="shared" si="41"/>
        <v>173</v>
      </c>
      <c r="DA91">
        <f t="shared" si="42"/>
        <v>8.9</v>
      </c>
      <c r="DB91">
        <f t="shared" si="43"/>
        <v>57.66</v>
      </c>
      <c r="DC91">
        <f t="shared" si="44"/>
        <v>0</v>
      </c>
      <c r="DD91" t="s">
        <v>3</v>
      </c>
      <c r="DE91" t="s">
        <v>3</v>
      </c>
      <c r="DF91">
        <f t="shared" si="45"/>
        <v>919.72</v>
      </c>
      <c r="DG91">
        <f t="shared" si="46"/>
        <v>0</v>
      </c>
      <c r="DH91">
        <f t="shared" si="47"/>
        <v>0</v>
      </c>
      <c r="DI91">
        <f t="shared" si="38"/>
        <v>0</v>
      </c>
      <c r="DJ91">
        <f t="shared" si="48"/>
        <v>919.72</v>
      </c>
      <c r="DK91">
        <v>0</v>
      </c>
      <c r="DL91" t="s">
        <v>3</v>
      </c>
      <c r="DM91">
        <v>0</v>
      </c>
      <c r="DN91" t="s">
        <v>3</v>
      </c>
      <c r="DO91">
        <v>0</v>
      </c>
    </row>
    <row r="92" spans="1:119" x14ac:dyDescent="0.2">
      <c r="A92">
        <f>ROW(Source!A63)</f>
        <v>63</v>
      </c>
      <c r="B92">
        <v>145026783</v>
      </c>
      <c r="C92">
        <v>145041144</v>
      </c>
      <c r="D92">
        <v>140775228</v>
      </c>
      <c r="E92">
        <v>1</v>
      </c>
      <c r="F92">
        <v>1</v>
      </c>
      <c r="G92">
        <v>1</v>
      </c>
      <c r="H92">
        <v>3</v>
      </c>
      <c r="I92" t="s">
        <v>648</v>
      </c>
      <c r="J92" t="s">
        <v>649</v>
      </c>
      <c r="K92" t="s">
        <v>650</v>
      </c>
      <c r="L92">
        <v>1425</v>
      </c>
      <c r="N92">
        <v>1013</v>
      </c>
      <c r="O92" t="s">
        <v>21</v>
      </c>
      <c r="P92" t="s">
        <v>21</v>
      </c>
      <c r="Q92">
        <v>1</v>
      </c>
      <c r="W92">
        <v>0</v>
      </c>
      <c r="X92">
        <v>1343353334</v>
      </c>
      <c r="Y92">
        <f t="shared" si="39"/>
        <v>3.53</v>
      </c>
      <c r="AA92">
        <v>71.2</v>
      </c>
      <c r="AB92">
        <v>0</v>
      </c>
      <c r="AC92">
        <v>0</v>
      </c>
      <c r="AD92">
        <v>0</v>
      </c>
      <c r="AE92">
        <v>8</v>
      </c>
      <c r="AF92">
        <v>0</v>
      </c>
      <c r="AG92">
        <v>0</v>
      </c>
      <c r="AH92">
        <v>0</v>
      </c>
      <c r="AI92">
        <v>8.9</v>
      </c>
      <c r="AJ92">
        <v>1</v>
      </c>
      <c r="AK92">
        <v>1</v>
      </c>
      <c r="AL92">
        <v>1</v>
      </c>
      <c r="AM92">
        <v>4</v>
      </c>
      <c r="AN92">
        <v>0</v>
      </c>
      <c r="AO92">
        <v>1</v>
      </c>
      <c r="AP92">
        <v>0</v>
      </c>
      <c r="AQ92">
        <v>0</v>
      </c>
      <c r="AR92">
        <v>0</v>
      </c>
      <c r="AS92" t="s">
        <v>3</v>
      </c>
      <c r="AT92">
        <v>3.53</v>
      </c>
      <c r="AU92" t="s">
        <v>3</v>
      </c>
      <c r="AV92">
        <v>0</v>
      </c>
      <c r="AW92">
        <v>2</v>
      </c>
      <c r="AX92">
        <v>145041169</v>
      </c>
      <c r="AY92">
        <v>1</v>
      </c>
      <c r="AZ92">
        <v>0</v>
      </c>
      <c r="BA92">
        <v>99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ROUND(Y92*Source!I63,9)</f>
        <v>6.3264659999999999</v>
      </c>
      <c r="CY92">
        <f t="shared" si="40"/>
        <v>71.2</v>
      </c>
      <c r="CZ92">
        <f t="shared" si="41"/>
        <v>8</v>
      </c>
      <c r="DA92">
        <f t="shared" si="42"/>
        <v>8.9</v>
      </c>
      <c r="DB92">
        <f t="shared" si="43"/>
        <v>28.24</v>
      </c>
      <c r="DC92">
        <f t="shared" si="44"/>
        <v>0</v>
      </c>
      <c r="DD92" t="s">
        <v>3</v>
      </c>
      <c r="DE92" t="s">
        <v>3</v>
      </c>
      <c r="DF92">
        <f t="shared" si="45"/>
        <v>450.44</v>
      </c>
      <c r="DG92">
        <f t="shared" si="46"/>
        <v>0</v>
      </c>
      <c r="DH92">
        <f t="shared" si="47"/>
        <v>0</v>
      </c>
      <c r="DI92">
        <f t="shared" si="38"/>
        <v>0</v>
      </c>
      <c r="DJ92">
        <f t="shared" si="48"/>
        <v>450.44</v>
      </c>
      <c r="DK92">
        <v>0</v>
      </c>
      <c r="DL92" t="s">
        <v>3</v>
      </c>
      <c r="DM92">
        <v>0</v>
      </c>
      <c r="DN92" t="s">
        <v>3</v>
      </c>
      <c r="DO92">
        <v>0</v>
      </c>
    </row>
    <row r="93" spans="1:119" x14ac:dyDescent="0.2">
      <c r="A93">
        <f>ROW(Source!A63)</f>
        <v>63</v>
      </c>
      <c r="B93">
        <v>145026783</v>
      </c>
      <c r="C93">
        <v>145041144</v>
      </c>
      <c r="D93">
        <v>140775473</v>
      </c>
      <c r="E93">
        <v>1</v>
      </c>
      <c r="F93">
        <v>1</v>
      </c>
      <c r="G93">
        <v>1</v>
      </c>
      <c r="H93">
        <v>3</v>
      </c>
      <c r="I93" t="s">
        <v>651</v>
      </c>
      <c r="J93" t="s">
        <v>652</v>
      </c>
      <c r="K93" t="s">
        <v>653</v>
      </c>
      <c r="L93">
        <v>1425</v>
      </c>
      <c r="N93">
        <v>1013</v>
      </c>
      <c r="O93" t="s">
        <v>21</v>
      </c>
      <c r="P93" t="s">
        <v>21</v>
      </c>
      <c r="Q93">
        <v>1</v>
      </c>
      <c r="W93">
        <v>0</v>
      </c>
      <c r="X93">
        <v>-484105456</v>
      </c>
      <c r="Y93">
        <f t="shared" si="39"/>
        <v>4.29</v>
      </c>
      <c r="AA93">
        <v>17.8</v>
      </c>
      <c r="AB93">
        <v>0</v>
      </c>
      <c r="AC93">
        <v>0</v>
      </c>
      <c r="AD93">
        <v>0</v>
      </c>
      <c r="AE93">
        <v>2</v>
      </c>
      <c r="AF93">
        <v>0</v>
      </c>
      <c r="AG93">
        <v>0</v>
      </c>
      <c r="AH93">
        <v>0</v>
      </c>
      <c r="AI93">
        <v>8.9</v>
      </c>
      <c r="AJ93">
        <v>1</v>
      </c>
      <c r="AK93">
        <v>1</v>
      </c>
      <c r="AL93">
        <v>1</v>
      </c>
      <c r="AM93">
        <v>4</v>
      </c>
      <c r="AN93">
        <v>0</v>
      </c>
      <c r="AO93">
        <v>1</v>
      </c>
      <c r="AP93">
        <v>0</v>
      </c>
      <c r="AQ93">
        <v>0</v>
      </c>
      <c r="AR93">
        <v>0</v>
      </c>
      <c r="AS93" t="s">
        <v>3</v>
      </c>
      <c r="AT93">
        <v>4.29</v>
      </c>
      <c r="AU93" t="s">
        <v>3</v>
      </c>
      <c r="AV93">
        <v>0</v>
      </c>
      <c r="AW93">
        <v>2</v>
      </c>
      <c r="AX93">
        <v>145041170</v>
      </c>
      <c r="AY93">
        <v>1</v>
      </c>
      <c r="AZ93">
        <v>0</v>
      </c>
      <c r="BA93">
        <v>100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ROUND(Y93*Source!I63,9)</f>
        <v>7.6885380000000003</v>
      </c>
      <c r="CY93">
        <f t="shared" si="40"/>
        <v>17.8</v>
      </c>
      <c r="CZ93">
        <f t="shared" si="41"/>
        <v>2</v>
      </c>
      <c r="DA93">
        <f t="shared" si="42"/>
        <v>8.9</v>
      </c>
      <c r="DB93">
        <f t="shared" si="43"/>
        <v>8.58</v>
      </c>
      <c r="DC93">
        <f t="shared" si="44"/>
        <v>0</v>
      </c>
      <c r="DD93" t="s">
        <v>3</v>
      </c>
      <c r="DE93" t="s">
        <v>3</v>
      </c>
      <c r="DF93">
        <f t="shared" si="45"/>
        <v>136.86000000000001</v>
      </c>
      <c r="DG93">
        <f t="shared" si="46"/>
        <v>0</v>
      </c>
      <c r="DH93">
        <f t="shared" si="47"/>
        <v>0</v>
      </c>
      <c r="DI93">
        <f t="shared" si="38"/>
        <v>0</v>
      </c>
      <c r="DJ93">
        <f t="shared" si="48"/>
        <v>136.86000000000001</v>
      </c>
      <c r="DK93">
        <v>0</v>
      </c>
      <c r="DL93" t="s">
        <v>3</v>
      </c>
      <c r="DM93">
        <v>0</v>
      </c>
      <c r="DN93" t="s">
        <v>3</v>
      </c>
      <c r="DO93">
        <v>0</v>
      </c>
    </row>
    <row r="94" spans="1:119" x14ac:dyDescent="0.2">
      <c r="A94">
        <f>ROW(Source!A63)</f>
        <v>63</v>
      </c>
      <c r="B94">
        <v>145026783</v>
      </c>
      <c r="C94">
        <v>145041144</v>
      </c>
      <c r="D94">
        <v>140775475</v>
      </c>
      <c r="E94">
        <v>1</v>
      </c>
      <c r="F94">
        <v>1</v>
      </c>
      <c r="G94">
        <v>1</v>
      </c>
      <c r="H94">
        <v>3</v>
      </c>
      <c r="I94" t="s">
        <v>654</v>
      </c>
      <c r="J94" t="s">
        <v>655</v>
      </c>
      <c r="K94" t="s">
        <v>656</v>
      </c>
      <c r="L94">
        <v>1425</v>
      </c>
      <c r="N94">
        <v>1013</v>
      </c>
      <c r="O94" t="s">
        <v>21</v>
      </c>
      <c r="P94" t="s">
        <v>21</v>
      </c>
      <c r="Q94">
        <v>1</v>
      </c>
      <c r="W94">
        <v>0</v>
      </c>
      <c r="X94">
        <v>-1809508750</v>
      </c>
      <c r="Y94">
        <f t="shared" si="39"/>
        <v>16.670000000000002</v>
      </c>
      <c r="AA94">
        <v>17.8</v>
      </c>
      <c r="AB94">
        <v>0</v>
      </c>
      <c r="AC94">
        <v>0</v>
      </c>
      <c r="AD94">
        <v>0</v>
      </c>
      <c r="AE94">
        <v>2</v>
      </c>
      <c r="AF94">
        <v>0</v>
      </c>
      <c r="AG94">
        <v>0</v>
      </c>
      <c r="AH94">
        <v>0</v>
      </c>
      <c r="AI94">
        <v>8.9</v>
      </c>
      <c r="AJ94">
        <v>1</v>
      </c>
      <c r="AK94">
        <v>1</v>
      </c>
      <c r="AL94">
        <v>1</v>
      </c>
      <c r="AM94">
        <v>4</v>
      </c>
      <c r="AN94">
        <v>0</v>
      </c>
      <c r="AO94">
        <v>1</v>
      </c>
      <c r="AP94">
        <v>0</v>
      </c>
      <c r="AQ94">
        <v>0</v>
      </c>
      <c r="AR94">
        <v>0</v>
      </c>
      <c r="AS94" t="s">
        <v>3</v>
      </c>
      <c r="AT94">
        <v>16.670000000000002</v>
      </c>
      <c r="AU94" t="s">
        <v>3</v>
      </c>
      <c r="AV94">
        <v>0</v>
      </c>
      <c r="AW94">
        <v>2</v>
      </c>
      <c r="AX94">
        <v>145041171</v>
      </c>
      <c r="AY94">
        <v>1</v>
      </c>
      <c r="AZ94">
        <v>0</v>
      </c>
      <c r="BA94">
        <v>101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ROUND(Y94*Source!I63,9)</f>
        <v>29.875973999999999</v>
      </c>
      <c r="CY94">
        <f t="shared" si="40"/>
        <v>17.8</v>
      </c>
      <c r="CZ94">
        <f t="shared" si="41"/>
        <v>2</v>
      </c>
      <c r="DA94">
        <f t="shared" si="42"/>
        <v>8.9</v>
      </c>
      <c r="DB94">
        <f t="shared" si="43"/>
        <v>33.340000000000003</v>
      </c>
      <c r="DC94">
        <f t="shared" si="44"/>
        <v>0</v>
      </c>
      <c r="DD94" t="s">
        <v>3</v>
      </c>
      <c r="DE94" t="s">
        <v>3</v>
      </c>
      <c r="DF94">
        <f t="shared" si="45"/>
        <v>531.79</v>
      </c>
      <c r="DG94">
        <f t="shared" si="46"/>
        <v>0</v>
      </c>
      <c r="DH94">
        <f t="shared" si="47"/>
        <v>0</v>
      </c>
      <c r="DI94">
        <f t="shared" si="38"/>
        <v>0</v>
      </c>
      <c r="DJ94">
        <f t="shared" si="48"/>
        <v>531.79</v>
      </c>
      <c r="DK94">
        <v>0</v>
      </c>
      <c r="DL94" t="s">
        <v>3</v>
      </c>
      <c r="DM94">
        <v>0</v>
      </c>
      <c r="DN94" t="s">
        <v>3</v>
      </c>
      <c r="DO94">
        <v>0</v>
      </c>
    </row>
    <row r="95" spans="1:119" x14ac:dyDescent="0.2">
      <c r="A95">
        <f>ROW(Source!A63)</f>
        <v>63</v>
      </c>
      <c r="B95">
        <v>145026783</v>
      </c>
      <c r="C95">
        <v>145041144</v>
      </c>
      <c r="D95">
        <v>140789464</v>
      </c>
      <c r="E95">
        <v>1</v>
      </c>
      <c r="F95">
        <v>1</v>
      </c>
      <c r="G95">
        <v>1</v>
      </c>
      <c r="H95">
        <v>3</v>
      </c>
      <c r="I95" t="s">
        <v>189</v>
      </c>
      <c r="J95" t="s">
        <v>192</v>
      </c>
      <c r="K95" t="s">
        <v>190</v>
      </c>
      <c r="L95">
        <v>1301</v>
      </c>
      <c r="N95">
        <v>1003</v>
      </c>
      <c r="O95" t="s">
        <v>191</v>
      </c>
      <c r="P95" t="s">
        <v>191</v>
      </c>
      <c r="Q95">
        <v>1</v>
      </c>
      <c r="W95">
        <v>1</v>
      </c>
      <c r="X95">
        <v>711507403</v>
      </c>
      <c r="Y95">
        <f t="shared" si="39"/>
        <v>-80.95</v>
      </c>
      <c r="AA95">
        <v>35.6</v>
      </c>
      <c r="AB95">
        <v>0</v>
      </c>
      <c r="AC95">
        <v>0</v>
      </c>
      <c r="AD95">
        <v>0</v>
      </c>
      <c r="AE95">
        <v>4</v>
      </c>
      <c r="AF95">
        <v>0</v>
      </c>
      <c r="AG95">
        <v>0</v>
      </c>
      <c r="AH95">
        <v>0</v>
      </c>
      <c r="AI95">
        <v>8.9</v>
      </c>
      <c r="AJ95">
        <v>1</v>
      </c>
      <c r="AK95">
        <v>1</v>
      </c>
      <c r="AL95">
        <v>1</v>
      </c>
      <c r="AM95">
        <v>4</v>
      </c>
      <c r="AN95">
        <v>0</v>
      </c>
      <c r="AO95">
        <v>1</v>
      </c>
      <c r="AP95">
        <v>0</v>
      </c>
      <c r="AQ95">
        <v>0</v>
      </c>
      <c r="AR95">
        <v>0</v>
      </c>
      <c r="AS95" t="s">
        <v>3</v>
      </c>
      <c r="AT95">
        <v>-80.95</v>
      </c>
      <c r="AU95" t="s">
        <v>3</v>
      </c>
      <c r="AV95">
        <v>0</v>
      </c>
      <c r="AW95">
        <v>2</v>
      </c>
      <c r="AX95">
        <v>145041172</v>
      </c>
      <c r="AY95">
        <v>1</v>
      </c>
      <c r="AZ95">
        <v>6144</v>
      </c>
      <c r="BA95">
        <v>102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ROUND(Y95*Source!I63,9)</f>
        <v>-145.07858999999999</v>
      </c>
      <c r="CY95">
        <f t="shared" si="40"/>
        <v>35.6</v>
      </c>
      <c r="CZ95">
        <f t="shared" si="41"/>
        <v>4</v>
      </c>
      <c r="DA95">
        <f t="shared" si="42"/>
        <v>8.9</v>
      </c>
      <c r="DB95">
        <f t="shared" si="43"/>
        <v>-323.8</v>
      </c>
      <c r="DC95">
        <f t="shared" si="44"/>
        <v>0</v>
      </c>
      <c r="DD95" t="s">
        <v>3</v>
      </c>
      <c r="DE95" t="s">
        <v>3</v>
      </c>
      <c r="DF95">
        <f t="shared" si="45"/>
        <v>-5164.8</v>
      </c>
      <c r="DG95">
        <f t="shared" si="46"/>
        <v>0</v>
      </c>
      <c r="DH95">
        <f t="shared" si="47"/>
        <v>0</v>
      </c>
      <c r="DI95">
        <f t="shared" si="38"/>
        <v>0</v>
      </c>
      <c r="DJ95">
        <f t="shared" si="48"/>
        <v>-5164.8</v>
      </c>
      <c r="DK95">
        <v>0</v>
      </c>
      <c r="DL95" t="s">
        <v>3</v>
      </c>
      <c r="DM95">
        <v>0</v>
      </c>
      <c r="DN95" t="s">
        <v>3</v>
      </c>
      <c r="DO95">
        <v>0</v>
      </c>
    </row>
    <row r="96" spans="1:119" x14ac:dyDescent="0.2">
      <c r="A96">
        <f>ROW(Source!A63)</f>
        <v>63</v>
      </c>
      <c r="B96">
        <v>145026783</v>
      </c>
      <c r="C96">
        <v>145041144</v>
      </c>
      <c r="D96">
        <v>140789482</v>
      </c>
      <c r="E96">
        <v>1</v>
      </c>
      <c r="F96">
        <v>1</v>
      </c>
      <c r="G96">
        <v>1</v>
      </c>
      <c r="H96">
        <v>3</v>
      </c>
      <c r="I96" t="s">
        <v>194</v>
      </c>
      <c r="J96" t="s">
        <v>196</v>
      </c>
      <c r="K96" t="s">
        <v>195</v>
      </c>
      <c r="L96">
        <v>1301</v>
      </c>
      <c r="N96">
        <v>1003</v>
      </c>
      <c r="O96" t="s">
        <v>191</v>
      </c>
      <c r="P96" t="s">
        <v>191</v>
      </c>
      <c r="Q96">
        <v>1</v>
      </c>
      <c r="W96">
        <v>1</v>
      </c>
      <c r="X96">
        <v>321674796</v>
      </c>
      <c r="Y96">
        <f t="shared" si="39"/>
        <v>-171.83</v>
      </c>
      <c r="AA96">
        <v>48.95</v>
      </c>
      <c r="AB96">
        <v>0</v>
      </c>
      <c r="AC96">
        <v>0</v>
      </c>
      <c r="AD96">
        <v>0</v>
      </c>
      <c r="AE96">
        <v>5.5</v>
      </c>
      <c r="AF96">
        <v>0</v>
      </c>
      <c r="AG96">
        <v>0</v>
      </c>
      <c r="AH96">
        <v>0</v>
      </c>
      <c r="AI96">
        <v>8.9</v>
      </c>
      <c r="AJ96">
        <v>1</v>
      </c>
      <c r="AK96">
        <v>1</v>
      </c>
      <c r="AL96">
        <v>1</v>
      </c>
      <c r="AM96">
        <v>4</v>
      </c>
      <c r="AN96">
        <v>0</v>
      </c>
      <c r="AO96">
        <v>1</v>
      </c>
      <c r="AP96">
        <v>0</v>
      </c>
      <c r="AQ96">
        <v>0</v>
      </c>
      <c r="AR96">
        <v>0</v>
      </c>
      <c r="AS96" t="s">
        <v>3</v>
      </c>
      <c r="AT96">
        <v>-171.83</v>
      </c>
      <c r="AU96" t="s">
        <v>3</v>
      </c>
      <c r="AV96">
        <v>0</v>
      </c>
      <c r="AW96">
        <v>2</v>
      </c>
      <c r="AX96">
        <v>145041173</v>
      </c>
      <c r="AY96">
        <v>1</v>
      </c>
      <c r="AZ96">
        <v>6144</v>
      </c>
      <c r="BA96">
        <v>103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ROUND(Y96*Source!I63,9)</f>
        <v>-307.95372600000002</v>
      </c>
      <c r="CY96">
        <f t="shared" si="40"/>
        <v>48.95</v>
      </c>
      <c r="CZ96">
        <f t="shared" si="41"/>
        <v>5.5</v>
      </c>
      <c r="DA96">
        <f t="shared" si="42"/>
        <v>8.9</v>
      </c>
      <c r="DB96">
        <f t="shared" si="43"/>
        <v>-945.07</v>
      </c>
      <c r="DC96">
        <f t="shared" si="44"/>
        <v>0</v>
      </c>
      <c r="DD96" t="s">
        <v>3</v>
      </c>
      <c r="DE96" t="s">
        <v>3</v>
      </c>
      <c r="DF96">
        <f t="shared" si="45"/>
        <v>-15074.33</v>
      </c>
      <c r="DG96">
        <f t="shared" si="46"/>
        <v>0</v>
      </c>
      <c r="DH96">
        <f t="shared" si="47"/>
        <v>0</v>
      </c>
      <c r="DI96">
        <f t="shared" si="38"/>
        <v>0</v>
      </c>
      <c r="DJ96">
        <f t="shared" si="48"/>
        <v>-15074.33</v>
      </c>
      <c r="DK96">
        <v>0</v>
      </c>
      <c r="DL96" t="s">
        <v>3</v>
      </c>
      <c r="DM96">
        <v>0</v>
      </c>
      <c r="DN96" t="s">
        <v>3</v>
      </c>
      <c r="DO96">
        <v>0</v>
      </c>
    </row>
    <row r="97" spans="1:119" x14ac:dyDescent="0.2">
      <c r="A97">
        <f>ROW(Source!A63)</f>
        <v>63</v>
      </c>
      <c r="B97">
        <v>145026783</v>
      </c>
      <c r="C97">
        <v>145041144</v>
      </c>
      <c r="D97">
        <v>140789572</v>
      </c>
      <c r="E97">
        <v>1</v>
      </c>
      <c r="F97">
        <v>1</v>
      </c>
      <c r="G97">
        <v>1</v>
      </c>
      <c r="H97">
        <v>3</v>
      </c>
      <c r="I97" t="s">
        <v>198</v>
      </c>
      <c r="J97" t="s">
        <v>200</v>
      </c>
      <c r="K97" t="s">
        <v>199</v>
      </c>
      <c r="L97">
        <v>1425</v>
      </c>
      <c r="N97">
        <v>1013</v>
      </c>
      <c r="O97" t="s">
        <v>21</v>
      </c>
      <c r="P97" t="s">
        <v>21</v>
      </c>
      <c r="Q97">
        <v>1</v>
      </c>
      <c r="W97">
        <v>1</v>
      </c>
      <c r="X97">
        <v>1298287157</v>
      </c>
      <c r="Y97">
        <f t="shared" si="39"/>
        <v>-2.14</v>
      </c>
      <c r="AA97">
        <v>605.20000000000005</v>
      </c>
      <c r="AB97">
        <v>0</v>
      </c>
      <c r="AC97">
        <v>0</v>
      </c>
      <c r="AD97">
        <v>0</v>
      </c>
      <c r="AE97">
        <v>68</v>
      </c>
      <c r="AF97">
        <v>0</v>
      </c>
      <c r="AG97">
        <v>0</v>
      </c>
      <c r="AH97">
        <v>0</v>
      </c>
      <c r="AI97">
        <v>8.9</v>
      </c>
      <c r="AJ97">
        <v>1</v>
      </c>
      <c r="AK97">
        <v>1</v>
      </c>
      <c r="AL97">
        <v>1</v>
      </c>
      <c r="AM97">
        <v>4</v>
      </c>
      <c r="AN97">
        <v>0</v>
      </c>
      <c r="AO97">
        <v>1</v>
      </c>
      <c r="AP97">
        <v>0</v>
      </c>
      <c r="AQ97">
        <v>0</v>
      </c>
      <c r="AR97">
        <v>0</v>
      </c>
      <c r="AS97" t="s">
        <v>3</v>
      </c>
      <c r="AT97">
        <v>-2.14</v>
      </c>
      <c r="AU97" t="s">
        <v>3</v>
      </c>
      <c r="AV97">
        <v>0</v>
      </c>
      <c r="AW97">
        <v>2</v>
      </c>
      <c r="AX97">
        <v>145041174</v>
      </c>
      <c r="AY97">
        <v>1</v>
      </c>
      <c r="AZ97">
        <v>6144</v>
      </c>
      <c r="BA97">
        <v>104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ROUND(Y97*Source!I63,9)</f>
        <v>-3.8353079999999999</v>
      </c>
      <c r="CY97">
        <f t="shared" si="40"/>
        <v>605.20000000000005</v>
      </c>
      <c r="CZ97">
        <f t="shared" si="41"/>
        <v>68</v>
      </c>
      <c r="DA97">
        <f t="shared" si="42"/>
        <v>8.9</v>
      </c>
      <c r="DB97">
        <f t="shared" si="43"/>
        <v>-145.52000000000001</v>
      </c>
      <c r="DC97">
        <f t="shared" si="44"/>
        <v>0</v>
      </c>
      <c r="DD97" t="s">
        <v>3</v>
      </c>
      <c r="DE97" t="s">
        <v>3</v>
      </c>
      <c r="DF97">
        <f t="shared" si="45"/>
        <v>-2321.13</v>
      </c>
      <c r="DG97">
        <f t="shared" si="46"/>
        <v>0</v>
      </c>
      <c r="DH97">
        <f t="shared" si="47"/>
        <v>0</v>
      </c>
      <c r="DI97">
        <f t="shared" si="38"/>
        <v>0</v>
      </c>
      <c r="DJ97">
        <f t="shared" si="48"/>
        <v>-2321.13</v>
      </c>
      <c r="DK97">
        <v>0</v>
      </c>
      <c r="DL97" t="s">
        <v>3</v>
      </c>
      <c r="DM97">
        <v>0</v>
      </c>
      <c r="DN97" t="s">
        <v>3</v>
      </c>
      <c r="DO97">
        <v>0</v>
      </c>
    </row>
    <row r="98" spans="1:119" x14ac:dyDescent="0.2">
      <c r="A98">
        <f>ROW(Source!A63)</f>
        <v>63</v>
      </c>
      <c r="B98">
        <v>145026783</v>
      </c>
      <c r="C98">
        <v>145041144</v>
      </c>
      <c r="D98">
        <v>140789614</v>
      </c>
      <c r="E98">
        <v>1</v>
      </c>
      <c r="F98">
        <v>1</v>
      </c>
      <c r="G98">
        <v>1</v>
      </c>
      <c r="H98">
        <v>3</v>
      </c>
      <c r="I98" t="s">
        <v>202</v>
      </c>
      <c r="J98" t="s">
        <v>204</v>
      </c>
      <c r="K98" t="s">
        <v>203</v>
      </c>
      <c r="L98">
        <v>1425</v>
      </c>
      <c r="N98">
        <v>1013</v>
      </c>
      <c r="O98" t="s">
        <v>21</v>
      </c>
      <c r="P98" t="s">
        <v>21</v>
      </c>
      <c r="Q98">
        <v>1</v>
      </c>
      <c r="W98">
        <v>1</v>
      </c>
      <c r="X98">
        <v>547042325</v>
      </c>
      <c r="Y98">
        <f t="shared" si="39"/>
        <v>-0.36</v>
      </c>
      <c r="AA98">
        <v>1424</v>
      </c>
      <c r="AB98">
        <v>0</v>
      </c>
      <c r="AC98">
        <v>0</v>
      </c>
      <c r="AD98">
        <v>0</v>
      </c>
      <c r="AE98">
        <v>160</v>
      </c>
      <c r="AF98">
        <v>0</v>
      </c>
      <c r="AG98">
        <v>0</v>
      </c>
      <c r="AH98">
        <v>0</v>
      </c>
      <c r="AI98">
        <v>8.9</v>
      </c>
      <c r="AJ98">
        <v>1</v>
      </c>
      <c r="AK98">
        <v>1</v>
      </c>
      <c r="AL98">
        <v>1</v>
      </c>
      <c r="AM98">
        <v>4</v>
      </c>
      <c r="AN98">
        <v>0</v>
      </c>
      <c r="AO98">
        <v>1</v>
      </c>
      <c r="AP98">
        <v>0</v>
      </c>
      <c r="AQ98">
        <v>0</v>
      </c>
      <c r="AR98">
        <v>0</v>
      </c>
      <c r="AS98" t="s">
        <v>3</v>
      </c>
      <c r="AT98">
        <v>-0.36</v>
      </c>
      <c r="AU98" t="s">
        <v>3</v>
      </c>
      <c r="AV98">
        <v>0</v>
      </c>
      <c r="AW98">
        <v>2</v>
      </c>
      <c r="AX98">
        <v>145041175</v>
      </c>
      <c r="AY98">
        <v>1</v>
      </c>
      <c r="AZ98">
        <v>6144</v>
      </c>
      <c r="BA98">
        <v>105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ROUND(Y98*Source!I63,9)</f>
        <v>-0.64519199999999999</v>
      </c>
      <c r="CY98">
        <f t="shared" si="40"/>
        <v>1424</v>
      </c>
      <c r="CZ98">
        <f t="shared" si="41"/>
        <v>160</v>
      </c>
      <c r="DA98">
        <f t="shared" si="42"/>
        <v>8.9</v>
      </c>
      <c r="DB98">
        <f t="shared" si="43"/>
        <v>-57.6</v>
      </c>
      <c r="DC98">
        <f t="shared" si="44"/>
        <v>0</v>
      </c>
      <c r="DD98" t="s">
        <v>3</v>
      </c>
      <c r="DE98" t="s">
        <v>3</v>
      </c>
      <c r="DF98">
        <f t="shared" si="45"/>
        <v>-918.75</v>
      </c>
      <c r="DG98">
        <f t="shared" si="46"/>
        <v>0</v>
      </c>
      <c r="DH98">
        <f t="shared" si="47"/>
        <v>0</v>
      </c>
      <c r="DI98">
        <f t="shared" si="38"/>
        <v>0</v>
      </c>
      <c r="DJ98">
        <f t="shared" si="48"/>
        <v>-918.75</v>
      </c>
      <c r="DK98">
        <v>0</v>
      </c>
      <c r="DL98" t="s">
        <v>3</v>
      </c>
      <c r="DM98">
        <v>0</v>
      </c>
      <c r="DN98" t="s">
        <v>3</v>
      </c>
      <c r="DO98">
        <v>0</v>
      </c>
    </row>
    <row r="99" spans="1:119" x14ac:dyDescent="0.2">
      <c r="A99">
        <f>ROW(Source!A63)</f>
        <v>63</v>
      </c>
      <c r="B99">
        <v>145026783</v>
      </c>
      <c r="C99">
        <v>145041144</v>
      </c>
      <c r="D99">
        <v>140804066</v>
      </c>
      <c r="E99">
        <v>1</v>
      </c>
      <c r="F99">
        <v>1</v>
      </c>
      <c r="G99">
        <v>1</v>
      </c>
      <c r="H99">
        <v>3</v>
      </c>
      <c r="I99" t="s">
        <v>657</v>
      </c>
      <c r="J99" t="s">
        <v>658</v>
      </c>
      <c r="K99" t="s">
        <v>659</v>
      </c>
      <c r="L99">
        <v>1346</v>
      </c>
      <c r="N99">
        <v>1009</v>
      </c>
      <c r="O99" t="s">
        <v>154</v>
      </c>
      <c r="P99" t="s">
        <v>154</v>
      </c>
      <c r="Q99">
        <v>1</v>
      </c>
      <c r="W99">
        <v>0</v>
      </c>
      <c r="X99">
        <v>-1209026283</v>
      </c>
      <c r="Y99">
        <f t="shared" si="39"/>
        <v>0.56999999999999995</v>
      </c>
      <c r="AA99">
        <v>116.41</v>
      </c>
      <c r="AB99">
        <v>0</v>
      </c>
      <c r="AC99">
        <v>0</v>
      </c>
      <c r="AD99">
        <v>0</v>
      </c>
      <c r="AE99">
        <v>13.08</v>
      </c>
      <c r="AF99">
        <v>0</v>
      </c>
      <c r="AG99">
        <v>0</v>
      </c>
      <c r="AH99">
        <v>0</v>
      </c>
      <c r="AI99">
        <v>8.9</v>
      </c>
      <c r="AJ99">
        <v>1</v>
      </c>
      <c r="AK99">
        <v>1</v>
      </c>
      <c r="AL99">
        <v>1</v>
      </c>
      <c r="AM99">
        <v>4</v>
      </c>
      <c r="AN99">
        <v>0</v>
      </c>
      <c r="AO99">
        <v>1</v>
      </c>
      <c r="AP99">
        <v>0</v>
      </c>
      <c r="AQ99">
        <v>0</v>
      </c>
      <c r="AR99">
        <v>0</v>
      </c>
      <c r="AS99" t="s">
        <v>3</v>
      </c>
      <c r="AT99">
        <v>0.56999999999999995</v>
      </c>
      <c r="AU99" t="s">
        <v>3</v>
      </c>
      <c r="AV99">
        <v>0</v>
      </c>
      <c r="AW99">
        <v>2</v>
      </c>
      <c r="AX99">
        <v>145041176</v>
      </c>
      <c r="AY99">
        <v>1</v>
      </c>
      <c r="AZ99">
        <v>0</v>
      </c>
      <c r="BA99">
        <v>106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ROUND(Y99*Source!I63,9)</f>
        <v>1.0215540000000001</v>
      </c>
      <c r="CY99">
        <f t="shared" si="40"/>
        <v>116.41</v>
      </c>
      <c r="CZ99">
        <f t="shared" si="41"/>
        <v>13.08</v>
      </c>
      <c r="DA99">
        <f t="shared" si="42"/>
        <v>8.9</v>
      </c>
      <c r="DB99">
        <f t="shared" si="43"/>
        <v>7.46</v>
      </c>
      <c r="DC99">
        <f t="shared" si="44"/>
        <v>0</v>
      </c>
      <c r="DD99" t="s">
        <v>3</v>
      </c>
      <c r="DE99" t="s">
        <v>3</v>
      </c>
      <c r="DF99">
        <f t="shared" si="45"/>
        <v>118.92</v>
      </c>
      <c r="DG99">
        <f t="shared" si="46"/>
        <v>0</v>
      </c>
      <c r="DH99">
        <f t="shared" si="47"/>
        <v>0</v>
      </c>
      <c r="DI99">
        <f t="shared" si="38"/>
        <v>0</v>
      </c>
      <c r="DJ99">
        <f t="shared" si="48"/>
        <v>118.92</v>
      </c>
      <c r="DK99">
        <v>0</v>
      </c>
      <c r="DL99" t="s">
        <v>3</v>
      </c>
      <c r="DM99">
        <v>0</v>
      </c>
      <c r="DN99" t="s">
        <v>3</v>
      </c>
      <c r="DO99">
        <v>0</v>
      </c>
    </row>
    <row r="100" spans="1:119" x14ac:dyDescent="0.2">
      <c r="A100">
        <f>ROW(Source!A63)</f>
        <v>63</v>
      </c>
      <c r="B100">
        <v>145026783</v>
      </c>
      <c r="C100">
        <v>145041144</v>
      </c>
      <c r="D100">
        <v>140805258</v>
      </c>
      <c r="E100">
        <v>1</v>
      </c>
      <c r="F100">
        <v>1</v>
      </c>
      <c r="G100">
        <v>1</v>
      </c>
      <c r="H100">
        <v>3</v>
      </c>
      <c r="I100" t="s">
        <v>660</v>
      </c>
      <c r="J100" t="s">
        <v>661</v>
      </c>
      <c r="K100" t="s">
        <v>662</v>
      </c>
      <c r="L100">
        <v>1346</v>
      </c>
      <c r="N100">
        <v>1009</v>
      </c>
      <c r="O100" t="s">
        <v>154</v>
      </c>
      <c r="P100" t="s">
        <v>154</v>
      </c>
      <c r="Q100">
        <v>1</v>
      </c>
      <c r="W100">
        <v>0</v>
      </c>
      <c r="X100">
        <v>1195607535</v>
      </c>
      <c r="Y100">
        <f t="shared" si="39"/>
        <v>41.4</v>
      </c>
      <c r="AA100">
        <v>24.03</v>
      </c>
      <c r="AB100">
        <v>0</v>
      </c>
      <c r="AC100">
        <v>0</v>
      </c>
      <c r="AD100">
        <v>0</v>
      </c>
      <c r="AE100">
        <v>2.7</v>
      </c>
      <c r="AF100">
        <v>0</v>
      </c>
      <c r="AG100">
        <v>0</v>
      </c>
      <c r="AH100">
        <v>0</v>
      </c>
      <c r="AI100">
        <v>8.9</v>
      </c>
      <c r="AJ100">
        <v>1</v>
      </c>
      <c r="AK100">
        <v>1</v>
      </c>
      <c r="AL100">
        <v>1</v>
      </c>
      <c r="AM100">
        <v>4</v>
      </c>
      <c r="AN100">
        <v>0</v>
      </c>
      <c r="AO100">
        <v>1</v>
      </c>
      <c r="AP100">
        <v>0</v>
      </c>
      <c r="AQ100">
        <v>0</v>
      </c>
      <c r="AR100">
        <v>0</v>
      </c>
      <c r="AS100" t="s">
        <v>3</v>
      </c>
      <c r="AT100">
        <v>41.4</v>
      </c>
      <c r="AU100" t="s">
        <v>3</v>
      </c>
      <c r="AV100">
        <v>0</v>
      </c>
      <c r="AW100">
        <v>2</v>
      </c>
      <c r="AX100">
        <v>145041177</v>
      </c>
      <c r="AY100">
        <v>1</v>
      </c>
      <c r="AZ100">
        <v>0</v>
      </c>
      <c r="BA100">
        <v>107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ROUND(Y100*Source!I63,9)</f>
        <v>74.19708</v>
      </c>
      <c r="CY100">
        <f t="shared" si="40"/>
        <v>24.03</v>
      </c>
      <c r="CZ100">
        <f t="shared" si="41"/>
        <v>2.7</v>
      </c>
      <c r="DA100">
        <f t="shared" si="42"/>
        <v>8.9</v>
      </c>
      <c r="DB100">
        <f t="shared" si="43"/>
        <v>111.78</v>
      </c>
      <c r="DC100">
        <f t="shared" si="44"/>
        <v>0</v>
      </c>
      <c r="DD100" t="s">
        <v>3</v>
      </c>
      <c r="DE100" t="s">
        <v>3</v>
      </c>
      <c r="DF100">
        <f t="shared" si="45"/>
        <v>1782.96</v>
      </c>
      <c r="DG100">
        <f t="shared" si="46"/>
        <v>0</v>
      </c>
      <c r="DH100">
        <f t="shared" si="47"/>
        <v>0</v>
      </c>
      <c r="DI100">
        <f t="shared" si="38"/>
        <v>0</v>
      </c>
      <c r="DJ100">
        <f t="shared" si="48"/>
        <v>1782.96</v>
      </c>
      <c r="DK100">
        <v>0</v>
      </c>
      <c r="DL100" t="s">
        <v>3</v>
      </c>
      <c r="DM100">
        <v>0</v>
      </c>
      <c r="DN100" t="s">
        <v>3</v>
      </c>
      <c r="DO100">
        <v>0</v>
      </c>
    </row>
    <row r="101" spans="1:119" x14ac:dyDescent="0.2">
      <c r="A101">
        <f>ROW(Source!A73)</f>
        <v>73</v>
      </c>
      <c r="B101">
        <v>145026783</v>
      </c>
      <c r="C101">
        <v>145039089</v>
      </c>
      <c r="D101">
        <v>140760008</v>
      </c>
      <c r="E101">
        <v>70</v>
      </c>
      <c r="F101">
        <v>1</v>
      </c>
      <c r="G101">
        <v>1</v>
      </c>
      <c r="H101">
        <v>1</v>
      </c>
      <c r="I101" t="s">
        <v>663</v>
      </c>
      <c r="J101" t="s">
        <v>3</v>
      </c>
      <c r="K101" t="s">
        <v>664</v>
      </c>
      <c r="L101">
        <v>1191</v>
      </c>
      <c r="N101">
        <v>1013</v>
      </c>
      <c r="O101" t="s">
        <v>608</v>
      </c>
      <c r="P101" t="s">
        <v>608</v>
      </c>
      <c r="Q101">
        <v>1</v>
      </c>
      <c r="W101">
        <v>0</v>
      </c>
      <c r="X101">
        <v>-1810713292</v>
      </c>
      <c r="Y101">
        <f>(AT101*1.15)</f>
        <v>4.2435</v>
      </c>
      <c r="AA101">
        <v>0</v>
      </c>
      <c r="AB101">
        <v>0</v>
      </c>
      <c r="AC101">
        <v>0</v>
      </c>
      <c r="AD101">
        <v>293.85000000000002</v>
      </c>
      <c r="AE101">
        <v>0</v>
      </c>
      <c r="AF101">
        <v>0</v>
      </c>
      <c r="AG101">
        <v>0</v>
      </c>
      <c r="AH101">
        <v>9.18</v>
      </c>
      <c r="AI101">
        <v>1</v>
      </c>
      <c r="AJ101">
        <v>1</v>
      </c>
      <c r="AK101">
        <v>1</v>
      </c>
      <c r="AL101">
        <v>32.01</v>
      </c>
      <c r="AM101">
        <v>4</v>
      </c>
      <c r="AN101">
        <v>0</v>
      </c>
      <c r="AO101">
        <v>1</v>
      </c>
      <c r="AP101">
        <v>1</v>
      </c>
      <c r="AQ101">
        <v>0</v>
      </c>
      <c r="AR101">
        <v>0</v>
      </c>
      <c r="AS101" t="s">
        <v>3</v>
      </c>
      <c r="AT101">
        <v>3.69</v>
      </c>
      <c r="AU101" t="s">
        <v>149</v>
      </c>
      <c r="AV101">
        <v>1</v>
      </c>
      <c r="AW101">
        <v>2</v>
      </c>
      <c r="AX101">
        <v>145039107</v>
      </c>
      <c r="AY101">
        <v>1</v>
      </c>
      <c r="AZ101">
        <v>0</v>
      </c>
      <c r="BA101">
        <v>108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ROUND(Y101*Source!I73,9)</f>
        <v>8.0864136000000002</v>
      </c>
      <c r="CY101">
        <f>AD101</f>
        <v>293.85000000000002</v>
      </c>
      <c r="CZ101">
        <f>AH101</f>
        <v>9.18</v>
      </c>
      <c r="DA101">
        <f>AL101</f>
        <v>32.01</v>
      </c>
      <c r="DB101">
        <f>ROUND((ROUND(AT101*CZ101,2)*1.15),2)</f>
        <v>38.950000000000003</v>
      </c>
      <c r="DC101">
        <f>ROUND((ROUND(AT101*AG101,2)*1.15),2)</f>
        <v>0</v>
      </c>
      <c r="DD101" t="s">
        <v>3</v>
      </c>
      <c r="DE101" t="s">
        <v>3</v>
      </c>
      <c r="DF101">
        <f>ROUND(ROUND(AE101,2)*CX101,2)</f>
        <v>0</v>
      </c>
      <c r="DG101">
        <f t="shared" si="46"/>
        <v>0</v>
      </c>
      <c r="DH101">
        <f t="shared" si="47"/>
        <v>0</v>
      </c>
      <c r="DI101">
        <f>ROUND(ROUND(AH101*AL101,2)*CX101,2)</f>
        <v>2376.19</v>
      </c>
      <c r="DJ101">
        <f>DI101</f>
        <v>2376.19</v>
      </c>
      <c r="DK101">
        <v>0</v>
      </c>
      <c r="DL101" t="s">
        <v>3</v>
      </c>
      <c r="DM101">
        <v>0</v>
      </c>
      <c r="DN101" t="s">
        <v>3</v>
      </c>
      <c r="DO101">
        <v>0</v>
      </c>
    </row>
    <row r="102" spans="1:119" x14ac:dyDescent="0.2">
      <c r="A102">
        <f>ROW(Source!A73)</f>
        <v>73</v>
      </c>
      <c r="B102">
        <v>145026783</v>
      </c>
      <c r="C102">
        <v>145039089</v>
      </c>
      <c r="D102">
        <v>140760225</v>
      </c>
      <c r="E102">
        <v>70</v>
      </c>
      <c r="F102">
        <v>1</v>
      </c>
      <c r="G102">
        <v>1</v>
      </c>
      <c r="H102">
        <v>1</v>
      </c>
      <c r="I102" t="s">
        <v>609</v>
      </c>
      <c r="J102" t="s">
        <v>3</v>
      </c>
      <c r="K102" t="s">
        <v>610</v>
      </c>
      <c r="L102">
        <v>1191</v>
      </c>
      <c r="N102">
        <v>1013</v>
      </c>
      <c r="O102" t="s">
        <v>608</v>
      </c>
      <c r="P102" t="s">
        <v>608</v>
      </c>
      <c r="Q102">
        <v>1</v>
      </c>
      <c r="W102">
        <v>0</v>
      </c>
      <c r="X102">
        <v>-1417349443</v>
      </c>
      <c r="Y102">
        <f>(AT102*1.25)</f>
        <v>6.25E-2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1</v>
      </c>
      <c r="AJ102">
        <v>1</v>
      </c>
      <c r="AK102">
        <v>32.01</v>
      </c>
      <c r="AL102">
        <v>1</v>
      </c>
      <c r="AM102">
        <v>4</v>
      </c>
      <c r="AN102">
        <v>0</v>
      </c>
      <c r="AO102">
        <v>1</v>
      </c>
      <c r="AP102">
        <v>1</v>
      </c>
      <c r="AQ102">
        <v>0</v>
      </c>
      <c r="AR102">
        <v>0</v>
      </c>
      <c r="AS102" t="s">
        <v>3</v>
      </c>
      <c r="AT102">
        <v>0.05</v>
      </c>
      <c r="AU102" t="s">
        <v>148</v>
      </c>
      <c r="AV102">
        <v>2</v>
      </c>
      <c r="AW102">
        <v>2</v>
      </c>
      <c r="AX102">
        <v>145039108</v>
      </c>
      <c r="AY102">
        <v>1</v>
      </c>
      <c r="AZ102">
        <v>0</v>
      </c>
      <c r="BA102">
        <v>109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ROUND(Y102*Source!I73,9)</f>
        <v>0.1191</v>
      </c>
      <c r="CY102">
        <f>AD102</f>
        <v>0</v>
      </c>
      <c r="CZ102">
        <f>AH102</f>
        <v>0</v>
      </c>
      <c r="DA102">
        <f>AL102</f>
        <v>1</v>
      </c>
      <c r="DB102">
        <f>ROUND((ROUND(AT102*CZ102,2)*1.25),2)</f>
        <v>0</v>
      </c>
      <c r="DC102">
        <f>ROUND((ROUND(AT102*AG102,2)*1.25),2)</f>
        <v>0</v>
      </c>
      <c r="DD102" t="s">
        <v>3</v>
      </c>
      <c r="DE102" t="s">
        <v>3</v>
      </c>
      <c r="DF102">
        <f>ROUND(ROUND(AE102,2)*CX102,2)</f>
        <v>0</v>
      </c>
      <c r="DG102">
        <f t="shared" si="46"/>
        <v>0</v>
      </c>
      <c r="DH102">
        <f>ROUND(ROUND(AG102*AK102,2)*CX102,2)</f>
        <v>0</v>
      </c>
      <c r="DI102">
        <f t="shared" ref="DI102:DI107" si="49">ROUND(ROUND(AH102,2)*CX102,2)</f>
        <v>0</v>
      </c>
      <c r="DJ102">
        <f>DI102</f>
        <v>0</v>
      </c>
      <c r="DK102">
        <v>0</v>
      </c>
      <c r="DL102" t="s">
        <v>3</v>
      </c>
      <c r="DM102">
        <v>0</v>
      </c>
      <c r="DN102" t="s">
        <v>3</v>
      </c>
      <c r="DO102">
        <v>0</v>
      </c>
    </row>
    <row r="103" spans="1:119" x14ac:dyDescent="0.2">
      <c r="A103">
        <f>ROW(Source!A73)</f>
        <v>73</v>
      </c>
      <c r="B103">
        <v>145026783</v>
      </c>
      <c r="C103">
        <v>145039089</v>
      </c>
      <c r="D103">
        <v>140923143</v>
      </c>
      <c r="E103">
        <v>1</v>
      </c>
      <c r="F103">
        <v>1</v>
      </c>
      <c r="G103">
        <v>1</v>
      </c>
      <c r="H103">
        <v>2</v>
      </c>
      <c r="I103" t="s">
        <v>702</v>
      </c>
      <c r="J103" t="s">
        <v>703</v>
      </c>
      <c r="K103" t="s">
        <v>704</v>
      </c>
      <c r="L103">
        <v>1367</v>
      </c>
      <c r="N103">
        <v>1011</v>
      </c>
      <c r="O103" t="s">
        <v>614</v>
      </c>
      <c r="P103" t="s">
        <v>614</v>
      </c>
      <c r="Q103">
        <v>1</v>
      </c>
      <c r="W103">
        <v>0</v>
      </c>
      <c r="X103">
        <v>961999509</v>
      </c>
      <c r="Y103">
        <f>(AT103*1.25)</f>
        <v>1.2500000000000001E-2</v>
      </c>
      <c r="AA103">
        <v>0</v>
      </c>
      <c r="AB103">
        <v>344.09</v>
      </c>
      <c r="AC103">
        <v>371.32</v>
      </c>
      <c r="AD103">
        <v>0</v>
      </c>
      <c r="AE103">
        <v>0</v>
      </c>
      <c r="AF103">
        <v>27.66</v>
      </c>
      <c r="AG103">
        <v>11.6</v>
      </c>
      <c r="AH103">
        <v>0</v>
      </c>
      <c r="AI103">
        <v>1</v>
      </c>
      <c r="AJ103">
        <v>12.44</v>
      </c>
      <c r="AK103">
        <v>32.01</v>
      </c>
      <c r="AL103">
        <v>1</v>
      </c>
      <c r="AM103">
        <v>4</v>
      </c>
      <c r="AN103">
        <v>0</v>
      </c>
      <c r="AO103">
        <v>1</v>
      </c>
      <c r="AP103">
        <v>1</v>
      </c>
      <c r="AQ103">
        <v>0</v>
      </c>
      <c r="AR103">
        <v>0</v>
      </c>
      <c r="AS103" t="s">
        <v>3</v>
      </c>
      <c r="AT103">
        <v>0.01</v>
      </c>
      <c r="AU103" t="s">
        <v>148</v>
      </c>
      <c r="AV103">
        <v>0</v>
      </c>
      <c r="AW103">
        <v>2</v>
      </c>
      <c r="AX103">
        <v>145039109</v>
      </c>
      <c r="AY103">
        <v>1</v>
      </c>
      <c r="AZ103">
        <v>0</v>
      </c>
      <c r="BA103">
        <v>110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ROUND(Y103*Source!I73,9)</f>
        <v>2.3820000000000001E-2</v>
      </c>
      <c r="CY103">
        <f>AB103</f>
        <v>344.09</v>
      </c>
      <c r="CZ103">
        <f>AF103</f>
        <v>27.66</v>
      </c>
      <c r="DA103">
        <f>AJ103</f>
        <v>12.44</v>
      </c>
      <c r="DB103">
        <f>ROUND((ROUND(AT103*CZ103,2)*1.25),2)</f>
        <v>0.35</v>
      </c>
      <c r="DC103">
        <f>ROUND((ROUND(AT103*AG103,2)*1.25),2)</f>
        <v>0.15</v>
      </c>
      <c r="DD103" t="s">
        <v>3</v>
      </c>
      <c r="DE103" t="s">
        <v>3</v>
      </c>
      <c r="DF103">
        <f>ROUND(ROUND(AE103,2)*CX103,2)</f>
        <v>0</v>
      </c>
      <c r="DG103">
        <f>ROUND(ROUND(AF103*AJ103,2)*CX103,2)</f>
        <v>8.1999999999999993</v>
      </c>
      <c r="DH103">
        <f>ROUND(ROUND(AG103*AK103,2)*CX103,2)</f>
        <v>8.84</v>
      </c>
      <c r="DI103">
        <f t="shared" si="49"/>
        <v>0</v>
      </c>
      <c r="DJ103">
        <f>DG103</f>
        <v>8.1999999999999993</v>
      </c>
      <c r="DK103">
        <v>0</v>
      </c>
      <c r="DL103" t="s">
        <v>3</v>
      </c>
      <c r="DM103">
        <v>0</v>
      </c>
      <c r="DN103" t="s">
        <v>3</v>
      </c>
      <c r="DO103">
        <v>0</v>
      </c>
    </row>
    <row r="104" spans="1:119" x14ac:dyDescent="0.2">
      <c r="A104">
        <f>ROW(Source!A73)</f>
        <v>73</v>
      </c>
      <c r="B104">
        <v>145026783</v>
      </c>
      <c r="C104">
        <v>145039089</v>
      </c>
      <c r="D104">
        <v>140923885</v>
      </c>
      <c r="E104">
        <v>1</v>
      </c>
      <c r="F104">
        <v>1</v>
      </c>
      <c r="G104">
        <v>1</v>
      </c>
      <c r="H104">
        <v>2</v>
      </c>
      <c r="I104" t="s">
        <v>668</v>
      </c>
      <c r="J104" t="s">
        <v>669</v>
      </c>
      <c r="K104" t="s">
        <v>670</v>
      </c>
      <c r="L104">
        <v>1367</v>
      </c>
      <c r="N104">
        <v>1011</v>
      </c>
      <c r="O104" t="s">
        <v>614</v>
      </c>
      <c r="P104" t="s">
        <v>614</v>
      </c>
      <c r="Q104">
        <v>1</v>
      </c>
      <c r="W104">
        <v>0</v>
      </c>
      <c r="X104">
        <v>509054691</v>
      </c>
      <c r="Y104">
        <f>(AT104*1.25)</f>
        <v>0.05</v>
      </c>
      <c r="AA104">
        <v>0</v>
      </c>
      <c r="AB104">
        <v>817.43</v>
      </c>
      <c r="AC104">
        <v>371.32</v>
      </c>
      <c r="AD104">
        <v>0</v>
      </c>
      <c r="AE104">
        <v>0</v>
      </c>
      <c r="AF104">
        <v>65.709999999999994</v>
      </c>
      <c r="AG104">
        <v>11.6</v>
      </c>
      <c r="AH104">
        <v>0</v>
      </c>
      <c r="AI104">
        <v>1</v>
      </c>
      <c r="AJ104">
        <v>12.44</v>
      </c>
      <c r="AK104">
        <v>32.01</v>
      </c>
      <c r="AL104">
        <v>1</v>
      </c>
      <c r="AM104">
        <v>4</v>
      </c>
      <c r="AN104">
        <v>0</v>
      </c>
      <c r="AO104">
        <v>1</v>
      </c>
      <c r="AP104">
        <v>1</v>
      </c>
      <c r="AQ104">
        <v>0</v>
      </c>
      <c r="AR104">
        <v>0</v>
      </c>
      <c r="AS104" t="s">
        <v>3</v>
      </c>
      <c r="AT104">
        <v>0.04</v>
      </c>
      <c r="AU104" t="s">
        <v>148</v>
      </c>
      <c r="AV104">
        <v>0</v>
      </c>
      <c r="AW104">
        <v>2</v>
      </c>
      <c r="AX104">
        <v>145039110</v>
      </c>
      <c r="AY104">
        <v>1</v>
      </c>
      <c r="AZ104">
        <v>0</v>
      </c>
      <c r="BA104">
        <v>111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ROUND(Y104*Source!I73,9)</f>
        <v>9.5280000000000004E-2</v>
      </c>
      <c r="CY104">
        <f>AB104</f>
        <v>817.43</v>
      </c>
      <c r="CZ104">
        <f>AF104</f>
        <v>65.709999999999994</v>
      </c>
      <c r="DA104">
        <f>AJ104</f>
        <v>12.44</v>
      </c>
      <c r="DB104">
        <f>ROUND((ROUND(AT104*CZ104,2)*1.25),2)</f>
        <v>3.29</v>
      </c>
      <c r="DC104">
        <f>ROUND((ROUND(AT104*AG104,2)*1.25),2)</f>
        <v>0.57999999999999996</v>
      </c>
      <c r="DD104" t="s">
        <v>3</v>
      </c>
      <c r="DE104" t="s">
        <v>3</v>
      </c>
      <c r="DF104">
        <f>ROUND(ROUND(AE104,2)*CX104,2)</f>
        <v>0</v>
      </c>
      <c r="DG104">
        <f>ROUND(ROUND(AF104*AJ104,2)*CX104,2)</f>
        <v>77.88</v>
      </c>
      <c r="DH104">
        <f>ROUND(ROUND(AG104*AK104,2)*CX104,2)</f>
        <v>35.380000000000003</v>
      </c>
      <c r="DI104">
        <f t="shared" si="49"/>
        <v>0</v>
      </c>
      <c r="DJ104">
        <f>DG104</f>
        <v>77.88</v>
      </c>
      <c r="DK104">
        <v>0</v>
      </c>
      <c r="DL104" t="s">
        <v>3</v>
      </c>
      <c r="DM104">
        <v>0</v>
      </c>
      <c r="DN104" t="s">
        <v>3</v>
      </c>
      <c r="DO104">
        <v>0</v>
      </c>
    </row>
    <row r="105" spans="1:119" x14ac:dyDescent="0.2">
      <c r="A105">
        <f>ROW(Source!A73)</f>
        <v>73</v>
      </c>
      <c r="B105">
        <v>145026783</v>
      </c>
      <c r="C105">
        <v>145039089</v>
      </c>
      <c r="D105">
        <v>140924526</v>
      </c>
      <c r="E105">
        <v>1</v>
      </c>
      <c r="F105">
        <v>1</v>
      </c>
      <c r="G105">
        <v>1</v>
      </c>
      <c r="H105">
        <v>2</v>
      </c>
      <c r="I105" t="s">
        <v>705</v>
      </c>
      <c r="J105" t="s">
        <v>706</v>
      </c>
      <c r="K105" t="s">
        <v>707</v>
      </c>
      <c r="L105">
        <v>1367</v>
      </c>
      <c r="N105">
        <v>1011</v>
      </c>
      <c r="O105" t="s">
        <v>614</v>
      </c>
      <c r="P105" t="s">
        <v>614</v>
      </c>
      <c r="Q105">
        <v>1</v>
      </c>
      <c r="W105">
        <v>0</v>
      </c>
      <c r="X105">
        <v>-1745017968</v>
      </c>
      <c r="Y105">
        <f>(AT105*1.25)</f>
        <v>3.5249999999999999</v>
      </c>
      <c r="AA105">
        <v>0</v>
      </c>
      <c r="AB105">
        <v>84.84</v>
      </c>
      <c r="AC105">
        <v>0</v>
      </c>
      <c r="AD105">
        <v>0</v>
      </c>
      <c r="AE105">
        <v>0</v>
      </c>
      <c r="AF105">
        <v>6.82</v>
      </c>
      <c r="AG105">
        <v>0</v>
      </c>
      <c r="AH105">
        <v>0</v>
      </c>
      <c r="AI105">
        <v>1</v>
      </c>
      <c r="AJ105">
        <v>12.44</v>
      </c>
      <c r="AK105">
        <v>32.01</v>
      </c>
      <c r="AL105">
        <v>1</v>
      </c>
      <c r="AM105">
        <v>4</v>
      </c>
      <c r="AN105">
        <v>0</v>
      </c>
      <c r="AO105">
        <v>1</v>
      </c>
      <c r="AP105">
        <v>1</v>
      </c>
      <c r="AQ105">
        <v>0</v>
      </c>
      <c r="AR105">
        <v>0</v>
      </c>
      <c r="AS105" t="s">
        <v>3</v>
      </c>
      <c r="AT105">
        <v>2.82</v>
      </c>
      <c r="AU105" t="s">
        <v>148</v>
      </c>
      <c r="AV105">
        <v>0</v>
      </c>
      <c r="AW105">
        <v>2</v>
      </c>
      <c r="AX105">
        <v>145039111</v>
      </c>
      <c r="AY105">
        <v>1</v>
      </c>
      <c r="AZ105">
        <v>0</v>
      </c>
      <c r="BA105">
        <v>112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ROUND(Y105*Source!I73,9)</f>
        <v>6.7172400000000003</v>
      </c>
      <c r="CY105">
        <f>AB105</f>
        <v>84.84</v>
      </c>
      <c r="CZ105">
        <f>AF105</f>
        <v>6.82</v>
      </c>
      <c r="DA105">
        <f>AJ105</f>
        <v>12.44</v>
      </c>
      <c r="DB105">
        <f>ROUND((ROUND(AT105*CZ105,2)*1.25),2)</f>
        <v>24.04</v>
      </c>
      <c r="DC105">
        <f>ROUND((ROUND(AT105*AG105,2)*1.25),2)</f>
        <v>0</v>
      </c>
      <c r="DD105" t="s">
        <v>3</v>
      </c>
      <c r="DE105" t="s">
        <v>3</v>
      </c>
      <c r="DF105">
        <f>ROUND(ROUND(AE105,2)*CX105,2)</f>
        <v>0</v>
      </c>
      <c r="DG105">
        <f>ROUND(ROUND(AF105*AJ105,2)*CX105,2)</f>
        <v>569.89</v>
      </c>
      <c r="DH105">
        <f>ROUND(ROUND(AG105*AK105,2)*CX105,2)</f>
        <v>0</v>
      </c>
      <c r="DI105">
        <f t="shared" si="49"/>
        <v>0</v>
      </c>
      <c r="DJ105">
        <f>DG105</f>
        <v>569.89</v>
      </c>
      <c r="DK105">
        <v>0</v>
      </c>
      <c r="DL105" t="s">
        <v>3</v>
      </c>
      <c r="DM105">
        <v>0</v>
      </c>
      <c r="DN105" t="s">
        <v>3</v>
      </c>
      <c r="DO105">
        <v>0</v>
      </c>
    </row>
    <row r="106" spans="1:119" x14ac:dyDescent="0.2">
      <c r="A106">
        <f>ROW(Source!A73)</f>
        <v>73</v>
      </c>
      <c r="B106">
        <v>145026783</v>
      </c>
      <c r="C106">
        <v>145039089</v>
      </c>
      <c r="D106">
        <v>140772680</v>
      </c>
      <c r="E106">
        <v>1</v>
      </c>
      <c r="F106">
        <v>1</v>
      </c>
      <c r="G106">
        <v>1</v>
      </c>
      <c r="H106">
        <v>3</v>
      </c>
      <c r="I106" t="s">
        <v>635</v>
      </c>
      <c r="J106" t="s">
        <v>636</v>
      </c>
      <c r="K106" t="s">
        <v>637</v>
      </c>
      <c r="L106">
        <v>1339</v>
      </c>
      <c r="N106">
        <v>1007</v>
      </c>
      <c r="O106" t="s">
        <v>638</v>
      </c>
      <c r="P106" t="s">
        <v>638</v>
      </c>
      <c r="Q106">
        <v>1</v>
      </c>
      <c r="W106">
        <v>0</v>
      </c>
      <c r="X106">
        <v>-143474561</v>
      </c>
      <c r="Y106">
        <f>AT106</f>
        <v>0.01</v>
      </c>
      <c r="AA106">
        <v>21.72</v>
      </c>
      <c r="AB106">
        <v>0</v>
      </c>
      <c r="AC106">
        <v>0</v>
      </c>
      <c r="AD106">
        <v>0</v>
      </c>
      <c r="AE106">
        <v>2.44</v>
      </c>
      <c r="AF106">
        <v>0</v>
      </c>
      <c r="AG106">
        <v>0</v>
      </c>
      <c r="AH106">
        <v>0</v>
      </c>
      <c r="AI106">
        <v>8.9</v>
      </c>
      <c r="AJ106">
        <v>1</v>
      </c>
      <c r="AK106">
        <v>1</v>
      </c>
      <c r="AL106">
        <v>1</v>
      </c>
      <c r="AM106">
        <v>4</v>
      </c>
      <c r="AN106">
        <v>0</v>
      </c>
      <c r="AO106">
        <v>1</v>
      </c>
      <c r="AP106">
        <v>1</v>
      </c>
      <c r="AQ106">
        <v>0</v>
      </c>
      <c r="AR106">
        <v>0</v>
      </c>
      <c r="AS106" t="s">
        <v>3</v>
      </c>
      <c r="AT106">
        <v>0.01</v>
      </c>
      <c r="AU106" t="s">
        <v>3</v>
      </c>
      <c r="AV106">
        <v>0</v>
      </c>
      <c r="AW106">
        <v>2</v>
      </c>
      <c r="AX106">
        <v>145039112</v>
      </c>
      <c r="AY106">
        <v>1</v>
      </c>
      <c r="AZ106">
        <v>0</v>
      </c>
      <c r="BA106">
        <v>113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ROUND(Y106*Source!I73,9)</f>
        <v>1.9056E-2</v>
      </c>
      <c r="CY106">
        <f>AA106</f>
        <v>21.72</v>
      </c>
      <c r="CZ106">
        <f>AE106</f>
        <v>2.44</v>
      </c>
      <c r="DA106">
        <f>AI106</f>
        <v>8.9</v>
      </c>
      <c r="DB106">
        <f>ROUND(ROUND(AT106*CZ106,2),2)</f>
        <v>0.02</v>
      </c>
      <c r="DC106">
        <f>ROUND(ROUND(AT106*AG106,2),2)</f>
        <v>0</v>
      </c>
      <c r="DD106" t="s">
        <v>3</v>
      </c>
      <c r="DE106" t="s">
        <v>3</v>
      </c>
      <c r="DF106">
        <f>ROUND(ROUND(AE106*AI106,2)*CX106,2)</f>
        <v>0.41</v>
      </c>
      <c r="DG106">
        <f>ROUND(ROUND(AF106,2)*CX106,2)</f>
        <v>0</v>
      </c>
      <c r="DH106">
        <f>ROUND(ROUND(AG106,2)*CX106,2)</f>
        <v>0</v>
      </c>
      <c r="DI106">
        <f t="shared" si="49"/>
        <v>0</v>
      </c>
      <c r="DJ106">
        <f>DF106</f>
        <v>0.41</v>
      </c>
      <c r="DK106">
        <v>0</v>
      </c>
      <c r="DL106" t="s">
        <v>3</v>
      </c>
      <c r="DM106">
        <v>0</v>
      </c>
      <c r="DN106" t="s">
        <v>3</v>
      </c>
      <c r="DO106">
        <v>0</v>
      </c>
    </row>
    <row r="107" spans="1:119" x14ac:dyDescent="0.2">
      <c r="A107">
        <f>ROW(Source!A73)</f>
        <v>73</v>
      </c>
      <c r="B107">
        <v>145026783</v>
      </c>
      <c r="C107">
        <v>145039089</v>
      </c>
      <c r="D107">
        <v>140776226</v>
      </c>
      <c r="E107">
        <v>1</v>
      </c>
      <c r="F107">
        <v>1</v>
      </c>
      <c r="G107">
        <v>1</v>
      </c>
      <c r="H107">
        <v>3</v>
      </c>
      <c r="I107" t="s">
        <v>680</v>
      </c>
      <c r="J107" t="s">
        <v>681</v>
      </c>
      <c r="K107" t="s">
        <v>682</v>
      </c>
      <c r="L107">
        <v>1346</v>
      </c>
      <c r="N107">
        <v>1009</v>
      </c>
      <c r="O107" t="s">
        <v>154</v>
      </c>
      <c r="P107" t="s">
        <v>154</v>
      </c>
      <c r="Q107">
        <v>1</v>
      </c>
      <c r="W107">
        <v>0</v>
      </c>
      <c r="X107">
        <v>1052716416</v>
      </c>
      <c r="Y107">
        <f>AT107</f>
        <v>1</v>
      </c>
      <c r="AA107">
        <v>16.2</v>
      </c>
      <c r="AB107">
        <v>0</v>
      </c>
      <c r="AC107">
        <v>0</v>
      </c>
      <c r="AD107">
        <v>0</v>
      </c>
      <c r="AE107">
        <v>1.82</v>
      </c>
      <c r="AF107">
        <v>0</v>
      </c>
      <c r="AG107">
        <v>0</v>
      </c>
      <c r="AH107">
        <v>0</v>
      </c>
      <c r="AI107">
        <v>8.9</v>
      </c>
      <c r="AJ107">
        <v>1</v>
      </c>
      <c r="AK107">
        <v>1</v>
      </c>
      <c r="AL107">
        <v>1</v>
      </c>
      <c r="AM107">
        <v>4</v>
      </c>
      <c r="AN107">
        <v>0</v>
      </c>
      <c r="AO107">
        <v>1</v>
      </c>
      <c r="AP107">
        <v>1</v>
      </c>
      <c r="AQ107">
        <v>0</v>
      </c>
      <c r="AR107">
        <v>0</v>
      </c>
      <c r="AS107" t="s">
        <v>3</v>
      </c>
      <c r="AT107">
        <v>1</v>
      </c>
      <c r="AU107" t="s">
        <v>3</v>
      </c>
      <c r="AV107">
        <v>0</v>
      </c>
      <c r="AW107">
        <v>2</v>
      </c>
      <c r="AX107">
        <v>145039113</v>
      </c>
      <c r="AY107">
        <v>1</v>
      </c>
      <c r="AZ107">
        <v>0</v>
      </c>
      <c r="BA107">
        <v>114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ROUND(Y107*Source!I73,9)</f>
        <v>1.9056</v>
      </c>
      <c r="CY107">
        <f>AA107</f>
        <v>16.2</v>
      </c>
      <c r="CZ107">
        <f>AE107</f>
        <v>1.82</v>
      </c>
      <c r="DA107">
        <f>AI107</f>
        <v>8.9</v>
      </c>
      <c r="DB107">
        <f>ROUND(ROUND(AT107*CZ107,2),2)</f>
        <v>1.82</v>
      </c>
      <c r="DC107">
        <f>ROUND(ROUND(AT107*AG107,2),2)</f>
        <v>0</v>
      </c>
      <c r="DD107" t="s">
        <v>3</v>
      </c>
      <c r="DE107" t="s">
        <v>3</v>
      </c>
      <c r="DF107">
        <f>ROUND(ROUND(AE107*AI107,2)*CX107,2)</f>
        <v>30.87</v>
      </c>
      <c r="DG107">
        <f>ROUND(ROUND(AF107,2)*CX107,2)</f>
        <v>0</v>
      </c>
      <c r="DH107">
        <f>ROUND(ROUND(AG107,2)*CX107,2)</f>
        <v>0</v>
      </c>
      <c r="DI107">
        <f t="shared" si="49"/>
        <v>0</v>
      </c>
      <c r="DJ107">
        <f>DF107</f>
        <v>30.87</v>
      </c>
      <c r="DK107">
        <v>0</v>
      </c>
      <c r="DL107" t="s">
        <v>3</v>
      </c>
      <c r="DM107">
        <v>0</v>
      </c>
      <c r="DN107" t="s">
        <v>3</v>
      </c>
      <c r="DO107">
        <v>0</v>
      </c>
    </row>
    <row r="108" spans="1:119" x14ac:dyDescent="0.2">
      <c r="A108">
        <f>ROW(Source!A75)</f>
        <v>75</v>
      </c>
      <c r="B108">
        <v>145026783</v>
      </c>
      <c r="C108">
        <v>145027284</v>
      </c>
      <c r="D108">
        <v>140760008</v>
      </c>
      <c r="E108">
        <v>70</v>
      </c>
      <c r="F108">
        <v>1</v>
      </c>
      <c r="G108">
        <v>1</v>
      </c>
      <c r="H108">
        <v>1</v>
      </c>
      <c r="I108" t="s">
        <v>663</v>
      </c>
      <c r="J108" t="s">
        <v>3</v>
      </c>
      <c r="K108" t="s">
        <v>664</v>
      </c>
      <c r="L108">
        <v>1191</v>
      </c>
      <c r="N108">
        <v>1013</v>
      </c>
      <c r="O108" t="s">
        <v>608</v>
      </c>
      <c r="P108" t="s">
        <v>608</v>
      </c>
      <c r="Q108">
        <v>1</v>
      </c>
      <c r="W108">
        <v>0</v>
      </c>
      <c r="X108">
        <v>-1810713292</v>
      </c>
      <c r="Y108">
        <f>(AT108*1.15)</f>
        <v>132.54900000000001</v>
      </c>
      <c r="AA108">
        <v>0</v>
      </c>
      <c r="AB108">
        <v>0</v>
      </c>
      <c r="AC108">
        <v>0</v>
      </c>
      <c r="AD108">
        <v>293.85000000000002</v>
      </c>
      <c r="AE108">
        <v>0</v>
      </c>
      <c r="AF108">
        <v>0</v>
      </c>
      <c r="AG108">
        <v>0</v>
      </c>
      <c r="AH108">
        <v>9.18</v>
      </c>
      <c r="AI108">
        <v>1</v>
      </c>
      <c r="AJ108">
        <v>1</v>
      </c>
      <c r="AK108">
        <v>1</v>
      </c>
      <c r="AL108">
        <v>32.01</v>
      </c>
      <c r="AM108">
        <v>4</v>
      </c>
      <c r="AN108">
        <v>0</v>
      </c>
      <c r="AO108">
        <v>1</v>
      </c>
      <c r="AP108">
        <v>1</v>
      </c>
      <c r="AQ108">
        <v>0</v>
      </c>
      <c r="AR108">
        <v>0</v>
      </c>
      <c r="AS108" t="s">
        <v>3</v>
      </c>
      <c r="AT108">
        <v>115.26</v>
      </c>
      <c r="AU108" t="s">
        <v>149</v>
      </c>
      <c r="AV108">
        <v>1</v>
      </c>
      <c r="AW108">
        <v>2</v>
      </c>
      <c r="AX108">
        <v>145033923</v>
      </c>
      <c r="AY108">
        <v>1</v>
      </c>
      <c r="AZ108">
        <v>0</v>
      </c>
      <c r="BA108">
        <v>116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ROUND(Y108*Source!I75,9)</f>
        <v>252.58537440000001</v>
      </c>
      <c r="CY108">
        <f>AD108</f>
        <v>293.85000000000002</v>
      </c>
      <c r="CZ108">
        <f>AH108</f>
        <v>9.18</v>
      </c>
      <c r="DA108">
        <f>AL108</f>
        <v>32.01</v>
      </c>
      <c r="DB108">
        <f>ROUND((ROUND(AT108*CZ108,2)*1.15),2)</f>
        <v>1216.8</v>
      </c>
      <c r="DC108">
        <f>ROUND((ROUND(AT108*AG108,2)*1.15),2)</f>
        <v>0</v>
      </c>
      <c r="DD108" t="s">
        <v>3</v>
      </c>
      <c r="DE108" t="s">
        <v>3</v>
      </c>
      <c r="DF108">
        <f>ROUND(ROUND(AE108,2)*CX108,2)</f>
        <v>0</v>
      </c>
      <c r="DG108">
        <f>ROUND(ROUND(AF108,2)*CX108,2)</f>
        <v>0</v>
      </c>
      <c r="DH108">
        <f>ROUND(ROUND(AG108,2)*CX108,2)</f>
        <v>0</v>
      </c>
      <c r="DI108">
        <f>ROUND(ROUND(AH108*AL108,2)*CX108,2)</f>
        <v>74222.210000000006</v>
      </c>
      <c r="DJ108">
        <f>DI108</f>
        <v>74222.210000000006</v>
      </c>
      <c r="DK108">
        <v>0</v>
      </c>
      <c r="DL108" t="s">
        <v>3</v>
      </c>
      <c r="DM108">
        <v>0</v>
      </c>
      <c r="DN108" t="s">
        <v>3</v>
      </c>
      <c r="DO108">
        <v>0</v>
      </c>
    </row>
    <row r="109" spans="1:119" x14ac:dyDescent="0.2">
      <c r="A109">
        <f>ROW(Source!A75)</f>
        <v>75</v>
      </c>
      <c r="B109">
        <v>145026783</v>
      </c>
      <c r="C109">
        <v>145027284</v>
      </c>
      <c r="D109">
        <v>140760225</v>
      </c>
      <c r="E109">
        <v>70</v>
      </c>
      <c r="F109">
        <v>1</v>
      </c>
      <c r="G109">
        <v>1</v>
      </c>
      <c r="H109">
        <v>1</v>
      </c>
      <c r="I109" t="s">
        <v>609</v>
      </c>
      <c r="J109" t="s">
        <v>3</v>
      </c>
      <c r="K109" t="s">
        <v>610</v>
      </c>
      <c r="L109">
        <v>1191</v>
      </c>
      <c r="N109">
        <v>1013</v>
      </c>
      <c r="O109" t="s">
        <v>608</v>
      </c>
      <c r="P109" t="s">
        <v>608</v>
      </c>
      <c r="Q109">
        <v>1</v>
      </c>
      <c r="W109">
        <v>0</v>
      </c>
      <c r="X109">
        <v>-1417349443</v>
      </c>
      <c r="Y109">
        <f>(AT109*1.25)</f>
        <v>2.0625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1</v>
      </c>
      <c r="AJ109">
        <v>1</v>
      </c>
      <c r="AK109">
        <v>32.01</v>
      </c>
      <c r="AL109">
        <v>1</v>
      </c>
      <c r="AM109">
        <v>4</v>
      </c>
      <c r="AN109">
        <v>0</v>
      </c>
      <c r="AO109">
        <v>1</v>
      </c>
      <c r="AP109">
        <v>1</v>
      </c>
      <c r="AQ109">
        <v>0</v>
      </c>
      <c r="AR109">
        <v>0</v>
      </c>
      <c r="AS109" t="s">
        <v>3</v>
      </c>
      <c r="AT109">
        <v>1.65</v>
      </c>
      <c r="AU109" t="s">
        <v>148</v>
      </c>
      <c r="AV109">
        <v>2</v>
      </c>
      <c r="AW109">
        <v>2</v>
      </c>
      <c r="AX109">
        <v>145033924</v>
      </c>
      <c r="AY109">
        <v>1</v>
      </c>
      <c r="AZ109">
        <v>0</v>
      </c>
      <c r="BA109">
        <v>117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ROUND(Y109*Source!I75,9)</f>
        <v>3.9302999999999999</v>
      </c>
      <c r="CY109">
        <f>AD109</f>
        <v>0</v>
      </c>
      <c r="CZ109">
        <f>AH109</f>
        <v>0</v>
      </c>
      <c r="DA109">
        <f>AL109</f>
        <v>1</v>
      </c>
      <c r="DB109">
        <f>ROUND((ROUND(AT109*CZ109,2)*1.25),2)</f>
        <v>0</v>
      </c>
      <c r="DC109">
        <f>ROUND((ROUND(AT109*AG109,2)*1.25),2)</f>
        <v>0</v>
      </c>
      <c r="DD109" t="s">
        <v>3</v>
      </c>
      <c r="DE109" t="s">
        <v>3</v>
      </c>
      <c r="DF109">
        <f>ROUND(ROUND(AE109,2)*CX109,2)</f>
        <v>0</v>
      </c>
      <c r="DG109">
        <f>ROUND(ROUND(AF109,2)*CX109,2)</f>
        <v>0</v>
      </c>
      <c r="DH109">
        <f>ROUND(ROUND(AG109*AK109,2)*CX109,2)</f>
        <v>0</v>
      </c>
      <c r="DI109">
        <f t="shared" ref="DI109:DI114" si="50">ROUND(ROUND(AH109,2)*CX109,2)</f>
        <v>0</v>
      </c>
      <c r="DJ109">
        <f>DI109</f>
        <v>0</v>
      </c>
      <c r="DK109">
        <v>0</v>
      </c>
      <c r="DL109" t="s">
        <v>3</v>
      </c>
      <c r="DM109">
        <v>0</v>
      </c>
      <c r="DN109" t="s">
        <v>3</v>
      </c>
      <c r="DO109">
        <v>0</v>
      </c>
    </row>
    <row r="110" spans="1:119" x14ac:dyDescent="0.2">
      <c r="A110">
        <f>ROW(Source!A75)</f>
        <v>75</v>
      </c>
      <c r="B110">
        <v>145026783</v>
      </c>
      <c r="C110">
        <v>145027284</v>
      </c>
      <c r="D110">
        <v>140923105</v>
      </c>
      <c r="E110">
        <v>1</v>
      </c>
      <c r="F110">
        <v>1</v>
      </c>
      <c r="G110">
        <v>1</v>
      </c>
      <c r="H110">
        <v>2</v>
      </c>
      <c r="I110" t="s">
        <v>710</v>
      </c>
      <c r="J110" t="s">
        <v>711</v>
      </c>
      <c r="K110" t="s">
        <v>712</v>
      </c>
      <c r="L110">
        <v>1367</v>
      </c>
      <c r="N110">
        <v>1011</v>
      </c>
      <c r="O110" t="s">
        <v>614</v>
      </c>
      <c r="P110" t="s">
        <v>614</v>
      </c>
      <c r="Q110">
        <v>1</v>
      </c>
      <c r="W110">
        <v>0</v>
      </c>
      <c r="X110">
        <v>-896236776</v>
      </c>
      <c r="Y110">
        <f>(AT110*1.25)</f>
        <v>0.1</v>
      </c>
      <c r="AA110">
        <v>0</v>
      </c>
      <c r="AB110">
        <v>1119.48</v>
      </c>
      <c r="AC110">
        <v>322.02</v>
      </c>
      <c r="AD110">
        <v>0</v>
      </c>
      <c r="AE110">
        <v>0</v>
      </c>
      <c r="AF110">
        <v>89.99</v>
      </c>
      <c r="AG110">
        <v>10.06</v>
      </c>
      <c r="AH110">
        <v>0</v>
      </c>
      <c r="AI110">
        <v>1</v>
      </c>
      <c r="AJ110">
        <v>12.44</v>
      </c>
      <c r="AK110">
        <v>32.01</v>
      </c>
      <c r="AL110">
        <v>1</v>
      </c>
      <c r="AM110">
        <v>4</v>
      </c>
      <c r="AN110">
        <v>0</v>
      </c>
      <c r="AO110">
        <v>1</v>
      </c>
      <c r="AP110">
        <v>1</v>
      </c>
      <c r="AQ110">
        <v>0</v>
      </c>
      <c r="AR110">
        <v>0</v>
      </c>
      <c r="AS110" t="s">
        <v>3</v>
      </c>
      <c r="AT110">
        <v>0.08</v>
      </c>
      <c r="AU110" t="s">
        <v>148</v>
      </c>
      <c r="AV110">
        <v>0</v>
      </c>
      <c r="AW110">
        <v>2</v>
      </c>
      <c r="AX110">
        <v>145033925</v>
      </c>
      <c r="AY110">
        <v>1</v>
      </c>
      <c r="AZ110">
        <v>0</v>
      </c>
      <c r="BA110">
        <v>118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ROUND(Y110*Source!I75,9)</f>
        <v>0.19056000000000001</v>
      </c>
      <c r="CY110">
        <f>AB110</f>
        <v>1119.48</v>
      </c>
      <c r="CZ110">
        <f>AF110</f>
        <v>89.99</v>
      </c>
      <c r="DA110">
        <f>AJ110</f>
        <v>12.44</v>
      </c>
      <c r="DB110">
        <f>ROUND((ROUND(AT110*CZ110,2)*1.25),2)</f>
        <v>9</v>
      </c>
      <c r="DC110">
        <f>ROUND((ROUND(AT110*AG110,2)*1.25),2)</f>
        <v>1</v>
      </c>
      <c r="DD110" t="s">
        <v>3</v>
      </c>
      <c r="DE110" t="s">
        <v>3</v>
      </c>
      <c r="DF110">
        <f>ROUND(ROUND(AE110,2)*CX110,2)</f>
        <v>0</v>
      </c>
      <c r="DG110">
        <f>ROUND(ROUND(AF110*AJ110,2)*CX110,2)</f>
        <v>213.33</v>
      </c>
      <c r="DH110">
        <f>ROUND(ROUND(AG110*AK110,2)*CX110,2)</f>
        <v>61.36</v>
      </c>
      <c r="DI110">
        <f t="shared" si="50"/>
        <v>0</v>
      </c>
      <c r="DJ110">
        <f>DG110</f>
        <v>213.33</v>
      </c>
      <c r="DK110">
        <v>0</v>
      </c>
      <c r="DL110" t="s">
        <v>3</v>
      </c>
      <c r="DM110">
        <v>0</v>
      </c>
      <c r="DN110" t="s">
        <v>3</v>
      </c>
      <c r="DO110">
        <v>0</v>
      </c>
    </row>
    <row r="111" spans="1:119" x14ac:dyDescent="0.2">
      <c r="A111">
        <f>ROW(Source!A75)</f>
        <v>75</v>
      </c>
      <c r="B111">
        <v>145026783</v>
      </c>
      <c r="C111">
        <v>145027284</v>
      </c>
      <c r="D111">
        <v>140923145</v>
      </c>
      <c r="E111">
        <v>1</v>
      </c>
      <c r="F111">
        <v>1</v>
      </c>
      <c r="G111">
        <v>1</v>
      </c>
      <c r="H111">
        <v>2</v>
      </c>
      <c r="I111" t="s">
        <v>611</v>
      </c>
      <c r="J111" t="s">
        <v>612</v>
      </c>
      <c r="K111" t="s">
        <v>613</v>
      </c>
      <c r="L111">
        <v>1367</v>
      </c>
      <c r="N111">
        <v>1011</v>
      </c>
      <c r="O111" t="s">
        <v>614</v>
      </c>
      <c r="P111" t="s">
        <v>614</v>
      </c>
      <c r="Q111">
        <v>1</v>
      </c>
      <c r="W111">
        <v>0</v>
      </c>
      <c r="X111">
        <v>1232162608</v>
      </c>
      <c r="Y111">
        <f>(AT111*1.25)</f>
        <v>0.33750000000000002</v>
      </c>
      <c r="AA111">
        <v>0</v>
      </c>
      <c r="AB111">
        <v>388.87</v>
      </c>
      <c r="AC111">
        <v>432.14</v>
      </c>
      <c r="AD111">
        <v>0</v>
      </c>
      <c r="AE111">
        <v>0</v>
      </c>
      <c r="AF111">
        <v>31.26</v>
      </c>
      <c r="AG111">
        <v>13.5</v>
      </c>
      <c r="AH111">
        <v>0</v>
      </c>
      <c r="AI111">
        <v>1</v>
      </c>
      <c r="AJ111">
        <v>12.44</v>
      </c>
      <c r="AK111">
        <v>32.01</v>
      </c>
      <c r="AL111">
        <v>1</v>
      </c>
      <c r="AM111">
        <v>4</v>
      </c>
      <c r="AN111">
        <v>0</v>
      </c>
      <c r="AO111">
        <v>1</v>
      </c>
      <c r="AP111">
        <v>1</v>
      </c>
      <c r="AQ111">
        <v>0</v>
      </c>
      <c r="AR111">
        <v>0</v>
      </c>
      <c r="AS111" t="s">
        <v>3</v>
      </c>
      <c r="AT111">
        <v>0.27</v>
      </c>
      <c r="AU111" t="s">
        <v>148</v>
      </c>
      <c r="AV111">
        <v>0</v>
      </c>
      <c r="AW111">
        <v>2</v>
      </c>
      <c r="AX111">
        <v>145033926</v>
      </c>
      <c r="AY111">
        <v>1</v>
      </c>
      <c r="AZ111">
        <v>0</v>
      </c>
      <c r="BA111">
        <v>119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ROUND(Y111*Source!I75,9)</f>
        <v>0.64314000000000004</v>
      </c>
      <c r="CY111">
        <f>AB111</f>
        <v>388.87</v>
      </c>
      <c r="CZ111">
        <f>AF111</f>
        <v>31.26</v>
      </c>
      <c r="DA111">
        <f>AJ111</f>
        <v>12.44</v>
      </c>
      <c r="DB111">
        <f>ROUND((ROUND(AT111*CZ111,2)*1.25),2)</f>
        <v>10.55</v>
      </c>
      <c r="DC111">
        <f>ROUND((ROUND(AT111*AG111,2)*1.25),2)</f>
        <v>4.5599999999999996</v>
      </c>
      <c r="DD111" t="s">
        <v>3</v>
      </c>
      <c r="DE111" t="s">
        <v>3</v>
      </c>
      <c r="DF111">
        <f>ROUND(ROUND(AE111,2)*CX111,2)</f>
        <v>0</v>
      </c>
      <c r="DG111">
        <f>ROUND(ROUND(AF111*AJ111,2)*CX111,2)</f>
        <v>250.1</v>
      </c>
      <c r="DH111">
        <f>ROUND(ROUND(AG111*AK111,2)*CX111,2)</f>
        <v>277.93</v>
      </c>
      <c r="DI111">
        <f t="shared" si="50"/>
        <v>0</v>
      </c>
      <c r="DJ111">
        <f>DG111</f>
        <v>250.1</v>
      </c>
      <c r="DK111">
        <v>0</v>
      </c>
      <c r="DL111" t="s">
        <v>3</v>
      </c>
      <c r="DM111">
        <v>0</v>
      </c>
      <c r="DN111" t="s">
        <v>3</v>
      </c>
      <c r="DO111">
        <v>0</v>
      </c>
    </row>
    <row r="112" spans="1:119" x14ac:dyDescent="0.2">
      <c r="A112">
        <f>ROW(Source!A75)</f>
        <v>75</v>
      </c>
      <c r="B112">
        <v>145026783</v>
      </c>
      <c r="C112">
        <v>145027284</v>
      </c>
      <c r="D112">
        <v>140923268</v>
      </c>
      <c r="E112">
        <v>1</v>
      </c>
      <c r="F112">
        <v>1</v>
      </c>
      <c r="G112">
        <v>1</v>
      </c>
      <c r="H112">
        <v>2</v>
      </c>
      <c r="I112" t="s">
        <v>713</v>
      </c>
      <c r="J112" t="s">
        <v>714</v>
      </c>
      <c r="K112" t="s">
        <v>715</v>
      </c>
      <c r="L112">
        <v>1367</v>
      </c>
      <c r="N112">
        <v>1011</v>
      </c>
      <c r="O112" t="s">
        <v>614</v>
      </c>
      <c r="P112" t="s">
        <v>614</v>
      </c>
      <c r="Q112">
        <v>1</v>
      </c>
      <c r="W112">
        <v>0</v>
      </c>
      <c r="X112">
        <v>1385328552</v>
      </c>
      <c r="Y112">
        <f>(AT112*1.25)</f>
        <v>1.625</v>
      </c>
      <c r="AA112">
        <v>0</v>
      </c>
      <c r="AB112">
        <v>154.13</v>
      </c>
      <c r="AC112">
        <v>322.02</v>
      </c>
      <c r="AD112">
        <v>0</v>
      </c>
      <c r="AE112">
        <v>0</v>
      </c>
      <c r="AF112">
        <v>12.39</v>
      </c>
      <c r="AG112">
        <v>10.06</v>
      </c>
      <c r="AH112">
        <v>0</v>
      </c>
      <c r="AI112">
        <v>1</v>
      </c>
      <c r="AJ112">
        <v>12.44</v>
      </c>
      <c r="AK112">
        <v>32.01</v>
      </c>
      <c r="AL112">
        <v>1</v>
      </c>
      <c r="AM112">
        <v>4</v>
      </c>
      <c r="AN112">
        <v>0</v>
      </c>
      <c r="AO112">
        <v>1</v>
      </c>
      <c r="AP112">
        <v>1</v>
      </c>
      <c r="AQ112">
        <v>0</v>
      </c>
      <c r="AR112">
        <v>0</v>
      </c>
      <c r="AS112" t="s">
        <v>3</v>
      </c>
      <c r="AT112">
        <v>1.3</v>
      </c>
      <c r="AU112" t="s">
        <v>148</v>
      </c>
      <c r="AV112">
        <v>0</v>
      </c>
      <c r="AW112">
        <v>2</v>
      </c>
      <c r="AX112">
        <v>145033927</v>
      </c>
      <c r="AY112">
        <v>1</v>
      </c>
      <c r="AZ112">
        <v>0</v>
      </c>
      <c r="BA112">
        <v>120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ROUND(Y112*Source!I75,9)</f>
        <v>3.0966</v>
      </c>
      <c r="CY112">
        <f>AB112</f>
        <v>154.13</v>
      </c>
      <c r="CZ112">
        <f>AF112</f>
        <v>12.39</v>
      </c>
      <c r="DA112">
        <f>AJ112</f>
        <v>12.44</v>
      </c>
      <c r="DB112">
        <f>ROUND((ROUND(AT112*CZ112,2)*1.25),2)</f>
        <v>20.14</v>
      </c>
      <c r="DC112">
        <f>ROUND((ROUND(AT112*AG112,2)*1.25),2)</f>
        <v>16.350000000000001</v>
      </c>
      <c r="DD112" t="s">
        <v>3</v>
      </c>
      <c r="DE112" t="s">
        <v>3</v>
      </c>
      <c r="DF112">
        <f>ROUND(ROUND(AE112,2)*CX112,2)</f>
        <v>0</v>
      </c>
      <c r="DG112">
        <f>ROUND(ROUND(AF112*AJ112,2)*CX112,2)</f>
        <v>477.28</v>
      </c>
      <c r="DH112">
        <f>ROUND(ROUND(AG112*AK112,2)*CX112,2)</f>
        <v>997.17</v>
      </c>
      <c r="DI112">
        <f t="shared" si="50"/>
        <v>0</v>
      </c>
      <c r="DJ112">
        <f>DG112</f>
        <v>477.28</v>
      </c>
      <c r="DK112">
        <v>0</v>
      </c>
      <c r="DL112" t="s">
        <v>3</v>
      </c>
      <c r="DM112">
        <v>0</v>
      </c>
      <c r="DN112" t="s">
        <v>3</v>
      </c>
      <c r="DO112">
        <v>0</v>
      </c>
    </row>
    <row r="113" spans="1:119" x14ac:dyDescent="0.2">
      <c r="A113">
        <f>ROW(Source!A75)</f>
        <v>75</v>
      </c>
      <c r="B113">
        <v>145026783</v>
      </c>
      <c r="C113">
        <v>145027284</v>
      </c>
      <c r="D113">
        <v>140772680</v>
      </c>
      <c r="E113">
        <v>1</v>
      </c>
      <c r="F113">
        <v>1</v>
      </c>
      <c r="G113">
        <v>1</v>
      </c>
      <c r="H113">
        <v>3</v>
      </c>
      <c r="I113" t="s">
        <v>635</v>
      </c>
      <c r="J113" t="s">
        <v>636</v>
      </c>
      <c r="K113" t="s">
        <v>637</v>
      </c>
      <c r="L113">
        <v>1339</v>
      </c>
      <c r="N113">
        <v>1007</v>
      </c>
      <c r="O113" t="s">
        <v>638</v>
      </c>
      <c r="P113" t="s">
        <v>638</v>
      </c>
      <c r="Q113">
        <v>1</v>
      </c>
      <c r="W113">
        <v>0</v>
      </c>
      <c r="X113">
        <v>-143474561</v>
      </c>
      <c r="Y113">
        <f>AT113</f>
        <v>8.5000000000000006E-2</v>
      </c>
      <c r="AA113">
        <v>21.72</v>
      </c>
      <c r="AB113">
        <v>0</v>
      </c>
      <c r="AC113">
        <v>0</v>
      </c>
      <c r="AD113">
        <v>0</v>
      </c>
      <c r="AE113">
        <v>2.44</v>
      </c>
      <c r="AF113">
        <v>0</v>
      </c>
      <c r="AG113">
        <v>0</v>
      </c>
      <c r="AH113">
        <v>0</v>
      </c>
      <c r="AI113">
        <v>8.9</v>
      </c>
      <c r="AJ113">
        <v>1</v>
      </c>
      <c r="AK113">
        <v>1</v>
      </c>
      <c r="AL113">
        <v>1</v>
      </c>
      <c r="AM113">
        <v>4</v>
      </c>
      <c r="AN113">
        <v>0</v>
      </c>
      <c r="AO113">
        <v>1</v>
      </c>
      <c r="AP113">
        <v>1</v>
      </c>
      <c r="AQ113">
        <v>0</v>
      </c>
      <c r="AR113">
        <v>0</v>
      </c>
      <c r="AS113" t="s">
        <v>3</v>
      </c>
      <c r="AT113">
        <v>8.5000000000000006E-2</v>
      </c>
      <c r="AU113" t="s">
        <v>3</v>
      </c>
      <c r="AV113">
        <v>0</v>
      </c>
      <c r="AW113">
        <v>2</v>
      </c>
      <c r="AX113">
        <v>145033928</v>
      </c>
      <c r="AY113">
        <v>1</v>
      </c>
      <c r="AZ113">
        <v>0</v>
      </c>
      <c r="BA113">
        <v>121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ROUND(Y113*Source!I75,9)</f>
        <v>0.16197600000000001</v>
      </c>
      <c r="CY113">
        <f>AA113</f>
        <v>21.72</v>
      </c>
      <c r="CZ113">
        <f>AE113</f>
        <v>2.44</v>
      </c>
      <c r="DA113">
        <f>AI113</f>
        <v>8.9</v>
      </c>
      <c r="DB113">
        <f>ROUND(ROUND(AT113*CZ113,2),2)</f>
        <v>0.21</v>
      </c>
      <c r="DC113">
        <f>ROUND(ROUND(AT113*AG113,2),2)</f>
        <v>0</v>
      </c>
      <c r="DD113" t="s">
        <v>3</v>
      </c>
      <c r="DE113" t="s">
        <v>3</v>
      </c>
      <c r="DF113">
        <f>ROUND(ROUND(AE113*AI113,2)*CX113,2)</f>
        <v>3.52</v>
      </c>
      <c r="DG113">
        <f>ROUND(ROUND(AF113,2)*CX113,2)</f>
        <v>0</v>
      </c>
      <c r="DH113">
        <f>ROUND(ROUND(AG113,2)*CX113,2)</f>
        <v>0</v>
      </c>
      <c r="DI113">
        <f t="shared" si="50"/>
        <v>0</v>
      </c>
      <c r="DJ113">
        <f>DF113</f>
        <v>3.52</v>
      </c>
      <c r="DK113">
        <v>0</v>
      </c>
      <c r="DL113" t="s">
        <v>3</v>
      </c>
      <c r="DM113">
        <v>0</v>
      </c>
      <c r="DN113" t="s">
        <v>3</v>
      </c>
      <c r="DO113">
        <v>0</v>
      </c>
    </row>
    <row r="114" spans="1:119" x14ac:dyDescent="0.2">
      <c r="A114">
        <f>ROW(Source!A75)</f>
        <v>75</v>
      </c>
      <c r="B114">
        <v>145026783</v>
      </c>
      <c r="C114">
        <v>145027284</v>
      </c>
      <c r="D114">
        <v>140776226</v>
      </c>
      <c r="E114">
        <v>1</v>
      </c>
      <c r="F114">
        <v>1</v>
      </c>
      <c r="G114">
        <v>1</v>
      </c>
      <c r="H114">
        <v>3</v>
      </c>
      <c r="I114" t="s">
        <v>680</v>
      </c>
      <c r="J114" t="s">
        <v>681</v>
      </c>
      <c r="K114" t="s">
        <v>682</v>
      </c>
      <c r="L114">
        <v>1346</v>
      </c>
      <c r="N114">
        <v>1009</v>
      </c>
      <c r="O114" t="s">
        <v>154</v>
      </c>
      <c r="P114" t="s">
        <v>154</v>
      </c>
      <c r="Q114">
        <v>1</v>
      </c>
      <c r="W114">
        <v>0</v>
      </c>
      <c r="X114">
        <v>1052716416</v>
      </c>
      <c r="Y114">
        <f>AT114</f>
        <v>0.5</v>
      </c>
      <c r="AA114">
        <v>16.2</v>
      </c>
      <c r="AB114">
        <v>0</v>
      </c>
      <c r="AC114">
        <v>0</v>
      </c>
      <c r="AD114">
        <v>0</v>
      </c>
      <c r="AE114">
        <v>1.82</v>
      </c>
      <c r="AF114">
        <v>0</v>
      </c>
      <c r="AG114">
        <v>0</v>
      </c>
      <c r="AH114">
        <v>0</v>
      </c>
      <c r="AI114">
        <v>8.9</v>
      </c>
      <c r="AJ114">
        <v>1</v>
      </c>
      <c r="AK114">
        <v>1</v>
      </c>
      <c r="AL114">
        <v>1</v>
      </c>
      <c r="AM114">
        <v>4</v>
      </c>
      <c r="AN114">
        <v>0</v>
      </c>
      <c r="AO114">
        <v>1</v>
      </c>
      <c r="AP114">
        <v>1</v>
      </c>
      <c r="AQ114">
        <v>0</v>
      </c>
      <c r="AR114">
        <v>0</v>
      </c>
      <c r="AS114" t="s">
        <v>3</v>
      </c>
      <c r="AT114">
        <v>0.5</v>
      </c>
      <c r="AU114" t="s">
        <v>3</v>
      </c>
      <c r="AV114">
        <v>0</v>
      </c>
      <c r="AW114">
        <v>2</v>
      </c>
      <c r="AX114">
        <v>145033929</v>
      </c>
      <c r="AY114">
        <v>1</v>
      </c>
      <c r="AZ114">
        <v>0</v>
      </c>
      <c r="BA114">
        <v>122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ROUND(Y114*Source!I75,9)</f>
        <v>0.95279999999999998</v>
      </c>
      <c r="CY114">
        <f>AA114</f>
        <v>16.2</v>
      </c>
      <c r="CZ114">
        <f>AE114</f>
        <v>1.82</v>
      </c>
      <c r="DA114">
        <f>AI114</f>
        <v>8.9</v>
      </c>
      <c r="DB114">
        <f>ROUND(ROUND(AT114*CZ114,2),2)</f>
        <v>0.91</v>
      </c>
      <c r="DC114">
        <f>ROUND(ROUND(AT114*AG114,2),2)</f>
        <v>0</v>
      </c>
      <c r="DD114" t="s">
        <v>3</v>
      </c>
      <c r="DE114" t="s">
        <v>3</v>
      </c>
      <c r="DF114">
        <f>ROUND(ROUND(AE114*AI114,2)*CX114,2)</f>
        <v>15.44</v>
      </c>
      <c r="DG114">
        <f>ROUND(ROUND(AF114,2)*CX114,2)</f>
        <v>0</v>
      </c>
      <c r="DH114">
        <f>ROUND(ROUND(AG114,2)*CX114,2)</f>
        <v>0</v>
      </c>
      <c r="DI114">
        <f t="shared" si="50"/>
        <v>0</v>
      </c>
      <c r="DJ114">
        <f>DF114</f>
        <v>15.44</v>
      </c>
      <c r="DK114">
        <v>0</v>
      </c>
      <c r="DL114" t="s">
        <v>3</v>
      </c>
      <c r="DM114">
        <v>0</v>
      </c>
      <c r="DN114" t="s">
        <v>3</v>
      </c>
      <c r="DO114">
        <v>0</v>
      </c>
    </row>
    <row r="115" spans="1:119" x14ac:dyDescent="0.2">
      <c r="A115">
        <f>ROW(Source!A79)</f>
        <v>79</v>
      </c>
      <c r="B115">
        <v>145026783</v>
      </c>
      <c r="C115">
        <v>145034105</v>
      </c>
      <c r="D115">
        <v>140755430</v>
      </c>
      <c r="E115">
        <v>70</v>
      </c>
      <c r="F115">
        <v>1</v>
      </c>
      <c r="G115">
        <v>1</v>
      </c>
      <c r="H115">
        <v>1</v>
      </c>
      <c r="I115" t="s">
        <v>716</v>
      </c>
      <c r="J115" t="s">
        <v>3</v>
      </c>
      <c r="K115" t="s">
        <v>717</v>
      </c>
      <c r="L115">
        <v>1191</v>
      </c>
      <c r="N115">
        <v>1013</v>
      </c>
      <c r="O115" t="s">
        <v>608</v>
      </c>
      <c r="P115" t="s">
        <v>608</v>
      </c>
      <c r="Q115">
        <v>1</v>
      </c>
      <c r="W115">
        <v>0</v>
      </c>
      <c r="X115">
        <v>229328897</v>
      </c>
      <c r="Y115">
        <f>(AT115*1.15)</f>
        <v>36.121499999999997</v>
      </c>
      <c r="AA115">
        <v>0</v>
      </c>
      <c r="AB115">
        <v>0</v>
      </c>
      <c r="AC115">
        <v>0</v>
      </c>
      <c r="AD115">
        <v>266</v>
      </c>
      <c r="AE115">
        <v>0</v>
      </c>
      <c r="AF115">
        <v>0</v>
      </c>
      <c r="AG115">
        <v>0</v>
      </c>
      <c r="AH115">
        <v>8.31</v>
      </c>
      <c r="AI115">
        <v>1</v>
      </c>
      <c r="AJ115">
        <v>1</v>
      </c>
      <c r="AK115">
        <v>1</v>
      </c>
      <c r="AL115">
        <v>32.01</v>
      </c>
      <c r="AM115">
        <v>4</v>
      </c>
      <c r="AN115">
        <v>0</v>
      </c>
      <c r="AO115">
        <v>1</v>
      </c>
      <c r="AP115">
        <v>1</v>
      </c>
      <c r="AQ115">
        <v>0</v>
      </c>
      <c r="AR115">
        <v>0</v>
      </c>
      <c r="AS115" t="s">
        <v>3</v>
      </c>
      <c r="AT115">
        <v>31.41</v>
      </c>
      <c r="AU115" t="s">
        <v>149</v>
      </c>
      <c r="AV115">
        <v>1</v>
      </c>
      <c r="AW115">
        <v>2</v>
      </c>
      <c r="AX115">
        <v>145034112</v>
      </c>
      <c r="AY115">
        <v>1</v>
      </c>
      <c r="AZ115">
        <v>0</v>
      </c>
      <c r="BA115">
        <v>126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ROUND(Y115*Source!I79,9)</f>
        <v>5.7794400000000001</v>
      </c>
      <c r="CY115">
        <f>AD115</f>
        <v>266</v>
      </c>
      <c r="CZ115">
        <f>AH115</f>
        <v>8.31</v>
      </c>
      <c r="DA115">
        <f>AL115</f>
        <v>32.01</v>
      </c>
      <c r="DB115">
        <f>ROUND((ROUND(AT115*CZ115,2)*1.15),2)</f>
        <v>300.17</v>
      </c>
      <c r="DC115">
        <f>ROUND((ROUND(AT115*AG115,2)*1.15),2)</f>
        <v>0</v>
      </c>
      <c r="DD115" t="s">
        <v>3</v>
      </c>
      <c r="DE115" t="s">
        <v>3</v>
      </c>
      <c r="DF115">
        <f>ROUND(ROUND(AE115,2)*CX115,2)</f>
        <v>0</v>
      </c>
      <c r="DG115">
        <f>ROUND(ROUND(AF115,2)*CX115,2)</f>
        <v>0</v>
      </c>
      <c r="DH115">
        <f>ROUND(ROUND(AG115,2)*CX115,2)</f>
        <v>0</v>
      </c>
      <c r="DI115">
        <f>ROUND(ROUND(AH115*AL115,2)*CX115,2)</f>
        <v>1537.33</v>
      </c>
      <c r="DJ115">
        <f>DI115</f>
        <v>1537.33</v>
      </c>
      <c r="DK115">
        <v>0</v>
      </c>
      <c r="DL115" t="s">
        <v>3</v>
      </c>
      <c r="DM115">
        <v>0</v>
      </c>
      <c r="DN115" t="s">
        <v>3</v>
      </c>
      <c r="DO115">
        <v>0</v>
      </c>
    </row>
    <row r="116" spans="1:119" x14ac:dyDescent="0.2">
      <c r="A116">
        <f>ROW(Source!A79)</f>
        <v>79</v>
      </c>
      <c r="B116">
        <v>145026783</v>
      </c>
      <c r="C116">
        <v>145034105</v>
      </c>
      <c r="D116">
        <v>140755491</v>
      </c>
      <c r="E116">
        <v>70</v>
      </c>
      <c r="F116">
        <v>1</v>
      </c>
      <c r="G116">
        <v>1</v>
      </c>
      <c r="H116">
        <v>1</v>
      </c>
      <c r="I116" t="s">
        <v>609</v>
      </c>
      <c r="J116" t="s">
        <v>3</v>
      </c>
      <c r="K116" t="s">
        <v>610</v>
      </c>
      <c r="L116">
        <v>1191</v>
      </c>
      <c r="N116">
        <v>1013</v>
      </c>
      <c r="O116" t="s">
        <v>608</v>
      </c>
      <c r="P116" t="s">
        <v>608</v>
      </c>
      <c r="Q116">
        <v>1</v>
      </c>
      <c r="W116">
        <v>0</v>
      </c>
      <c r="X116">
        <v>-1417349443</v>
      </c>
      <c r="Y116">
        <f>(AT116*1.25)</f>
        <v>1.0249999999999999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1</v>
      </c>
      <c r="AJ116">
        <v>1</v>
      </c>
      <c r="AK116">
        <v>32.01</v>
      </c>
      <c r="AL116">
        <v>1</v>
      </c>
      <c r="AM116">
        <v>4</v>
      </c>
      <c r="AN116">
        <v>0</v>
      </c>
      <c r="AO116">
        <v>1</v>
      </c>
      <c r="AP116">
        <v>1</v>
      </c>
      <c r="AQ116">
        <v>0</v>
      </c>
      <c r="AR116">
        <v>0</v>
      </c>
      <c r="AS116" t="s">
        <v>3</v>
      </c>
      <c r="AT116">
        <v>0.82</v>
      </c>
      <c r="AU116" t="s">
        <v>148</v>
      </c>
      <c r="AV116">
        <v>2</v>
      </c>
      <c r="AW116">
        <v>2</v>
      </c>
      <c r="AX116">
        <v>145034113</v>
      </c>
      <c r="AY116">
        <v>1</v>
      </c>
      <c r="AZ116">
        <v>0</v>
      </c>
      <c r="BA116">
        <v>127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ROUND(Y116*Source!I79,9)</f>
        <v>0.16400000000000001</v>
      </c>
      <c r="CY116">
        <f>AD116</f>
        <v>0</v>
      </c>
      <c r="CZ116">
        <f>AH116</f>
        <v>0</v>
      </c>
      <c r="DA116">
        <f>AL116</f>
        <v>1</v>
      </c>
      <c r="DB116">
        <f>ROUND((ROUND(AT116*CZ116,2)*1.25),2)</f>
        <v>0</v>
      </c>
      <c r="DC116">
        <f>ROUND((ROUND(AT116*AG116,2)*1.25),2)</f>
        <v>0</v>
      </c>
      <c r="DD116" t="s">
        <v>3</v>
      </c>
      <c r="DE116" t="s">
        <v>3</v>
      </c>
      <c r="DF116">
        <f>ROUND(ROUND(AE116,2)*CX116,2)</f>
        <v>0</v>
      </c>
      <c r="DG116">
        <f>ROUND(ROUND(AF116,2)*CX116,2)</f>
        <v>0</v>
      </c>
      <c r="DH116">
        <f>ROUND(ROUND(AG116*AK116,2)*CX116,2)</f>
        <v>0</v>
      </c>
      <c r="DI116">
        <f>ROUND(ROUND(AH116,2)*CX116,2)</f>
        <v>0</v>
      </c>
      <c r="DJ116">
        <f>DI116</f>
        <v>0</v>
      </c>
      <c r="DK116">
        <v>0</v>
      </c>
      <c r="DL116" t="s">
        <v>3</v>
      </c>
      <c r="DM116">
        <v>0</v>
      </c>
      <c r="DN116" t="s">
        <v>3</v>
      </c>
      <c r="DO116">
        <v>0</v>
      </c>
    </row>
    <row r="117" spans="1:119" x14ac:dyDescent="0.2">
      <c r="A117">
        <f>ROW(Source!A79)</f>
        <v>79</v>
      </c>
      <c r="B117">
        <v>145026783</v>
      </c>
      <c r="C117">
        <v>145034105</v>
      </c>
      <c r="D117">
        <v>140923145</v>
      </c>
      <c r="E117">
        <v>1</v>
      </c>
      <c r="F117">
        <v>1</v>
      </c>
      <c r="G117">
        <v>1</v>
      </c>
      <c r="H117">
        <v>2</v>
      </c>
      <c r="I117" t="s">
        <v>611</v>
      </c>
      <c r="J117" t="s">
        <v>612</v>
      </c>
      <c r="K117" t="s">
        <v>613</v>
      </c>
      <c r="L117">
        <v>1367</v>
      </c>
      <c r="N117">
        <v>1011</v>
      </c>
      <c r="O117" t="s">
        <v>614</v>
      </c>
      <c r="P117" t="s">
        <v>614</v>
      </c>
      <c r="Q117">
        <v>1</v>
      </c>
      <c r="W117">
        <v>0</v>
      </c>
      <c r="X117">
        <v>1232162608</v>
      </c>
      <c r="Y117">
        <f>(AT117*1.25)</f>
        <v>0.42500000000000004</v>
      </c>
      <c r="AA117">
        <v>0</v>
      </c>
      <c r="AB117">
        <v>388.87</v>
      </c>
      <c r="AC117">
        <v>432.14</v>
      </c>
      <c r="AD117">
        <v>0</v>
      </c>
      <c r="AE117">
        <v>0</v>
      </c>
      <c r="AF117">
        <v>31.26</v>
      </c>
      <c r="AG117">
        <v>13.5</v>
      </c>
      <c r="AH117">
        <v>0</v>
      </c>
      <c r="AI117">
        <v>1</v>
      </c>
      <c r="AJ117">
        <v>12.44</v>
      </c>
      <c r="AK117">
        <v>32.01</v>
      </c>
      <c r="AL117">
        <v>1</v>
      </c>
      <c r="AM117">
        <v>4</v>
      </c>
      <c r="AN117">
        <v>0</v>
      </c>
      <c r="AO117">
        <v>1</v>
      </c>
      <c r="AP117">
        <v>1</v>
      </c>
      <c r="AQ117">
        <v>0</v>
      </c>
      <c r="AR117">
        <v>0</v>
      </c>
      <c r="AS117" t="s">
        <v>3</v>
      </c>
      <c r="AT117">
        <v>0.34</v>
      </c>
      <c r="AU117" t="s">
        <v>148</v>
      </c>
      <c r="AV117">
        <v>0</v>
      </c>
      <c r="AW117">
        <v>2</v>
      </c>
      <c r="AX117">
        <v>145034114</v>
      </c>
      <c r="AY117">
        <v>1</v>
      </c>
      <c r="AZ117">
        <v>0</v>
      </c>
      <c r="BA117">
        <v>128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ROUND(Y117*Source!I79,9)</f>
        <v>6.8000000000000005E-2</v>
      </c>
      <c r="CY117">
        <f>AB117</f>
        <v>388.87</v>
      </c>
      <c r="CZ117">
        <f>AF117</f>
        <v>31.26</v>
      </c>
      <c r="DA117">
        <f>AJ117</f>
        <v>12.44</v>
      </c>
      <c r="DB117">
        <f>ROUND((ROUND(AT117*CZ117,2)*1.25),2)</f>
        <v>13.29</v>
      </c>
      <c r="DC117">
        <f>ROUND((ROUND(AT117*AG117,2)*1.25),2)</f>
        <v>5.74</v>
      </c>
      <c r="DD117" t="s">
        <v>3</v>
      </c>
      <c r="DE117" t="s">
        <v>3</v>
      </c>
      <c r="DF117">
        <f>ROUND(ROUND(AE117,2)*CX117,2)</f>
        <v>0</v>
      </c>
      <c r="DG117">
        <f>ROUND(ROUND(AF117*AJ117,2)*CX117,2)</f>
        <v>26.44</v>
      </c>
      <c r="DH117">
        <f>ROUND(ROUND(AG117*AK117,2)*CX117,2)</f>
        <v>29.39</v>
      </c>
      <c r="DI117">
        <f>ROUND(ROUND(AH117,2)*CX117,2)</f>
        <v>0</v>
      </c>
      <c r="DJ117">
        <f>DG117</f>
        <v>26.44</v>
      </c>
      <c r="DK117">
        <v>0</v>
      </c>
      <c r="DL117" t="s">
        <v>3</v>
      </c>
      <c r="DM117">
        <v>0</v>
      </c>
      <c r="DN117" t="s">
        <v>3</v>
      </c>
      <c r="DO117">
        <v>0</v>
      </c>
    </row>
    <row r="118" spans="1:119" x14ac:dyDescent="0.2">
      <c r="A118">
        <f>ROW(Source!A79)</f>
        <v>79</v>
      </c>
      <c r="B118">
        <v>145026783</v>
      </c>
      <c r="C118">
        <v>145034105</v>
      </c>
      <c r="D118">
        <v>140923885</v>
      </c>
      <c r="E118">
        <v>1</v>
      </c>
      <c r="F118">
        <v>1</v>
      </c>
      <c r="G118">
        <v>1</v>
      </c>
      <c r="H118">
        <v>2</v>
      </c>
      <c r="I118" t="s">
        <v>668</v>
      </c>
      <c r="J118" t="s">
        <v>669</v>
      </c>
      <c r="K118" t="s">
        <v>670</v>
      </c>
      <c r="L118">
        <v>1367</v>
      </c>
      <c r="N118">
        <v>1011</v>
      </c>
      <c r="O118" t="s">
        <v>614</v>
      </c>
      <c r="P118" t="s">
        <v>614</v>
      </c>
      <c r="Q118">
        <v>1</v>
      </c>
      <c r="W118">
        <v>0</v>
      </c>
      <c r="X118">
        <v>509054691</v>
      </c>
      <c r="Y118">
        <f>(AT118*1.25)</f>
        <v>0.6</v>
      </c>
      <c r="AA118">
        <v>0</v>
      </c>
      <c r="AB118">
        <v>817.43</v>
      </c>
      <c r="AC118">
        <v>371.32</v>
      </c>
      <c r="AD118">
        <v>0</v>
      </c>
      <c r="AE118">
        <v>0</v>
      </c>
      <c r="AF118">
        <v>65.709999999999994</v>
      </c>
      <c r="AG118">
        <v>11.6</v>
      </c>
      <c r="AH118">
        <v>0</v>
      </c>
      <c r="AI118">
        <v>1</v>
      </c>
      <c r="AJ118">
        <v>12.44</v>
      </c>
      <c r="AK118">
        <v>32.01</v>
      </c>
      <c r="AL118">
        <v>1</v>
      </c>
      <c r="AM118">
        <v>4</v>
      </c>
      <c r="AN118">
        <v>0</v>
      </c>
      <c r="AO118">
        <v>1</v>
      </c>
      <c r="AP118">
        <v>1</v>
      </c>
      <c r="AQ118">
        <v>0</v>
      </c>
      <c r="AR118">
        <v>0</v>
      </c>
      <c r="AS118" t="s">
        <v>3</v>
      </c>
      <c r="AT118">
        <v>0.48</v>
      </c>
      <c r="AU118" t="s">
        <v>148</v>
      </c>
      <c r="AV118">
        <v>0</v>
      </c>
      <c r="AW118">
        <v>2</v>
      </c>
      <c r="AX118">
        <v>145034115</v>
      </c>
      <c r="AY118">
        <v>1</v>
      </c>
      <c r="AZ118">
        <v>0</v>
      </c>
      <c r="BA118">
        <v>129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ROUND(Y118*Source!I79,9)</f>
        <v>9.6000000000000002E-2</v>
      </c>
      <c r="CY118">
        <f>AB118</f>
        <v>817.43</v>
      </c>
      <c r="CZ118">
        <f>AF118</f>
        <v>65.709999999999994</v>
      </c>
      <c r="DA118">
        <f>AJ118</f>
        <v>12.44</v>
      </c>
      <c r="DB118">
        <f>ROUND((ROUND(AT118*CZ118,2)*1.25),2)</f>
        <v>39.43</v>
      </c>
      <c r="DC118">
        <f>ROUND((ROUND(AT118*AG118,2)*1.25),2)</f>
        <v>6.96</v>
      </c>
      <c r="DD118" t="s">
        <v>3</v>
      </c>
      <c r="DE118" t="s">
        <v>3</v>
      </c>
      <c r="DF118">
        <f>ROUND(ROUND(AE118,2)*CX118,2)</f>
        <v>0</v>
      </c>
      <c r="DG118">
        <f>ROUND(ROUND(AF118*AJ118,2)*CX118,2)</f>
        <v>78.47</v>
      </c>
      <c r="DH118">
        <f>ROUND(ROUND(AG118*AK118,2)*CX118,2)</f>
        <v>35.65</v>
      </c>
      <c r="DI118">
        <f>ROUND(ROUND(AH118,2)*CX118,2)</f>
        <v>0</v>
      </c>
      <c r="DJ118">
        <f>DG118</f>
        <v>78.47</v>
      </c>
      <c r="DK118">
        <v>0</v>
      </c>
      <c r="DL118" t="s">
        <v>3</v>
      </c>
      <c r="DM118">
        <v>0</v>
      </c>
      <c r="DN118" t="s">
        <v>3</v>
      </c>
      <c r="DO118">
        <v>0</v>
      </c>
    </row>
    <row r="119" spans="1:119" x14ac:dyDescent="0.2">
      <c r="A119">
        <f>ROW(Source!A79)</f>
        <v>79</v>
      </c>
      <c r="B119">
        <v>145026783</v>
      </c>
      <c r="C119">
        <v>145034105</v>
      </c>
      <c r="D119">
        <v>140772692</v>
      </c>
      <c r="E119">
        <v>1</v>
      </c>
      <c r="F119">
        <v>1</v>
      </c>
      <c r="G119">
        <v>1</v>
      </c>
      <c r="H119">
        <v>3</v>
      </c>
      <c r="I119" t="s">
        <v>718</v>
      </c>
      <c r="J119" t="s">
        <v>719</v>
      </c>
      <c r="K119" t="s">
        <v>720</v>
      </c>
      <c r="L119">
        <v>1383</v>
      </c>
      <c r="N119">
        <v>1013</v>
      </c>
      <c r="O119" t="s">
        <v>721</v>
      </c>
      <c r="P119" t="s">
        <v>721</v>
      </c>
      <c r="Q119">
        <v>1</v>
      </c>
      <c r="W119">
        <v>0</v>
      </c>
      <c r="X119">
        <v>-180864722</v>
      </c>
      <c r="Y119">
        <f>AT119</f>
        <v>2.65</v>
      </c>
      <c r="AA119">
        <v>3.56</v>
      </c>
      <c r="AB119">
        <v>0</v>
      </c>
      <c r="AC119">
        <v>0</v>
      </c>
      <c r="AD119">
        <v>0</v>
      </c>
      <c r="AE119">
        <v>0.4</v>
      </c>
      <c r="AF119">
        <v>0</v>
      </c>
      <c r="AG119">
        <v>0</v>
      </c>
      <c r="AH119">
        <v>0</v>
      </c>
      <c r="AI119">
        <v>8.9</v>
      </c>
      <c r="AJ119">
        <v>1</v>
      </c>
      <c r="AK119">
        <v>1</v>
      </c>
      <c r="AL119">
        <v>1</v>
      </c>
      <c r="AM119">
        <v>4</v>
      </c>
      <c r="AN119">
        <v>0</v>
      </c>
      <c r="AO119">
        <v>1</v>
      </c>
      <c r="AP119">
        <v>0</v>
      </c>
      <c r="AQ119">
        <v>0</v>
      </c>
      <c r="AR119">
        <v>0</v>
      </c>
      <c r="AS119" t="s">
        <v>3</v>
      </c>
      <c r="AT119">
        <v>2.65</v>
      </c>
      <c r="AU119" t="s">
        <v>3</v>
      </c>
      <c r="AV119">
        <v>0</v>
      </c>
      <c r="AW119">
        <v>2</v>
      </c>
      <c r="AX119">
        <v>145034117</v>
      </c>
      <c r="AY119">
        <v>1</v>
      </c>
      <c r="AZ119">
        <v>0</v>
      </c>
      <c r="BA119">
        <v>131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ROUND(Y119*Source!I79,9)</f>
        <v>0.42399999999999999</v>
      </c>
      <c r="CY119">
        <f>AA119</f>
        <v>3.56</v>
      </c>
      <c r="CZ119">
        <f>AE119</f>
        <v>0.4</v>
      </c>
      <c r="DA119">
        <f>AI119</f>
        <v>8.9</v>
      </c>
      <c r="DB119">
        <f>ROUND(ROUND(AT119*CZ119,2),2)</f>
        <v>1.06</v>
      </c>
      <c r="DC119">
        <f>ROUND(ROUND(AT119*AG119,2),2)</f>
        <v>0</v>
      </c>
      <c r="DD119" t="s">
        <v>3</v>
      </c>
      <c r="DE119" t="s">
        <v>3</v>
      </c>
      <c r="DF119">
        <f>ROUND(ROUND(AE119*AI119,2)*CX119,2)</f>
        <v>1.51</v>
      </c>
      <c r="DG119">
        <f>ROUND(ROUND(AF119,2)*CX119,2)</f>
        <v>0</v>
      </c>
      <c r="DH119">
        <f>ROUND(ROUND(AG119,2)*CX119,2)</f>
        <v>0</v>
      </c>
      <c r="DI119">
        <f>ROUND(ROUND(AH119,2)*CX119,2)</f>
        <v>0</v>
      </c>
      <c r="DJ119">
        <f>DF119</f>
        <v>1.51</v>
      </c>
      <c r="DK119">
        <v>0</v>
      </c>
      <c r="DL119" t="s">
        <v>3</v>
      </c>
      <c r="DM119">
        <v>0</v>
      </c>
      <c r="DN119" t="s">
        <v>3</v>
      </c>
      <c r="DO119">
        <v>0</v>
      </c>
    </row>
    <row r="120" spans="1:119" x14ac:dyDescent="0.2">
      <c r="A120">
        <f>ROW(Source!A79)</f>
        <v>79</v>
      </c>
      <c r="B120">
        <v>145026783</v>
      </c>
      <c r="C120">
        <v>145034105</v>
      </c>
      <c r="D120">
        <v>140773063</v>
      </c>
      <c r="E120">
        <v>1</v>
      </c>
      <c r="F120">
        <v>1</v>
      </c>
      <c r="G120">
        <v>1</v>
      </c>
      <c r="H120">
        <v>3</v>
      </c>
      <c r="I120" t="s">
        <v>722</v>
      </c>
      <c r="J120" t="s">
        <v>723</v>
      </c>
      <c r="K120" t="s">
        <v>724</v>
      </c>
      <c r="L120">
        <v>1308</v>
      </c>
      <c r="N120">
        <v>1003</v>
      </c>
      <c r="O120" t="s">
        <v>53</v>
      </c>
      <c r="P120" t="s">
        <v>53</v>
      </c>
      <c r="Q120">
        <v>100</v>
      </c>
      <c r="W120">
        <v>0</v>
      </c>
      <c r="X120">
        <v>-882197249</v>
      </c>
      <c r="Y120">
        <f>AT120</f>
        <v>0.68</v>
      </c>
      <c r="AA120">
        <v>884.66</v>
      </c>
      <c r="AB120">
        <v>0</v>
      </c>
      <c r="AC120">
        <v>0</v>
      </c>
      <c r="AD120">
        <v>0</v>
      </c>
      <c r="AE120">
        <v>99.4</v>
      </c>
      <c r="AF120">
        <v>0</v>
      </c>
      <c r="AG120">
        <v>0</v>
      </c>
      <c r="AH120">
        <v>0</v>
      </c>
      <c r="AI120">
        <v>8.9</v>
      </c>
      <c r="AJ120">
        <v>1</v>
      </c>
      <c r="AK120">
        <v>1</v>
      </c>
      <c r="AL120">
        <v>1</v>
      </c>
      <c r="AM120">
        <v>4</v>
      </c>
      <c r="AN120">
        <v>0</v>
      </c>
      <c r="AO120">
        <v>1</v>
      </c>
      <c r="AP120">
        <v>0</v>
      </c>
      <c r="AQ120">
        <v>0</v>
      </c>
      <c r="AR120">
        <v>0</v>
      </c>
      <c r="AS120" t="s">
        <v>3</v>
      </c>
      <c r="AT120">
        <v>0.68</v>
      </c>
      <c r="AU120" t="s">
        <v>3</v>
      </c>
      <c r="AV120">
        <v>0</v>
      </c>
      <c r="AW120">
        <v>2</v>
      </c>
      <c r="AX120">
        <v>145034118</v>
      </c>
      <c r="AY120">
        <v>1</v>
      </c>
      <c r="AZ120">
        <v>0</v>
      </c>
      <c r="BA120">
        <v>132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ROUND(Y120*Source!I79,9)</f>
        <v>0.10879999999999999</v>
      </c>
      <c r="CY120">
        <f>AA120</f>
        <v>884.66</v>
      </c>
      <c r="CZ120">
        <f>AE120</f>
        <v>99.4</v>
      </c>
      <c r="DA120">
        <f>AI120</f>
        <v>8.9</v>
      </c>
      <c r="DB120">
        <f>ROUND(ROUND(AT120*CZ120,2),2)</f>
        <v>67.59</v>
      </c>
      <c r="DC120">
        <f>ROUND(ROUND(AT120*AG120,2),2)</f>
        <v>0</v>
      </c>
      <c r="DD120" t="s">
        <v>3</v>
      </c>
      <c r="DE120" t="s">
        <v>3</v>
      </c>
      <c r="DF120">
        <f>ROUND(ROUND(AE120*AI120,2)*CX120,2)</f>
        <v>96.25</v>
      </c>
      <c r="DG120">
        <f>ROUND(ROUND(AF120,2)*CX120,2)</f>
        <v>0</v>
      </c>
      <c r="DH120">
        <f>ROUND(ROUND(AG120,2)*CX120,2)</f>
        <v>0</v>
      </c>
      <c r="DI120">
        <f>ROUND(ROUND(AH120,2)*CX120,2)</f>
        <v>0</v>
      </c>
      <c r="DJ120">
        <f>DF120</f>
        <v>96.25</v>
      </c>
      <c r="DK120">
        <v>0</v>
      </c>
      <c r="DL120" t="s">
        <v>3</v>
      </c>
      <c r="DM120">
        <v>0</v>
      </c>
      <c r="DN120" t="s">
        <v>3</v>
      </c>
      <c r="DO120">
        <v>0</v>
      </c>
    </row>
    <row r="121" spans="1:119" x14ac:dyDescent="0.2">
      <c r="A121">
        <f>ROW(Source!A81)</f>
        <v>81</v>
      </c>
      <c r="B121">
        <v>145026783</v>
      </c>
      <c r="C121">
        <v>145034120</v>
      </c>
      <c r="D121">
        <v>140755439</v>
      </c>
      <c r="E121">
        <v>70</v>
      </c>
      <c r="F121">
        <v>1</v>
      </c>
      <c r="G121">
        <v>1</v>
      </c>
      <c r="H121">
        <v>1</v>
      </c>
      <c r="I121" t="s">
        <v>663</v>
      </c>
      <c r="J121" t="s">
        <v>3</v>
      </c>
      <c r="K121" t="s">
        <v>664</v>
      </c>
      <c r="L121">
        <v>1191</v>
      </c>
      <c r="N121">
        <v>1013</v>
      </c>
      <c r="O121" t="s">
        <v>608</v>
      </c>
      <c r="P121" t="s">
        <v>608</v>
      </c>
      <c r="Q121">
        <v>1</v>
      </c>
      <c r="W121">
        <v>0</v>
      </c>
      <c r="X121">
        <v>-1810713292</v>
      </c>
      <c r="Y121">
        <f>(AT121*1.15)</f>
        <v>7.6819999999999995</v>
      </c>
      <c r="AA121">
        <v>0</v>
      </c>
      <c r="AB121">
        <v>0</v>
      </c>
      <c r="AC121">
        <v>0</v>
      </c>
      <c r="AD121">
        <v>293.85000000000002</v>
      </c>
      <c r="AE121">
        <v>0</v>
      </c>
      <c r="AF121">
        <v>0</v>
      </c>
      <c r="AG121">
        <v>0</v>
      </c>
      <c r="AH121">
        <v>9.18</v>
      </c>
      <c r="AI121">
        <v>1</v>
      </c>
      <c r="AJ121">
        <v>1</v>
      </c>
      <c r="AK121">
        <v>1</v>
      </c>
      <c r="AL121">
        <v>32.01</v>
      </c>
      <c r="AM121">
        <v>4</v>
      </c>
      <c r="AN121">
        <v>0</v>
      </c>
      <c r="AO121">
        <v>1</v>
      </c>
      <c r="AP121">
        <v>1</v>
      </c>
      <c r="AQ121">
        <v>0</v>
      </c>
      <c r="AR121">
        <v>0</v>
      </c>
      <c r="AS121" t="s">
        <v>3</v>
      </c>
      <c r="AT121">
        <v>6.68</v>
      </c>
      <c r="AU121" t="s">
        <v>149</v>
      </c>
      <c r="AV121">
        <v>1</v>
      </c>
      <c r="AW121">
        <v>2</v>
      </c>
      <c r="AX121">
        <v>145034132</v>
      </c>
      <c r="AY121">
        <v>1</v>
      </c>
      <c r="AZ121">
        <v>0</v>
      </c>
      <c r="BA121">
        <v>133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ROUND(Y121*Source!I81,9)</f>
        <v>11.000624</v>
      </c>
      <c r="CY121">
        <f>AD121</f>
        <v>293.85000000000002</v>
      </c>
      <c r="CZ121">
        <f>AH121</f>
        <v>9.18</v>
      </c>
      <c r="DA121">
        <f>AL121</f>
        <v>32.01</v>
      </c>
      <c r="DB121">
        <f>ROUND((ROUND(AT121*CZ121,2)*1.15),2)</f>
        <v>70.52</v>
      </c>
      <c r="DC121">
        <f>ROUND((ROUND(AT121*AG121,2)*1.15),2)</f>
        <v>0</v>
      </c>
      <c r="DD121" t="s">
        <v>3</v>
      </c>
      <c r="DE121" t="s">
        <v>3</v>
      </c>
      <c r="DF121">
        <f>ROUND(ROUND(AE121,2)*CX121,2)</f>
        <v>0</v>
      </c>
      <c r="DG121">
        <f>ROUND(ROUND(AF121,2)*CX121,2)</f>
        <v>0</v>
      </c>
      <c r="DH121">
        <f>ROUND(ROUND(AG121,2)*CX121,2)</f>
        <v>0</v>
      </c>
      <c r="DI121">
        <f>ROUND(ROUND(AH121*AL121,2)*CX121,2)</f>
        <v>3232.53</v>
      </c>
      <c r="DJ121">
        <f>DI121</f>
        <v>3232.53</v>
      </c>
      <c r="DK121">
        <v>0</v>
      </c>
      <c r="DL121" t="s">
        <v>3</v>
      </c>
      <c r="DM121">
        <v>0</v>
      </c>
      <c r="DN121" t="s">
        <v>3</v>
      </c>
      <c r="DO121">
        <v>0</v>
      </c>
    </row>
    <row r="122" spans="1:119" x14ac:dyDescent="0.2">
      <c r="A122">
        <f>ROW(Source!A81)</f>
        <v>81</v>
      </c>
      <c r="B122">
        <v>145026783</v>
      </c>
      <c r="C122">
        <v>145034120</v>
      </c>
      <c r="D122">
        <v>140755491</v>
      </c>
      <c r="E122">
        <v>70</v>
      </c>
      <c r="F122">
        <v>1</v>
      </c>
      <c r="G122">
        <v>1</v>
      </c>
      <c r="H122">
        <v>1</v>
      </c>
      <c r="I122" t="s">
        <v>609</v>
      </c>
      <c r="J122" t="s">
        <v>3</v>
      </c>
      <c r="K122" t="s">
        <v>610</v>
      </c>
      <c r="L122">
        <v>1191</v>
      </c>
      <c r="N122">
        <v>1013</v>
      </c>
      <c r="O122" t="s">
        <v>608</v>
      </c>
      <c r="P122" t="s">
        <v>608</v>
      </c>
      <c r="Q122">
        <v>1</v>
      </c>
      <c r="W122">
        <v>0</v>
      </c>
      <c r="X122">
        <v>-1417349443</v>
      </c>
      <c r="Y122">
        <f>(AT122*1.25)</f>
        <v>0.05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1</v>
      </c>
      <c r="AJ122">
        <v>1</v>
      </c>
      <c r="AK122">
        <v>32.01</v>
      </c>
      <c r="AL122">
        <v>1</v>
      </c>
      <c r="AM122">
        <v>4</v>
      </c>
      <c r="AN122">
        <v>0</v>
      </c>
      <c r="AO122">
        <v>1</v>
      </c>
      <c r="AP122">
        <v>1</v>
      </c>
      <c r="AQ122">
        <v>0</v>
      </c>
      <c r="AR122">
        <v>0</v>
      </c>
      <c r="AS122" t="s">
        <v>3</v>
      </c>
      <c r="AT122">
        <v>0.04</v>
      </c>
      <c r="AU122" t="s">
        <v>148</v>
      </c>
      <c r="AV122">
        <v>2</v>
      </c>
      <c r="AW122">
        <v>2</v>
      </c>
      <c r="AX122">
        <v>145034133</v>
      </c>
      <c r="AY122">
        <v>1</v>
      </c>
      <c r="AZ122">
        <v>0</v>
      </c>
      <c r="BA122">
        <v>134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ROUND(Y122*Source!I81,9)</f>
        <v>7.1599999999999997E-2</v>
      </c>
      <c r="CY122">
        <f>AD122</f>
        <v>0</v>
      </c>
      <c r="CZ122">
        <f>AH122</f>
        <v>0</v>
      </c>
      <c r="DA122">
        <f>AL122</f>
        <v>1</v>
      </c>
      <c r="DB122">
        <f>ROUND((ROUND(AT122*CZ122,2)*1.25),2)</f>
        <v>0</v>
      </c>
      <c r="DC122">
        <f>ROUND((ROUND(AT122*AG122,2)*1.25),2)</f>
        <v>0</v>
      </c>
      <c r="DD122" t="s">
        <v>3</v>
      </c>
      <c r="DE122" t="s">
        <v>3</v>
      </c>
      <c r="DF122">
        <f>ROUND(ROUND(AE122,2)*CX122,2)</f>
        <v>0</v>
      </c>
      <c r="DG122">
        <f>ROUND(ROUND(AF122,2)*CX122,2)</f>
        <v>0</v>
      </c>
      <c r="DH122">
        <f>ROUND(ROUND(AG122*AK122,2)*CX122,2)</f>
        <v>0</v>
      </c>
      <c r="DI122">
        <f t="shared" ref="DI122:DI131" si="51">ROUND(ROUND(AH122,2)*CX122,2)</f>
        <v>0</v>
      </c>
      <c r="DJ122">
        <f>DI122</f>
        <v>0</v>
      </c>
      <c r="DK122">
        <v>0</v>
      </c>
      <c r="DL122" t="s">
        <v>3</v>
      </c>
      <c r="DM122">
        <v>0</v>
      </c>
      <c r="DN122" t="s">
        <v>3</v>
      </c>
      <c r="DO122">
        <v>0</v>
      </c>
    </row>
    <row r="123" spans="1:119" x14ac:dyDescent="0.2">
      <c r="A123">
        <f>ROW(Source!A81)</f>
        <v>81</v>
      </c>
      <c r="B123">
        <v>145026783</v>
      </c>
      <c r="C123">
        <v>145034120</v>
      </c>
      <c r="D123">
        <v>140923145</v>
      </c>
      <c r="E123">
        <v>1</v>
      </c>
      <c r="F123">
        <v>1</v>
      </c>
      <c r="G123">
        <v>1</v>
      </c>
      <c r="H123">
        <v>2</v>
      </c>
      <c r="I123" t="s">
        <v>611</v>
      </c>
      <c r="J123" t="s">
        <v>612</v>
      </c>
      <c r="K123" t="s">
        <v>613</v>
      </c>
      <c r="L123">
        <v>1367</v>
      </c>
      <c r="N123">
        <v>1011</v>
      </c>
      <c r="O123" t="s">
        <v>614</v>
      </c>
      <c r="P123" t="s">
        <v>614</v>
      </c>
      <c r="Q123">
        <v>1</v>
      </c>
      <c r="W123">
        <v>0</v>
      </c>
      <c r="X123">
        <v>1232162608</v>
      </c>
      <c r="Y123">
        <f>(AT123*1.25)</f>
        <v>6.2500000000000003E-3</v>
      </c>
      <c r="AA123">
        <v>0</v>
      </c>
      <c r="AB123">
        <v>388.87</v>
      </c>
      <c r="AC123">
        <v>432.14</v>
      </c>
      <c r="AD123">
        <v>0</v>
      </c>
      <c r="AE123">
        <v>0</v>
      </c>
      <c r="AF123">
        <v>31.26</v>
      </c>
      <c r="AG123">
        <v>13.5</v>
      </c>
      <c r="AH123">
        <v>0</v>
      </c>
      <c r="AI123">
        <v>1</v>
      </c>
      <c r="AJ123">
        <v>12.44</v>
      </c>
      <c r="AK123">
        <v>32.01</v>
      </c>
      <c r="AL123">
        <v>1</v>
      </c>
      <c r="AM123">
        <v>4</v>
      </c>
      <c r="AN123">
        <v>0</v>
      </c>
      <c r="AO123">
        <v>1</v>
      </c>
      <c r="AP123">
        <v>1</v>
      </c>
      <c r="AQ123">
        <v>0</v>
      </c>
      <c r="AR123">
        <v>0</v>
      </c>
      <c r="AS123" t="s">
        <v>3</v>
      </c>
      <c r="AT123">
        <v>5.0000000000000001E-3</v>
      </c>
      <c r="AU123" t="s">
        <v>148</v>
      </c>
      <c r="AV123">
        <v>0</v>
      </c>
      <c r="AW123">
        <v>2</v>
      </c>
      <c r="AX123">
        <v>145034134</v>
      </c>
      <c r="AY123">
        <v>1</v>
      </c>
      <c r="AZ123">
        <v>0</v>
      </c>
      <c r="BA123">
        <v>135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ROUND(Y123*Source!I81,9)</f>
        <v>8.9499999999999996E-3</v>
      </c>
      <c r="CY123">
        <f>AB123</f>
        <v>388.87</v>
      </c>
      <c r="CZ123">
        <f>AF123</f>
        <v>31.26</v>
      </c>
      <c r="DA123">
        <f>AJ123</f>
        <v>12.44</v>
      </c>
      <c r="DB123">
        <f>ROUND((ROUND(AT123*CZ123,2)*1.25),2)</f>
        <v>0.2</v>
      </c>
      <c r="DC123">
        <f>ROUND((ROUND(AT123*AG123,2)*1.25),2)</f>
        <v>0.09</v>
      </c>
      <c r="DD123" t="s">
        <v>3</v>
      </c>
      <c r="DE123" t="s">
        <v>3</v>
      </c>
      <c r="DF123">
        <f>ROUND(ROUND(AE123,2)*CX123,2)</f>
        <v>0</v>
      </c>
      <c r="DG123">
        <f>ROUND(ROUND(AF123*AJ123,2)*CX123,2)</f>
        <v>3.48</v>
      </c>
      <c r="DH123">
        <f>ROUND(ROUND(AG123*AK123,2)*CX123,2)</f>
        <v>3.87</v>
      </c>
      <c r="DI123">
        <f t="shared" si="51"/>
        <v>0</v>
      </c>
      <c r="DJ123">
        <f>DG123</f>
        <v>3.48</v>
      </c>
      <c r="DK123">
        <v>0</v>
      </c>
      <c r="DL123" t="s">
        <v>3</v>
      </c>
      <c r="DM123">
        <v>0</v>
      </c>
      <c r="DN123" t="s">
        <v>3</v>
      </c>
      <c r="DO123">
        <v>0</v>
      </c>
    </row>
    <row r="124" spans="1:119" x14ac:dyDescent="0.2">
      <c r="A124">
        <f>ROW(Source!A81)</f>
        <v>81</v>
      </c>
      <c r="B124">
        <v>145026783</v>
      </c>
      <c r="C124">
        <v>145034120</v>
      </c>
      <c r="D124">
        <v>140923885</v>
      </c>
      <c r="E124">
        <v>1</v>
      </c>
      <c r="F124">
        <v>1</v>
      </c>
      <c r="G124">
        <v>1</v>
      </c>
      <c r="H124">
        <v>2</v>
      </c>
      <c r="I124" t="s">
        <v>668</v>
      </c>
      <c r="J124" t="s">
        <v>669</v>
      </c>
      <c r="K124" t="s">
        <v>670</v>
      </c>
      <c r="L124">
        <v>1367</v>
      </c>
      <c r="N124">
        <v>1011</v>
      </c>
      <c r="O124" t="s">
        <v>614</v>
      </c>
      <c r="P124" t="s">
        <v>614</v>
      </c>
      <c r="Q124">
        <v>1</v>
      </c>
      <c r="W124">
        <v>0</v>
      </c>
      <c r="X124">
        <v>509054691</v>
      </c>
      <c r="Y124">
        <f>(AT124*1.25)</f>
        <v>3.7499999999999999E-2</v>
      </c>
      <c r="AA124">
        <v>0</v>
      </c>
      <c r="AB124">
        <v>817.43</v>
      </c>
      <c r="AC124">
        <v>371.32</v>
      </c>
      <c r="AD124">
        <v>0</v>
      </c>
      <c r="AE124">
        <v>0</v>
      </c>
      <c r="AF124">
        <v>65.709999999999994</v>
      </c>
      <c r="AG124">
        <v>11.6</v>
      </c>
      <c r="AH124">
        <v>0</v>
      </c>
      <c r="AI124">
        <v>1</v>
      </c>
      <c r="AJ124">
        <v>12.44</v>
      </c>
      <c r="AK124">
        <v>32.01</v>
      </c>
      <c r="AL124">
        <v>1</v>
      </c>
      <c r="AM124">
        <v>4</v>
      </c>
      <c r="AN124">
        <v>0</v>
      </c>
      <c r="AO124">
        <v>1</v>
      </c>
      <c r="AP124">
        <v>1</v>
      </c>
      <c r="AQ124">
        <v>0</v>
      </c>
      <c r="AR124">
        <v>0</v>
      </c>
      <c r="AS124" t="s">
        <v>3</v>
      </c>
      <c r="AT124">
        <v>0.03</v>
      </c>
      <c r="AU124" t="s">
        <v>148</v>
      </c>
      <c r="AV124">
        <v>0</v>
      </c>
      <c r="AW124">
        <v>2</v>
      </c>
      <c r="AX124">
        <v>145034135</v>
      </c>
      <c r="AY124">
        <v>1</v>
      </c>
      <c r="AZ124">
        <v>0</v>
      </c>
      <c r="BA124">
        <v>136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ROUND(Y124*Source!I81,9)</f>
        <v>5.3699999999999998E-2</v>
      </c>
      <c r="CY124">
        <f>AB124</f>
        <v>817.43</v>
      </c>
      <c r="CZ124">
        <f>AF124</f>
        <v>65.709999999999994</v>
      </c>
      <c r="DA124">
        <f>AJ124</f>
        <v>12.44</v>
      </c>
      <c r="DB124">
        <f>ROUND((ROUND(AT124*CZ124,2)*1.25),2)</f>
        <v>2.46</v>
      </c>
      <c r="DC124">
        <f>ROUND((ROUND(AT124*AG124,2)*1.25),2)</f>
        <v>0.44</v>
      </c>
      <c r="DD124" t="s">
        <v>3</v>
      </c>
      <c r="DE124" t="s">
        <v>3</v>
      </c>
      <c r="DF124">
        <f>ROUND(ROUND(AE124,2)*CX124,2)</f>
        <v>0</v>
      </c>
      <c r="DG124">
        <f>ROUND(ROUND(AF124*AJ124,2)*CX124,2)</f>
        <v>43.9</v>
      </c>
      <c r="DH124">
        <f>ROUND(ROUND(AG124*AK124,2)*CX124,2)</f>
        <v>19.940000000000001</v>
      </c>
      <c r="DI124">
        <f t="shared" si="51"/>
        <v>0</v>
      </c>
      <c r="DJ124">
        <f>DG124</f>
        <v>43.9</v>
      </c>
      <c r="DK124">
        <v>0</v>
      </c>
      <c r="DL124" t="s">
        <v>3</v>
      </c>
      <c r="DM124">
        <v>0</v>
      </c>
      <c r="DN124" t="s">
        <v>3</v>
      </c>
      <c r="DO124">
        <v>0</v>
      </c>
    </row>
    <row r="125" spans="1:119" x14ac:dyDescent="0.2">
      <c r="A125">
        <f>ROW(Source!A81)</f>
        <v>81</v>
      </c>
      <c r="B125">
        <v>145026783</v>
      </c>
      <c r="C125">
        <v>145034120</v>
      </c>
      <c r="D125">
        <v>140775049</v>
      </c>
      <c r="E125">
        <v>1</v>
      </c>
      <c r="F125">
        <v>1</v>
      </c>
      <c r="G125">
        <v>1</v>
      </c>
      <c r="H125">
        <v>3</v>
      </c>
      <c r="I125" t="s">
        <v>725</v>
      </c>
      <c r="J125" t="s">
        <v>726</v>
      </c>
      <c r="K125" t="s">
        <v>727</v>
      </c>
      <c r="L125">
        <v>1425</v>
      </c>
      <c r="N125">
        <v>1013</v>
      </c>
      <c r="O125" t="s">
        <v>21</v>
      </c>
      <c r="P125" t="s">
        <v>21</v>
      </c>
      <c r="Q125">
        <v>1</v>
      </c>
      <c r="W125">
        <v>0</v>
      </c>
      <c r="X125">
        <v>-1109928473</v>
      </c>
      <c r="Y125">
        <f t="shared" ref="Y125:Y131" si="52">AT125</f>
        <v>2.63</v>
      </c>
      <c r="AA125">
        <v>106.8</v>
      </c>
      <c r="AB125">
        <v>0</v>
      </c>
      <c r="AC125">
        <v>0</v>
      </c>
      <c r="AD125">
        <v>0</v>
      </c>
      <c r="AE125">
        <v>12</v>
      </c>
      <c r="AF125">
        <v>0</v>
      </c>
      <c r="AG125">
        <v>0</v>
      </c>
      <c r="AH125">
        <v>0</v>
      </c>
      <c r="AI125">
        <v>8.9</v>
      </c>
      <c r="AJ125">
        <v>1</v>
      </c>
      <c r="AK125">
        <v>1</v>
      </c>
      <c r="AL125">
        <v>1</v>
      </c>
      <c r="AM125">
        <v>4</v>
      </c>
      <c r="AN125">
        <v>0</v>
      </c>
      <c r="AO125">
        <v>1</v>
      </c>
      <c r="AP125">
        <v>0</v>
      </c>
      <c r="AQ125">
        <v>0</v>
      </c>
      <c r="AR125">
        <v>0</v>
      </c>
      <c r="AS125" t="s">
        <v>3</v>
      </c>
      <c r="AT125">
        <v>2.63</v>
      </c>
      <c r="AU125" t="s">
        <v>3</v>
      </c>
      <c r="AV125">
        <v>0</v>
      </c>
      <c r="AW125">
        <v>2</v>
      </c>
      <c r="AX125">
        <v>145034136</v>
      </c>
      <c r="AY125">
        <v>1</v>
      </c>
      <c r="AZ125">
        <v>0</v>
      </c>
      <c r="BA125">
        <v>137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ROUND(Y125*Source!I81,9)</f>
        <v>3.7661600000000002</v>
      </c>
      <c r="CY125">
        <f t="shared" ref="CY125:CY131" si="53">AA125</f>
        <v>106.8</v>
      </c>
      <c r="CZ125">
        <f t="shared" ref="CZ125:CZ131" si="54">AE125</f>
        <v>12</v>
      </c>
      <c r="DA125">
        <f t="shared" ref="DA125:DA131" si="55">AI125</f>
        <v>8.9</v>
      </c>
      <c r="DB125">
        <f t="shared" ref="DB125:DB131" si="56">ROUND(ROUND(AT125*CZ125,2),2)</f>
        <v>31.56</v>
      </c>
      <c r="DC125">
        <f t="shared" ref="DC125:DC131" si="57">ROUND(ROUND(AT125*AG125,2),2)</f>
        <v>0</v>
      </c>
      <c r="DD125" t="s">
        <v>3</v>
      </c>
      <c r="DE125" t="s">
        <v>3</v>
      </c>
      <c r="DF125">
        <f t="shared" ref="DF125:DF131" si="58">ROUND(ROUND(AE125*AI125,2)*CX125,2)</f>
        <v>402.23</v>
      </c>
      <c r="DG125">
        <f t="shared" ref="DG125:DG133" si="59">ROUND(ROUND(AF125,2)*CX125,2)</f>
        <v>0</v>
      </c>
      <c r="DH125">
        <f t="shared" ref="DH125:DH132" si="60">ROUND(ROUND(AG125,2)*CX125,2)</f>
        <v>0</v>
      </c>
      <c r="DI125">
        <f t="shared" si="51"/>
        <v>0</v>
      </c>
      <c r="DJ125">
        <f t="shared" ref="DJ125:DJ131" si="61">DF125</f>
        <v>402.23</v>
      </c>
      <c r="DK125">
        <v>0</v>
      </c>
      <c r="DL125" t="s">
        <v>3</v>
      </c>
      <c r="DM125">
        <v>0</v>
      </c>
      <c r="DN125" t="s">
        <v>3</v>
      </c>
      <c r="DO125">
        <v>0</v>
      </c>
    </row>
    <row r="126" spans="1:119" x14ac:dyDescent="0.2">
      <c r="A126">
        <f>ROW(Source!A81)</f>
        <v>81</v>
      </c>
      <c r="B126">
        <v>145026783</v>
      </c>
      <c r="C126">
        <v>145034120</v>
      </c>
      <c r="D126">
        <v>140775152</v>
      </c>
      <c r="E126">
        <v>1</v>
      </c>
      <c r="F126">
        <v>1</v>
      </c>
      <c r="G126">
        <v>1</v>
      </c>
      <c r="H126">
        <v>3</v>
      </c>
      <c r="I126" t="s">
        <v>728</v>
      </c>
      <c r="J126" t="s">
        <v>729</v>
      </c>
      <c r="K126" t="s">
        <v>730</v>
      </c>
      <c r="L126">
        <v>1407</v>
      </c>
      <c r="N126">
        <v>1013</v>
      </c>
      <c r="O126" t="s">
        <v>731</v>
      </c>
      <c r="P126" t="s">
        <v>731</v>
      </c>
      <c r="Q126">
        <v>1</v>
      </c>
      <c r="W126">
        <v>0</v>
      </c>
      <c r="X126">
        <v>-739449243</v>
      </c>
      <c r="Y126">
        <f t="shared" si="52"/>
        <v>0.26300000000000001</v>
      </c>
      <c r="AA126">
        <v>1424</v>
      </c>
      <c r="AB126">
        <v>0</v>
      </c>
      <c r="AC126">
        <v>0</v>
      </c>
      <c r="AD126">
        <v>0</v>
      </c>
      <c r="AE126">
        <v>160</v>
      </c>
      <c r="AF126">
        <v>0</v>
      </c>
      <c r="AG126">
        <v>0</v>
      </c>
      <c r="AH126">
        <v>0</v>
      </c>
      <c r="AI126">
        <v>8.9</v>
      </c>
      <c r="AJ126">
        <v>1</v>
      </c>
      <c r="AK126">
        <v>1</v>
      </c>
      <c r="AL126">
        <v>1</v>
      </c>
      <c r="AM126">
        <v>4</v>
      </c>
      <c r="AN126">
        <v>0</v>
      </c>
      <c r="AO126">
        <v>1</v>
      </c>
      <c r="AP126">
        <v>0</v>
      </c>
      <c r="AQ126">
        <v>0</v>
      </c>
      <c r="AR126">
        <v>0</v>
      </c>
      <c r="AS126" t="s">
        <v>3</v>
      </c>
      <c r="AT126">
        <v>0.26300000000000001</v>
      </c>
      <c r="AU126" t="s">
        <v>3</v>
      </c>
      <c r="AV126">
        <v>0</v>
      </c>
      <c r="AW126">
        <v>2</v>
      </c>
      <c r="AX126">
        <v>145034137</v>
      </c>
      <c r="AY126">
        <v>1</v>
      </c>
      <c r="AZ126">
        <v>0</v>
      </c>
      <c r="BA126">
        <v>138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ROUND(Y126*Source!I81,9)</f>
        <v>0.37661600000000001</v>
      </c>
      <c r="CY126">
        <f t="shared" si="53"/>
        <v>1424</v>
      </c>
      <c r="CZ126">
        <f t="shared" si="54"/>
        <v>160</v>
      </c>
      <c r="DA126">
        <f t="shared" si="55"/>
        <v>8.9</v>
      </c>
      <c r="DB126">
        <f t="shared" si="56"/>
        <v>42.08</v>
      </c>
      <c r="DC126">
        <f t="shared" si="57"/>
        <v>0</v>
      </c>
      <c r="DD126" t="s">
        <v>3</v>
      </c>
      <c r="DE126" t="s">
        <v>3</v>
      </c>
      <c r="DF126">
        <f t="shared" si="58"/>
        <v>536.29999999999995</v>
      </c>
      <c r="DG126">
        <f t="shared" si="59"/>
        <v>0</v>
      </c>
      <c r="DH126">
        <f t="shared" si="60"/>
        <v>0</v>
      </c>
      <c r="DI126">
        <f t="shared" si="51"/>
        <v>0</v>
      </c>
      <c r="DJ126">
        <f t="shared" si="61"/>
        <v>536.29999999999995</v>
      </c>
      <c r="DK126">
        <v>0</v>
      </c>
      <c r="DL126" t="s">
        <v>3</v>
      </c>
      <c r="DM126">
        <v>0</v>
      </c>
      <c r="DN126" t="s">
        <v>3</v>
      </c>
      <c r="DO126">
        <v>0</v>
      </c>
    </row>
    <row r="127" spans="1:119" x14ac:dyDescent="0.2">
      <c r="A127">
        <f>ROW(Source!A81)</f>
        <v>81</v>
      </c>
      <c r="B127">
        <v>145026783</v>
      </c>
      <c r="C127">
        <v>145034120</v>
      </c>
      <c r="D127">
        <v>140798306</v>
      </c>
      <c r="E127">
        <v>1</v>
      </c>
      <c r="F127">
        <v>1</v>
      </c>
      <c r="G127">
        <v>1</v>
      </c>
      <c r="H127">
        <v>3</v>
      </c>
      <c r="I127" t="s">
        <v>241</v>
      </c>
      <c r="J127" t="s">
        <v>243</v>
      </c>
      <c r="K127" t="s">
        <v>242</v>
      </c>
      <c r="L127">
        <v>1425</v>
      </c>
      <c r="N127">
        <v>1013</v>
      </c>
      <c r="O127" t="s">
        <v>21</v>
      </c>
      <c r="P127" t="s">
        <v>21</v>
      </c>
      <c r="Q127">
        <v>1</v>
      </c>
      <c r="W127">
        <v>1</v>
      </c>
      <c r="X127">
        <v>-1281023975</v>
      </c>
      <c r="Y127">
        <f t="shared" si="52"/>
        <v>-0.08</v>
      </c>
      <c r="AA127">
        <v>560.70000000000005</v>
      </c>
      <c r="AB127">
        <v>0</v>
      </c>
      <c r="AC127">
        <v>0</v>
      </c>
      <c r="AD127">
        <v>0</v>
      </c>
      <c r="AE127">
        <v>63</v>
      </c>
      <c r="AF127">
        <v>0</v>
      </c>
      <c r="AG127">
        <v>0</v>
      </c>
      <c r="AH127">
        <v>0</v>
      </c>
      <c r="AI127">
        <v>8.9</v>
      </c>
      <c r="AJ127">
        <v>1</v>
      </c>
      <c r="AK127">
        <v>1</v>
      </c>
      <c r="AL127">
        <v>1</v>
      </c>
      <c r="AM127">
        <v>4</v>
      </c>
      <c r="AN127">
        <v>0</v>
      </c>
      <c r="AO127">
        <v>1</v>
      </c>
      <c r="AP127">
        <v>0</v>
      </c>
      <c r="AQ127">
        <v>0</v>
      </c>
      <c r="AR127">
        <v>0</v>
      </c>
      <c r="AS127" t="s">
        <v>3</v>
      </c>
      <c r="AT127">
        <v>-0.08</v>
      </c>
      <c r="AU127" t="s">
        <v>3</v>
      </c>
      <c r="AV127">
        <v>0</v>
      </c>
      <c r="AW127">
        <v>2</v>
      </c>
      <c r="AX127">
        <v>145034139</v>
      </c>
      <c r="AY127">
        <v>1</v>
      </c>
      <c r="AZ127">
        <v>6144</v>
      </c>
      <c r="BA127">
        <v>140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ROUND(Y127*Source!I81,9)</f>
        <v>-0.11456</v>
      </c>
      <c r="CY127">
        <f t="shared" si="53"/>
        <v>560.70000000000005</v>
      </c>
      <c r="CZ127">
        <f t="shared" si="54"/>
        <v>63</v>
      </c>
      <c r="DA127">
        <f t="shared" si="55"/>
        <v>8.9</v>
      </c>
      <c r="DB127">
        <f t="shared" si="56"/>
        <v>-5.04</v>
      </c>
      <c r="DC127">
        <f t="shared" si="57"/>
        <v>0</v>
      </c>
      <c r="DD127" t="s">
        <v>3</v>
      </c>
      <c r="DE127" t="s">
        <v>3</v>
      </c>
      <c r="DF127">
        <f t="shared" si="58"/>
        <v>-64.23</v>
      </c>
      <c r="DG127">
        <f t="shared" si="59"/>
        <v>0</v>
      </c>
      <c r="DH127">
        <f t="shared" si="60"/>
        <v>0</v>
      </c>
      <c r="DI127">
        <f t="shared" si="51"/>
        <v>0</v>
      </c>
      <c r="DJ127">
        <f t="shared" si="61"/>
        <v>-64.23</v>
      </c>
      <c r="DK127">
        <v>0</v>
      </c>
      <c r="DL127" t="s">
        <v>3</v>
      </c>
      <c r="DM127">
        <v>0</v>
      </c>
      <c r="DN127" t="s">
        <v>3</v>
      </c>
      <c r="DO127">
        <v>0</v>
      </c>
    </row>
    <row r="128" spans="1:119" x14ac:dyDescent="0.2">
      <c r="A128">
        <f>ROW(Source!A81)</f>
        <v>81</v>
      </c>
      <c r="B128">
        <v>145026783</v>
      </c>
      <c r="C128">
        <v>145034120</v>
      </c>
      <c r="D128">
        <v>140798308</v>
      </c>
      <c r="E128">
        <v>1</v>
      </c>
      <c r="F128">
        <v>1</v>
      </c>
      <c r="G128">
        <v>1</v>
      </c>
      <c r="H128">
        <v>3</v>
      </c>
      <c r="I128" t="s">
        <v>245</v>
      </c>
      <c r="J128" t="s">
        <v>247</v>
      </c>
      <c r="K128" t="s">
        <v>246</v>
      </c>
      <c r="L128">
        <v>1425</v>
      </c>
      <c r="N128">
        <v>1013</v>
      </c>
      <c r="O128" t="s">
        <v>21</v>
      </c>
      <c r="P128" t="s">
        <v>21</v>
      </c>
      <c r="Q128">
        <v>1</v>
      </c>
      <c r="W128">
        <v>1</v>
      </c>
      <c r="X128">
        <v>-826702841</v>
      </c>
      <c r="Y128">
        <f t="shared" si="52"/>
        <v>-0.08</v>
      </c>
      <c r="AA128">
        <v>560.70000000000005</v>
      </c>
      <c r="AB128">
        <v>0</v>
      </c>
      <c r="AC128">
        <v>0</v>
      </c>
      <c r="AD128">
        <v>0</v>
      </c>
      <c r="AE128">
        <v>63</v>
      </c>
      <c r="AF128">
        <v>0</v>
      </c>
      <c r="AG128">
        <v>0</v>
      </c>
      <c r="AH128">
        <v>0</v>
      </c>
      <c r="AI128">
        <v>8.9</v>
      </c>
      <c r="AJ128">
        <v>1</v>
      </c>
      <c r="AK128">
        <v>1</v>
      </c>
      <c r="AL128">
        <v>1</v>
      </c>
      <c r="AM128">
        <v>4</v>
      </c>
      <c r="AN128">
        <v>0</v>
      </c>
      <c r="AO128">
        <v>1</v>
      </c>
      <c r="AP128">
        <v>0</v>
      </c>
      <c r="AQ128">
        <v>0</v>
      </c>
      <c r="AR128">
        <v>0</v>
      </c>
      <c r="AS128" t="s">
        <v>3</v>
      </c>
      <c r="AT128">
        <v>-0.08</v>
      </c>
      <c r="AU128" t="s">
        <v>3</v>
      </c>
      <c r="AV128">
        <v>0</v>
      </c>
      <c r="AW128">
        <v>2</v>
      </c>
      <c r="AX128">
        <v>145034140</v>
      </c>
      <c r="AY128">
        <v>1</v>
      </c>
      <c r="AZ128">
        <v>6144</v>
      </c>
      <c r="BA128">
        <v>141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ROUND(Y128*Source!I81,9)</f>
        <v>-0.11456</v>
      </c>
      <c r="CY128">
        <f t="shared" si="53"/>
        <v>560.70000000000005</v>
      </c>
      <c r="CZ128">
        <f t="shared" si="54"/>
        <v>63</v>
      </c>
      <c r="DA128">
        <f t="shared" si="55"/>
        <v>8.9</v>
      </c>
      <c r="DB128">
        <f t="shared" si="56"/>
        <v>-5.04</v>
      </c>
      <c r="DC128">
        <f t="shared" si="57"/>
        <v>0</v>
      </c>
      <c r="DD128" t="s">
        <v>3</v>
      </c>
      <c r="DE128" t="s">
        <v>3</v>
      </c>
      <c r="DF128">
        <f t="shared" si="58"/>
        <v>-64.23</v>
      </c>
      <c r="DG128">
        <f t="shared" si="59"/>
        <v>0</v>
      </c>
      <c r="DH128">
        <f t="shared" si="60"/>
        <v>0</v>
      </c>
      <c r="DI128">
        <f t="shared" si="51"/>
        <v>0</v>
      </c>
      <c r="DJ128">
        <f t="shared" si="61"/>
        <v>-64.23</v>
      </c>
      <c r="DK128">
        <v>0</v>
      </c>
      <c r="DL128" t="s">
        <v>3</v>
      </c>
      <c r="DM128">
        <v>0</v>
      </c>
      <c r="DN128" t="s">
        <v>3</v>
      </c>
      <c r="DO128">
        <v>0</v>
      </c>
    </row>
    <row r="129" spans="1:119" x14ac:dyDescent="0.2">
      <c r="A129">
        <f>ROW(Source!A81)</f>
        <v>81</v>
      </c>
      <c r="B129">
        <v>145026783</v>
      </c>
      <c r="C129">
        <v>145034120</v>
      </c>
      <c r="D129">
        <v>140798310</v>
      </c>
      <c r="E129">
        <v>1</v>
      </c>
      <c r="F129">
        <v>1</v>
      </c>
      <c r="G129">
        <v>1</v>
      </c>
      <c r="H129">
        <v>3</v>
      </c>
      <c r="I129" t="s">
        <v>249</v>
      </c>
      <c r="J129" t="s">
        <v>251</v>
      </c>
      <c r="K129" t="s">
        <v>250</v>
      </c>
      <c r="L129">
        <v>1425</v>
      </c>
      <c r="N129">
        <v>1013</v>
      </c>
      <c r="O129" t="s">
        <v>21</v>
      </c>
      <c r="P129" t="s">
        <v>21</v>
      </c>
      <c r="Q129">
        <v>1</v>
      </c>
      <c r="W129">
        <v>1</v>
      </c>
      <c r="X129">
        <v>1664877770</v>
      </c>
      <c r="Y129">
        <f t="shared" si="52"/>
        <v>-0.4</v>
      </c>
      <c r="AA129">
        <v>1139.2</v>
      </c>
      <c r="AB129">
        <v>0</v>
      </c>
      <c r="AC129">
        <v>0</v>
      </c>
      <c r="AD129">
        <v>0</v>
      </c>
      <c r="AE129">
        <v>128</v>
      </c>
      <c r="AF129">
        <v>0</v>
      </c>
      <c r="AG129">
        <v>0</v>
      </c>
      <c r="AH129">
        <v>0</v>
      </c>
      <c r="AI129">
        <v>8.9</v>
      </c>
      <c r="AJ129">
        <v>1</v>
      </c>
      <c r="AK129">
        <v>1</v>
      </c>
      <c r="AL129">
        <v>1</v>
      </c>
      <c r="AM129">
        <v>4</v>
      </c>
      <c r="AN129">
        <v>0</v>
      </c>
      <c r="AO129">
        <v>1</v>
      </c>
      <c r="AP129">
        <v>0</v>
      </c>
      <c r="AQ129">
        <v>0</v>
      </c>
      <c r="AR129">
        <v>0</v>
      </c>
      <c r="AS129" t="s">
        <v>3</v>
      </c>
      <c r="AT129">
        <v>-0.4</v>
      </c>
      <c r="AU129" t="s">
        <v>3</v>
      </c>
      <c r="AV129">
        <v>0</v>
      </c>
      <c r="AW129">
        <v>2</v>
      </c>
      <c r="AX129">
        <v>145034141</v>
      </c>
      <c r="AY129">
        <v>1</v>
      </c>
      <c r="AZ129">
        <v>6144</v>
      </c>
      <c r="BA129">
        <v>142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ROUND(Y129*Source!I81,9)</f>
        <v>-0.57279999999999998</v>
      </c>
      <c r="CY129">
        <f t="shared" si="53"/>
        <v>1139.2</v>
      </c>
      <c r="CZ129">
        <f t="shared" si="54"/>
        <v>128</v>
      </c>
      <c r="DA129">
        <f t="shared" si="55"/>
        <v>8.9</v>
      </c>
      <c r="DB129">
        <f t="shared" si="56"/>
        <v>-51.2</v>
      </c>
      <c r="DC129">
        <f t="shared" si="57"/>
        <v>0</v>
      </c>
      <c r="DD129" t="s">
        <v>3</v>
      </c>
      <c r="DE129" t="s">
        <v>3</v>
      </c>
      <c r="DF129">
        <f t="shared" si="58"/>
        <v>-652.53</v>
      </c>
      <c r="DG129">
        <f t="shared" si="59"/>
        <v>0</v>
      </c>
      <c r="DH129">
        <f t="shared" si="60"/>
        <v>0</v>
      </c>
      <c r="DI129">
        <f t="shared" si="51"/>
        <v>0</v>
      </c>
      <c r="DJ129">
        <f t="shared" si="61"/>
        <v>-652.53</v>
      </c>
      <c r="DK129">
        <v>0</v>
      </c>
      <c r="DL129" t="s">
        <v>3</v>
      </c>
      <c r="DM129">
        <v>0</v>
      </c>
      <c r="DN129" t="s">
        <v>3</v>
      </c>
      <c r="DO129">
        <v>0</v>
      </c>
    </row>
    <row r="130" spans="1:119" x14ac:dyDescent="0.2">
      <c r="A130">
        <f>ROW(Source!A81)</f>
        <v>81</v>
      </c>
      <c r="B130">
        <v>145026783</v>
      </c>
      <c r="C130">
        <v>145034120</v>
      </c>
      <c r="D130">
        <v>140798312</v>
      </c>
      <c r="E130">
        <v>1</v>
      </c>
      <c r="F130">
        <v>1</v>
      </c>
      <c r="G130">
        <v>1</v>
      </c>
      <c r="H130">
        <v>3</v>
      </c>
      <c r="I130" t="s">
        <v>253</v>
      </c>
      <c r="J130" t="s">
        <v>255</v>
      </c>
      <c r="K130" t="s">
        <v>254</v>
      </c>
      <c r="L130">
        <v>1425</v>
      </c>
      <c r="N130">
        <v>1013</v>
      </c>
      <c r="O130" t="s">
        <v>21</v>
      </c>
      <c r="P130" t="s">
        <v>21</v>
      </c>
      <c r="Q130">
        <v>1</v>
      </c>
      <c r="W130">
        <v>1</v>
      </c>
      <c r="X130">
        <v>1331567160</v>
      </c>
      <c r="Y130">
        <f t="shared" si="52"/>
        <v>-7.0000000000000007E-2</v>
      </c>
      <c r="AA130">
        <v>1139.2</v>
      </c>
      <c r="AB130">
        <v>0</v>
      </c>
      <c r="AC130">
        <v>0</v>
      </c>
      <c r="AD130">
        <v>0</v>
      </c>
      <c r="AE130">
        <v>128</v>
      </c>
      <c r="AF130">
        <v>0</v>
      </c>
      <c r="AG130">
        <v>0</v>
      </c>
      <c r="AH130">
        <v>0</v>
      </c>
      <c r="AI130">
        <v>8.9</v>
      </c>
      <c r="AJ130">
        <v>1</v>
      </c>
      <c r="AK130">
        <v>1</v>
      </c>
      <c r="AL130">
        <v>1</v>
      </c>
      <c r="AM130">
        <v>4</v>
      </c>
      <c r="AN130">
        <v>0</v>
      </c>
      <c r="AO130">
        <v>1</v>
      </c>
      <c r="AP130">
        <v>0</v>
      </c>
      <c r="AQ130">
        <v>0</v>
      </c>
      <c r="AR130">
        <v>0</v>
      </c>
      <c r="AS130" t="s">
        <v>3</v>
      </c>
      <c r="AT130">
        <v>-7.0000000000000007E-2</v>
      </c>
      <c r="AU130" t="s">
        <v>3</v>
      </c>
      <c r="AV130">
        <v>0</v>
      </c>
      <c r="AW130">
        <v>2</v>
      </c>
      <c r="AX130">
        <v>145034142</v>
      </c>
      <c r="AY130">
        <v>1</v>
      </c>
      <c r="AZ130">
        <v>6144</v>
      </c>
      <c r="BA130">
        <v>143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ROUND(Y130*Source!I81,9)</f>
        <v>-0.10024</v>
      </c>
      <c r="CY130">
        <f t="shared" si="53"/>
        <v>1139.2</v>
      </c>
      <c r="CZ130">
        <f t="shared" si="54"/>
        <v>128</v>
      </c>
      <c r="DA130">
        <f t="shared" si="55"/>
        <v>8.9</v>
      </c>
      <c r="DB130">
        <f t="shared" si="56"/>
        <v>-8.9600000000000009</v>
      </c>
      <c r="DC130">
        <f t="shared" si="57"/>
        <v>0</v>
      </c>
      <c r="DD130" t="s">
        <v>3</v>
      </c>
      <c r="DE130" t="s">
        <v>3</v>
      </c>
      <c r="DF130">
        <f t="shared" si="58"/>
        <v>-114.19</v>
      </c>
      <c r="DG130">
        <f t="shared" si="59"/>
        <v>0</v>
      </c>
      <c r="DH130">
        <f t="shared" si="60"/>
        <v>0</v>
      </c>
      <c r="DI130">
        <f t="shared" si="51"/>
        <v>0</v>
      </c>
      <c r="DJ130">
        <f t="shared" si="61"/>
        <v>-114.19</v>
      </c>
      <c r="DK130">
        <v>0</v>
      </c>
      <c r="DL130" t="s">
        <v>3</v>
      </c>
      <c r="DM130">
        <v>0</v>
      </c>
      <c r="DN130" t="s">
        <v>3</v>
      </c>
      <c r="DO130">
        <v>0</v>
      </c>
    </row>
    <row r="131" spans="1:119" x14ac:dyDescent="0.2">
      <c r="A131">
        <f>ROW(Source!A81)</f>
        <v>81</v>
      </c>
      <c r="B131">
        <v>145026783</v>
      </c>
      <c r="C131">
        <v>145034120</v>
      </c>
      <c r="D131">
        <v>140798314</v>
      </c>
      <c r="E131">
        <v>1</v>
      </c>
      <c r="F131">
        <v>1</v>
      </c>
      <c r="G131">
        <v>1</v>
      </c>
      <c r="H131">
        <v>3</v>
      </c>
      <c r="I131" t="s">
        <v>257</v>
      </c>
      <c r="J131" t="s">
        <v>259</v>
      </c>
      <c r="K131" t="s">
        <v>258</v>
      </c>
      <c r="L131">
        <v>1425</v>
      </c>
      <c r="N131">
        <v>1013</v>
      </c>
      <c r="O131" t="s">
        <v>21</v>
      </c>
      <c r="P131" t="s">
        <v>21</v>
      </c>
      <c r="Q131">
        <v>1</v>
      </c>
      <c r="W131">
        <v>1</v>
      </c>
      <c r="X131">
        <v>-128047084</v>
      </c>
      <c r="Y131">
        <f t="shared" si="52"/>
        <v>-7.0000000000000007E-2</v>
      </c>
      <c r="AA131">
        <v>1139.2</v>
      </c>
      <c r="AB131">
        <v>0</v>
      </c>
      <c r="AC131">
        <v>0</v>
      </c>
      <c r="AD131">
        <v>0</v>
      </c>
      <c r="AE131">
        <v>128</v>
      </c>
      <c r="AF131">
        <v>0</v>
      </c>
      <c r="AG131">
        <v>0</v>
      </c>
      <c r="AH131">
        <v>0</v>
      </c>
      <c r="AI131">
        <v>8.9</v>
      </c>
      <c r="AJ131">
        <v>1</v>
      </c>
      <c r="AK131">
        <v>1</v>
      </c>
      <c r="AL131">
        <v>1</v>
      </c>
      <c r="AM131">
        <v>4</v>
      </c>
      <c r="AN131">
        <v>0</v>
      </c>
      <c r="AO131">
        <v>1</v>
      </c>
      <c r="AP131">
        <v>0</v>
      </c>
      <c r="AQ131">
        <v>0</v>
      </c>
      <c r="AR131">
        <v>0</v>
      </c>
      <c r="AS131" t="s">
        <v>3</v>
      </c>
      <c r="AT131">
        <v>-7.0000000000000007E-2</v>
      </c>
      <c r="AU131" t="s">
        <v>3</v>
      </c>
      <c r="AV131">
        <v>0</v>
      </c>
      <c r="AW131">
        <v>2</v>
      </c>
      <c r="AX131">
        <v>145034143</v>
      </c>
      <c r="AY131">
        <v>1</v>
      </c>
      <c r="AZ131">
        <v>6144</v>
      </c>
      <c r="BA131">
        <v>144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ROUND(Y131*Source!I81,9)</f>
        <v>-0.10024</v>
      </c>
      <c r="CY131">
        <f t="shared" si="53"/>
        <v>1139.2</v>
      </c>
      <c r="CZ131">
        <f t="shared" si="54"/>
        <v>128</v>
      </c>
      <c r="DA131">
        <f t="shared" si="55"/>
        <v>8.9</v>
      </c>
      <c r="DB131">
        <f t="shared" si="56"/>
        <v>-8.9600000000000009</v>
      </c>
      <c r="DC131">
        <f t="shared" si="57"/>
        <v>0</v>
      </c>
      <c r="DD131" t="s">
        <v>3</v>
      </c>
      <c r="DE131" t="s">
        <v>3</v>
      </c>
      <c r="DF131">
        <f t="shared" si="58"/>
        <v>-114.19</v>
      </c>
      <c r="DG131">
        <f t="shared" si="59"/>
        <v>0</v>
      </c>
      <c r="DH131">
        <f t="shared" si="60"/>
        <v>0</v>
      </c>
      <c r="DI131">
        <f t="shared" si="51"/>
        <v>0</v>
      </c>
      <c r="DJ131">
        <f t="shared" si="61"/>
        <v>-114.19</v>
      </c>
      <c r="DK131">
        <v>0</v>
      </c>
      <c r="DL131" t="s">
        <v>3</v>
      </c>
      <c r="DM131">
        <v>0</v>
      </c>
      <c r="DN131" t="s">
        <v>3</v>
      </c>
      <c r="DO131">
        <v>0</v>
      </c>
    </row>
    <row r="132" spans="1:119" x14ac:dyDescent="0.2">
      <c r="A132">
        <f>ROW(Source!A89)</f>
        <v>89</v>
      </c>
      <c r="B132">
        <v>145026783</v>
      </c>
      <c r="C132">
        <v>145027305</v>
      </c>
      <c r="D132">
        <v>140759985</v>
      </c>
      <c r="E132">
        <v>70</v>
      </c>
      <c r="F132">
        <v>1</v>
      </c>
      <c r="G132">
        <v>1</v>
      </c>
      <c r="H132">
        <v>1</v>
      </c>
      <c r="I132" t="s">
        <v>708</v>
      </c>
      <c r="J132" t="s">
        <v>3</v>
      </c>
      <c r="K132" t="s">
        <v>709</v>
      </c>
      <c r="L132">
        <v>1191</v>
      </c>
      <c r="N132">
        <v>1013</v>
      </c>
      <c r="O132" t="s">
        <v>608</v>
      </c>
      <c r="P132" t="s">
        <v>608</v>
      </c>
      <c r="Q132">
        <v>1</v>
      </c>
      <c r="W132">
        <v>0</v>
      </c>
      <c r="X132">
        <v>784619160</v>
      </c>
      <c r="Y132">
        <f>(AT132*1.15)</f>
        <v>77.164999999999992</v>
      </c>
      <c r="AA132">
        <v>0</v>
      </c>
      <c r="AB132">
        <v>0</v>
      </c>
      <c r="AC132">
        <v>0</v>
      </c>
      <c r="AD132">
        <v>279.77</v>
      </c>
      <c r="AE132">
        <v>0</v>
      </c>
      <c r="AF132">
        <v>0</v>
      </c>
      <c r="AG132">
        <v>0</v>
      </c>
      <c r="AH132">
        <v>8.74</v>
      </c>
      <c r="AI132">
        <v>1</v>
      </c>
      <c r="AJ132">
        <v>1</v>
      </c>
      <c r="AK132">
        <v>1</v>
      </c>
      <c r="AL132">
        <v>32.01</v>
      </c>
      <c r="AM132">
        <v>4</v>
      </c>
      <c r="AN132">
        <v>0</v>
      </c>
      <c r="AO132">
        <v>1</v>
      </c>
      <c r="AP132">
        <v>1</v>
      </c>
      <c r="AQ132">
        <v>0</v>
      </c>
      <c r="AR132">
        <v>0</v>
      </c>
      <c r="AS132" t="s">
        <v>3</v>
      </c>
      <c r="AT132">
        <v>67.099999999999994</v>
      </c>
      <c r="AU132" t="s">
        <v>149</v>
      </c>
      <c r="AV132">
        <v>1</v>
      </c>
      <c r="AW132">
        <v>2</v>
      </c>
      <c r="AX132">
        <v>145027311</v>
      </c>
      <c r="AY132">
        <v>1</v>
      </c>
      <c r="AZ132">
        <v>0</v>
      </c>
      <c r="BA132">
        <v>145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ROUND(Y132*Source!I89,9)</f>
        <v>2.2686510000000002</v>
      </c>
      <c r="CY132">
        <f>AD132</f>
        <v>279.77</v>
      </c>
      <c r="CZ132">
        <f>AH132</f>
        <v>8.74</v>
      </c>
      <c r="DA132">
        <f>AL132</f>
        <v>32.01</v>
      </c>
      <c r="DB132">
        <f>ROUND((ROUND(AT132*CZ132,2)*1.15),2)</f>
        <v>674.42</v>
      </c>
      <c r="DC132">
        <f>ROUND((ROUND(AT132*AG132,2)*1.15),2)</f>
        <v>0</v>
      </c>
      <c r="DD132" t="s">
        <v>3</v>
      </c>
      <c r="DE132" t="s">
        <v>3</v>
      </c>
      <c r="DF132">
        <f>ROUND(ROUND(AE132,2)*CX132,2)</f>
        <v>0</v>
      </c>
      <c r="DG132">
        <f t="shared" si="59"/>
        <v>0</v>
      </c>
      <c r="DH132">
        <f t="shared" si="60"/>
        <v>0</v>
      </c>
      <c r="DI132">
        <f>ROUND(ROUND(AH132*AL132,2)*CX132,2)</f>
        <v>634.70000000000005</v>
      </c>
      <c r="DJ132">
        <f>DI132</f>
        <v>634.70000000000005</v>
      </c>
      <c r="DK132">
        <v>0</v>
      </c>
      <c r="DL132" t="s">
        <v>3</v>
      </c>
      <c r="DM132">
        <v>0</v>
      </c>
      <c r="DN132" t="s">
        <v>3</v>
      </c>
      <c r="DO132">
        <v>0</v>
      </c>
    </row>
    <row r="133" spans="1:119" x14ac:dyDescent="0.2">
      <c r="A133">
        <f>ROW(Source!A89)</f>
        <v>89</v>
      </c>
      <c r="B133">
        <v>145026783</v>
      </c>
      <c r="C133">
        <v>145027305</v>
      </c>
      <c r="D133">
        <v>140760225</v>
      </c>
      <c r="E133">
        <v>70</v>
      </c>
      <c r="F133">
        <v>1</v>
      </c>
      <c r="G133">
        <v>1</v>
      </c>
      <c r="H133">
        <v>1</v>
      </c>
      <c r="I133" t="s">
        <v>609</v>
      </c>
      <c r="J133" t="s">
        <v>3</v>
      </c>
      <c r="K133" t="s">
        <v>610</v>
      </c>
      <c r="L133">
        <v>1191</v>
      </c>
      <c r="N133">
        <v>1013</v>
      </c>
      <c r="O133" t="s">
        <v>608</v>
      </c>
      <c r="P133" t="s">
        <v>608</v>
      </c>
      <c r="Q133">
        <v>1</v>
      </c>
      <c r="W133">
        <v>0</v>
      </c>
      <c r="X133">
        <v>-1417349443</v>
      </c>
      <c r="Y133">
        <f>(AT133*1.25)</f>
        <v>4.1499999999999995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1</v>
      </c>
      <c r="AJ133">
        <v>1</v>
      </c>
      <c r="AK133">
        <v>32.01</v>
      </c>
      <c r="AL133">
        <v>1</v>
      </c>
      <c r="AM133">
        <v>4</v>
      </c>
      <c r="AN133">
        <v>0</v>
      </c>
      <c r="AO133">
        <v>1</v>
      </c>
      <c r="AP133">
        <v>1</v>
      </c>
      <c r="AQ133">
        <v>0</v>
      </c>
      <c r="AR133">
        <v>0</v>
      </c>
      <c r="AS133" t="s">
        <v>3</v>
      </c>
      <c r="AT133">
        <v>3.32</v>
      </c>
      <c r="AU133" t="s">
        <v>148</v>
      </c>
      <c r="AV133">
        <v>2</v>
      </c>
      <c r="AW133">
        <v>2</v>
      </c>
      <c r="AX133">
        <v>145027312</v>
      </c>
      <c r="AY133">
        <v>1</v>
      </c>
      <c r="AZ133">
        <v>0</v>
      </c>
      <c r="BA133">
        <v>146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ROUND(Y133*Source!I89,9)</f>
        <v>0.12200999999999999</v>
      </c>
      <c r="CY133">
        <f>AD133</f>
        <v>0</v>
      </c>
      <c r="CZ133">
        <f>AH133</f>
        <v>0</v>
      </c>
      <c r="DA133">
        <f>AL133</f>
        <v>1</v>
      </c>
      <c r="DB133">
        <f>ROUND((ROUND(AT133*CZ133,2)*1.25),2)</f>
        <v>0</v>
      </c>
      <c r="DC133">
        <f>ROUND((ROUND(AT133*AG133,2)*1.25),2)</f>
        <v>0</v>
      </c>
      <c r="DD133" t="s">
        <v>3</v>
      </c>
      <c r="DE133" t="s">
        <v>3</v>
      </c>
      <c r="DF133">
        <f>ROUND(ROUND(AE133,2)*CX133,2)</f>
        <v>0</v>
      </c>
      <c r="DG133">
        <f t="shared" si="59"/>
        <v>0</v>
      </c>
      <c r="DH133">
        <f>ROUND(ROUND(AG133*AK133,2)*CX133,2)</f>
        <v>0</v>
      </c>
      <c r="DI133">
        <f>ROUND(ROUND(AH133,2)*CX133,2)</f>
        <v>0</v>
      </c>
      <c r="DJ133">
        <f>DI133</f>
        <v>0</v>
      </c>
      <c r="DK133">
        <v>0</v>
      </c>
      <c r="DL133" t="s">
        <v>3</v>
      </c>
      <c r="DM133">
        <v>0</v>
      </c>
      <c r="DN133" t="s">
        <v>3</v>
      </c>
      <c r="DO133">
        <v>0</v>
      </c>
    </row>
    <row r="134" spans="1:119" x14ac:dyDescent="0.2">
      <c r="A134">
        <f>ROW(Source!A89)</f>
        <v>89</v>
      </c>
      <c r="B134">
        <v>145026783</v>
      </c>
      <c r="C134">
        <v>145027305</v>
      </c>
      <c r="D134">
        <v>140922951</v>
      </c>
      <c r="E134">
        <v>1</v>
      </c>
      <c r="F134">
        <v>1</v>
      </c>
      <c r="G134">
        <v>1</v>
      </c>
      <c r="H134">
        <v>2</v>
      </c>
      <c r="I134" t="s">
        <v>732</v>
      </c>
      <c r="J134" t="s">
        <v>733</v>
      </c>
      <c r="K134" t="s">
        <v>734</v>
      </c>
      <c r="L134">
        <v>1367</v>
      </c>
      <c r="N134">
        <v>1011</v>
      </c>
      <c r="O134" t="s">
        <v>614</v>
      </c>
      <c r="P134" t="s">
        <v>614</v>
      </c>
      <c r="Q134">
        <v>1</v>
      </c>
      <c r="W134">
        <v>0</v>
      </c>
      <c r="X134">
        <v>-430484415</v>
      </c>
      <c r="Y134">
        <f>(AT134*1.25)</f>
        <v>1.575</v>
      </c>
      <c r="AA134">
        <v>0</v>
      </c>
      <c r="AB134">
        <v>1435.58</v>
      </c>
      <c r="AC134">
        <v>432.14</v>
      </c>
      <c r="AD134">
        <v>0</v>
      </c>
      <c r="AE134">
        <v>0</v>
      </c>
      <c r="AF134">
        <v>115.4</v>
      </c>
      <c r="AG134">
        <v>13.5</v>
      </c>
      <c r="AH134">
        <v>0</v>
      </c>
      <c r="AI134">
        <v>1</v>
      </c>
      <c r="AJ134">
        <v>12.44</v>
      </c>
      <c r="AK134">
        <v>32.01</v>
      </c>
      <c r="AL134">
        <v>1</v>
      </c>
      <c r="AM134">
        <v>4</v>
      </c>
      <c r="AN134">
        <v>0</v>
      </c>
      <c r="AO134">
        <v>1</v>
      </c>
      <c r="AP134">
        <v>1</v>
      </c>
      <c r="AQ134">
        <v>0</v>
      </c>
      <c r="AR134">
        <v>0</v>
      </c>
      <c r="AS134" t="s">
        <v>3</v>
      </c>
      <c r="AT134">
        <v>1.26</v>
      </c>
      <c r="AU134" t="s">
        <v>148</v>
      </c>
      <c r="AV134">
        <v>0</v>
      </c>
      <c r="AW134">
        <v>2</v>
      </c>
      <c r="AX134">
        <v>145027313</v>
      </c>
      <c r="AY134">
        <v>1</v>
      </c>
      <c r="AZ134">
        <v>0</v>
      </c>
      <c r="BA134">
        <v>147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ROUND(Y134*Source!I89,9)</f>
        <v>4.6304999999999999E-2</v>
      </c>
      <c r="CY134">
        <f>AB134</f>
        <v>1435.58</v>
      </c>
      <c r="CZ134">
        <f>AF134</f>
        <v>115.4</v>
      </c>
      <c r="DA134">
        <f>AJ134</f>
        <v>12.44</v>
      </c>
      <c r="DB134">
        <f>ROUND((ROUND(AT134*CZ134,2)*1.25),2)</f>
        <v>181.75</v>
      </c>
      <c r="DC134">
        <f>ROUND((ROUND(AT134*AG134,2)*1.25),2)</f>
        <v>21.26</v>
      </c>
      <c r="DD134" t="s">
        <v>3</v>
      </c>
      <c r="DE134" t="s">
        <v>3</v>
      </c>
      <c r="DF134">
        <f>ROUND(ROUND(AE134,2)*CX134,2)</f>
        <v>0</v>
      </c>
      <c r="DG134">
        <f>ROUND(ROUND(AF134*AJ134,2)*CX134,2)</f>
        <v>66.47</v>
      </c>
      <c r="DH134">
        <f>ROUND(ROUND(AG134*AK134,2)*CX134,2)</f>
        <v>20.010000000000002</v>
      </c>
      <c r="DI134">
        <f>ROUND(ROUND(AH134,2)*CX134,2)</f>
        <v>0</v>
      </c>
      <c r="DJ134">
        <f>DG134</f>
        <v>66.47</v>
      </c>
      <c r="DK134">
        <v>0</v>
      </c>
      <c r="DL134" t="s">
        <v>3</v>
      </c>
      <c r="DM134">
        <v>0</v>
      </c>
      <c r="DN134" t="s">
        <v>3</v>
      </c>
      <c r="DO134">
        <v>0</v>
      </c>
    </row>
    <row r="135" spans="1:119" x14ac:dyDescent="0.2">
      <c r="A135">
        <f>ROW(Source!A89)</f>
        <v>89</v>
      </c>
      <c r="B135">
        <v>145026783</v>
      </c>
      <c r="C135">
        <v>145027305</v>
      </c>
      <c r="D135">
        <v>140923885</v>
      </c>
      <c r="E135">
        <v>1</v>
      </c>
      <c r="F135">
        <v>1</v>
      </c>
      <c r="G135">
        <v>1</v>
      </c>
      <c r="H135">
        <v>2</v>
      </c>
      <c r="I135" t="s">
        <v>668</v>
      </c>
      <c r="J135" t="s">
        <v>669</v>
      </c>
      <c r="K135" t="s">
        <v>670</v>
      </c>
      <c r="L135">
        <v>1367</v>
      </c>
      <c r="N135">
        <v>1011</v>
      </c>
      <c r="O135" t="s">
        <v>614</v>
      </c>
      <c r="P135" t="s">
        <v>614</v>
      </c>
      <c r="Q135">
        <v>1</v>
      </c>
      <c r="W135">
        <v>0</v>
      </c>
      <c r="X135">
        <v>509054691</v>
      </c>
      <c r="Y135">
        <f>(AT135*1.25)</f>
        <v>2.5750000000000002</v>
      </c>
      <c r="AA135">
        <v>0</v>
      </c>
      <c r="AB135">
        <v>817.43</v>
      </c>
      <c r="AC135">
        <v>371.32</v>
      </c>
      <c r="AD135">
        <v>0</v>
      </c>
      <c r="AE135">
        <v>0</v>
      </c>
      <c r="AF135">
        <v>65.709999999999994</v>
      </c>
      <c r="AG135">
        <v>11.6</v>
      </c>
      <c r="AH135">
        <v>0</v>
      </c>
      <c r="AI135">
        <v>1</v>
      </c>
      <c r="AJ135">
        <v>12.44</v>
      </c>
      <c r="AK135">
        <v>32.01</v>
      </c>
      <c r="AL135">
        <v>1</v>
      </c>
      <c r="AM135">
        <v>4</v>
      </c>
      <c r="AN135">
        <v>0</v>
      </c>
      <c r="AO135">
        <v>1</v>
      </c>
      <c r="AP135">
        <v>1</v>
      </c>
      <c r="AQ135">
        <v>0</v>
      </c>
      <c r="AR135">
        <v>0</v>
      </c>
      <c r="AS135" t="s">
        <v>3</v>
      </c>
      <c r="AT135">
        <v>2.06</v>
      </c>
      <c r="AU135" t="s">
        <v>148</v>
      </c>
      <c r="AV135">
        <v>0</v>
      </c>
      <c r="AW135">
        <v>2</v>
      </c>
      <c r="AX135">
        <v>145027314</v>
      </c>
      <c r="AY135">
        <v>1</v>
      </c>
      <c r="AZ135">
        <v>0</v>
      </c>
      <c r="BA135">
        <v>148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ROUND(Y135*Source!I89,9)</f>
        <v>7.5704999999999995E-2</v>
      </c>
      <c r="CY135">
        <f>AB135</f>
        <v>817.43</v>
      </c>
      <c r="CZ135">
        <f>AF135</f>
        <v>65.709999999999994</v>
      </c>
      <c r="DA135">
        <f>AJ135</f>
        <v>12.44</v>
      </c>
      <c r="DB135">
        <f>ROUND((ROUND(AT135*CZ135,2)*1.25),2)</f>
        <v>169.2</v>
      </c>
      <c r="DC135">
        <f>ROUND((ROUND(AT135*AG135,2)*1.25),2)</f>
        <v>29.88</v>
      </c>
      <c r="DD135" t="s">
        <v>3</v>
      </c>
      <c r="DE135" t="s">
        <v>3</v>
      </c>
      <c r="DF135">
        <f>ROUND(ROUND(AE135,2)*CX135,2)</f>
        <v>0</v>
      </c>
      <c r="DG135">
        <f>ROUND(ROUND(AF135*AJ135,2)*CX135,2)</f>
        <v>61.88</v>
      </c>
      <c r="DH135">
        <f>ROUND(ROUND(AG135*AK135,2)*CX135,2)</f>
        <v>28.11</v>
      </c>
      <c r="DI135">
        <f>ROUND(ROUND(AH135,2)*CX135,2)</f>
        <v>0</v>
      </c>
      <c r="DJ135">
        <f>DG135</f>
        <v>61.88</v>
      </c>
      <c r="DK135">
        <v>0</v>
      </c>
      <c r="DL135" t="s">
        <v>3</v>
      </c>
      <c r="DM135">
        <v>0</v>
      </c>
      <c r="DN135" t="s">
        <v>3</v>
      </c>
      <c r="DO135">
        <v>0</v>
      </c>
    </row>
    <row r="136" spans="1:119" x14ac:dyDescent="0.2">
      <c r="A136">
        <f>ROW(Source!A89)</f>
        <v>89</v>
      </c>
      <c r="B136">
        <v>145026783</v>
      </c>
      <c r="C136">
        <v>145027305</v>
      </c>
      <c r="D136">
        <v>140775118</v>
      </c>
      <c r="E136">
        <v>1</v>
      </c>
      <c r="F136">
        <v>1</v>
      </c>
      <c r="G136">
        <v>1</v>
      </c>
      <c r="H136">
        <v>3</v>
      </c>
      <c r="I136" t="s">
        <v>671</v>
      </c>
      <c r="J136" t="s">
        <v>672</v>
      </c>
      <c r="K136" t="s">
        <v>673</v>
      </c>
      <c r="L136">
        <v>1348</v>
      </c>
      <c r="N136">
        <v>1009</v>
      </c>
      <c r="O136" t="s">
        <v>49</v>
      </c>
      <c r="P136" t="s">
        <v>49</v>
      </c>
      <c r="Q136">
        <v>1000</v>
      </c>
      <c r="W136">
        <v>0</v>
      </c>
      <c r="X136">
        <v>-45966985</v>
      </c>
      <c r="Y136">
        <f>AT136</f>
        <v>3.3999999999999998E-3</v>
      </c>
      <c r="AA136">
        <v>106604.2</v>
      </c>
      <c r="AB136">
        <v>0</v>
      </c>
      <c r="AC136">
        <v>0</v>
      </c>
      <c r="AD136">
        <v>0</v>
      </c>
      <c r="AE136">
        <v>11978</v>
      </c>
      <c r="AF136">
        <v>0</v>
      </c>
      <c r="AG136">
        <v>0</v>
      </c>
      <c r="AH136">
        <v>0</v>
      </c>
      <c r="AI136">
        <v>8.9</v>
      </c>
      <c r="AJ136">
        <v>1</v>
      </c>
      <c r="AK136">
        <v>1</v>
      </c>
      <c r="AL136">
        <v>1</v>
      </c>
      <c r="AM136">
        <v>4</v>
      </c>
      <c r="AN136">
        <v>0</v>
      </c>
      <c r="AO136">
        <v>1</v>
      </c>
      <c r="AP136">
        <v>0</v>
      </c>
      <c r="AQ136">
        <v>0</v>
      </c>
      <c r="AR136">
        <v>0</v>
      </c>
      <c r="AS136" t="s">
        <v>3</v>
      </c>
      <c r="AT136">
        <v>3.3999999999999998E-3</v>
      </c>
      <c r="AU136" t="s">
        <v>3</v>
      </c>
      <c r="AV136">
        <v>0</v>
      </c>
      <c r="AW136">
        <v>2</v>
      </c>
      <c r="AX136">
        <v>145027316</v>
      </c>
      <c r="AY136">
        <v>1</v>
      </c>
      <c r="AZ136">
        <v>0</v>
      </c>
      <c r="BA136">
        <v>150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ROUND(Y136*Source!I89,9)</f>
        <v>9.9959999999999998E-5</v>
      </c>
      <c r="CY136">
        <f>AA136</f>
        <v>106604.2</v>
      </c>
      <c r="CZ136">
        <f>AE136</f>
        <v>11978</v>
      </c>
      <c r="DA136">
        <f>AI136</f>
        <v>8.9</v>
      </c>
      <c r="DB136">
        <f>ROUND(ROUND(AT136*CZ136,2),2)</f>
        <v>40.729999999999997</v>
      </c>
      <c r="DC136">
        <f>ROUND(ROUND(AT136*AG136,2),2)</f>
        <v>0</v>
      </c>
      <c r="DD136" t="s">
        <v>3</v>
      </c>
      <c r="DE136" t="s">
        <v>3</v>
      </c>
      <c r="DF136">
        <f>ROUND(ROUND(AE136*AI136,2)*CX136,2)</f>
        <v>10.66</v>
      </c>
      <c r="DG136">
        <f>ROUND(ROUND(AF136,2)*CX136,2)</f>
        <v>0</v>
      </c>
      <c r="DH136">
        <f>ROUND(ROUND(AG136,2)*CX136,2)</f>
        <v>0</v>
      </c>
      <c r="DI136">
        <f>ROUND(ROUND(AH136,2)*CX136,2)</f>
        <v>0</v>
      </c>
      <c r="DJ136">
        <f>DF136</f>
        <v>10.66</v>
      </c>
      <c r="DK136">
        <v>0</v>
      </c>
      <c r="DL136" t="s">
        <v>3</v>
      </c>
      <c r="DM136">
        <v>0</v>
      </c>
      <c r="DN136" t="s">
        <v>3</v>
      </c>
      <c r="DO136">
        <v>0</v>
      </c>
    </row>
    <row r="137" spans="1:119" x14ac:dyDescent="0.2">
      <c r="A137">
        <f>ROW(Source!A95)</f>
        <v>95</v>
      </c>
      <c r="B137">
        <v>145026783</v>
      </c>
      <c r="C137">
        <v>145027364</v>
      </c>
      <c r="D137">
        <v>140760031</v>
      </c>
      <c r="E137">
        <v>70</v>
      </c>
      <c r="F137">
        <v>1</v>
      </c>
      <c r="G137">
        <v>1</v>
      </c>
      <c r="H137">
        <v>1</v>
      </c>
      <c r="I137" t="s">
        <v>606</v>
      </c>
      <c r="J137" t="s">
        <v>3</v>
      </c>
      <c r="K137" t="s">
        <v>607</v>
      </c>
      <c r="L137">
        <v>1191</v>
      </c>
      <c r="N137">
        <v>1013</v>
      </c>
      <c r="O137" t="s">
        <v>608</v>
      </c>
      <c r="P137" t="s">
        <v>608</v>
      </c>
      <c r="Q137">
        <v>1</v>
      </c>
      <c r="W137">
        <v>0</v>
      </c>
      <c r="X137">
        <v>-1111239348</v>
      </c>
      <c r="Y137">
        <f>(AT137*1.15)</f>
        <v>5.3475000000000001</v>
      </c>
      <c r="AA137">
        <v>0</v>
      </c>
      <c r="AB137">
        <v>0</v>
      </c>
      <c r="AC137">
        <v>0</v>
      </c>
      <c r="AD137">
        <v>307.94</v>
      </c>
      <c r="AE137">
        <v>0</v>
      </c>
      <c r="AF137">
        <v>0</v>
      </c>
      <c r="AG137">
        <v>0</v>
      </c>
      <c r="AH137">
        <v>9.6199999999999992</v>
      </c>
      <c r="AI137">
        <v>1</v>
      </c>
      <c r="AJ137">
        <v>1</v>
      </c>
      <c r="AK137">
        <v>1</v>
      </c>
      <c r="AL137">
        <v>32.01</v>
      </c>
      <c r="AM137">
        <v>4</v>
      </c>
      <c r="AN137">
        <v>0</v>
      </c>
      <c r="AO137">
        <v>1</v>
      </c>
      <c r="AP137">
        <v>1</v>
      </c>
      <c r="AQ137">
        <v>0</v>
      </c>
      <c r="AR137">
        <v>0</v>
      </c>
      <c r="AS137" t="s">
        <v>3</v>
      </c>
      <c r="AT137">
        <v>4.6500000000000004</v>
      </c>
      <c r="AU137" t="s">
        <v>149</v>
      </c>
      <c r="AV137">
        <v>1</v>
      </c>
      <c r="AW137">
        <v>2</v>
      </c>
      <c r="AX137">
        <v>145027370</v>
      </c>
      <c r="AY137">
        <v>1</v>
      </c>
      <c r="AZ137">
        <v>0</v>
      </c>
      <c r="BA137">
        <v>152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ROUND(Y137*Source!I95,9)</f>
        <v>31.97805</v>
      </c>
      <c r="CY137">
        <f>AD137</f>
        <v>307.94</v>
      </c>
      <c r="CZ137">
        <f>AH137</f>
        <v>9.6199999999999992</v>
      </c>
      <c r="DA137">
        <f>AL137</f>
        <v>32.01</v>
      </c>
      <c r="DB137">
        <f>ROUND((ROUND(AT137*CZ137,2)*1.15),2)</f>
        <v>51.44</v>
      </c>
      <c r="DC137">
        <f>ROUND((ROUND(AT137*AG137,2)*1.15),2)</f>
        <v>0</v>
      </c>
      <c r="DD137" t="s">
        <v>3</v>
      </c>
      <c r="DE137" t="s">
        <v>3</v>
      </c>
      <c r="DF137">
        <f>ROUND(ROUND(AE137,2)*CX137,2)</f>
        <v>0</v>
      </c>
      <c r="DG137">
        <f>ROUND(ROUND(AF137,2)*CX137,2)</f>
        <v>0</v>
      </c>
      <c r="DH137">
        <f>ROUND(ROUND(AG137,2)*CX137,2)</f>
        <v>0</v>
      </c>
      <c r="DI137">
        <f>ROUND(ROUND(AH137*AL137,2)*CX137,2)</f>
        <v>9847.32</v>
      </c>
      <c r="DJ137">
        <f>DI137</f>
        <v>9847.32</v>
      </c>
      <c r="DK137">
        <v>0</v>
      </c>
      <c r="DL137" t="s">
        <v>3</v>
      </c>
      <c r="DM137">
        <v>0</v>
      </c>
      <c r="DN137" t="s">
        <v>3</v>
      </c>
      <c r="DO137">
        <v>0</v>
      </c>
    </row>
    <row r="138" spans="1:119" x14ac:dyDescent="0.2">
      <c r="A138">
        <f>ROW(Source!A95)</f>
        <v>95</v>
      </c>
      <c r="B138">
        <v>145026783</v>
      </c>
      <c r="C138">
        <v>145027364</v>
      </c>
      <c r="D138">
        <v>140760225</v>
      </c>
      <c r="E138">
        <v>70</v>
      </c>
      <c r="F138">
        <v>1</v>
      </c>
      <c r="G138">
        <v>1</v>
      </c>
      <c r="H138">
        <v>1</v>
      </c>
      <c r="I138" t="s">
        <v>609</v>
      </c>
      <c r="J138" t="s">
        <v>3</v>
      </c>
      <c r="K138" t="s">
        <v>610</v>
      </c>
      <c r="L138">
        <v>1191</v>
      </c>
      <c r="N138">
        <v>1013</v>
      </c>
      <c r="O138" t="s">
        <v>608</v>
      </c>
      <c r="P138" t="s">
        <v>608</v>
      </c>
      <c r="Q138">
        <v>1</v>
      </c>
      <c r="W138">
        <v>0</v>
      </c>
      <c r="X138">
        <v>-1417349443</v>
      </c>
      <c r="Y138">
        <f>(AT138*1.25)</f>
        <v>2.5000000000000001E-2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1</v>
      </c>
      <c r="AJ138">
        <v>1</v>
      </c>
      <c r="AK138">
        <v>32.01</v>
      </c>
      <c r="AL138">
        <v>1</v>
      </c>
      <c r="AM138">
        <v>4</v>
      </c>
      <c r="AN138">
        <v>0</v>
      </c>
      <c r="AO138">
        <v>1</v>
      </c>
      <c r="AP138">
        <v>1</v>
      </c>
      <c r="AQ138">
        <v>0</v>
      </c>
      <c r="AR138">
        <v>0</v>
      </c>
      <c r="AS138" t="s">
        <v>3</v>
      </c>
      <c r="AT138">
        <v>0.02</v>
      </c>
      <c r="AU138" t="s">
        <v>148</v>
      </c>
      <c r="AV138">
        <v>2</v>
      </c>
      <c r="AW138">
        <v>2</v>
      </c>
      <c r="AX138">
        <v>145027371</v>
      </c>
      <c r="AY138">
        <v>1</v>
      </c>
      <c r="AZ138">
        <v>0</v>
      </c>
      <c r="BA138">
        <v>153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ROUND(Y138*Source!I95,9)</f>
        <v>0.14949999999999999</v>
      </c>
      <c r="CY138">
        <f>AD138</f>
        <v>0</v>
      </c>
      <c r="CZ138">
        <f>AH138</f>
        <v>0</v>
      </c>
      <c r="DA138">
        <f>AL138</f>
        <v>1</v>
      </c>
      <c r="DB138">
        <f>ROUND((ROUND(AT138*CZ138,2)*1.25),2)</f>
        <v>0</v>
      </c>
      <c r="DC138">
        <f>ROUND((ROUND(AT138*AG138,2)*1.25),2)</f>
        <v>0</v>
      </c>
      <c r="DD138" t="s">
        <v>3</v>
      </c>
      <c r="DE138" t="s">
        <v>3</v>
      </c>
      <c r="DF138">
        <f>ROUND(ROUND(AE138,2)*CX138,2)</f>
        <v>0</v>
      </c>
      <c r="DG138">
        <f>ROUND(ROUND(AF138,2)*CX138,2)</f>
        <v>0</v>
      </c>
      <c r="DH138">
        <f>ROUND(ROUND(AG138*AK138,2)*CX138,2)</f>
        <v>0</v>
      </c>
      <c r="DI138">
        <f>ROUND(ROUND(AH138,2)*CX138,2)</f>
        <v>0</v>
      </c>
      <c r="DJ138">
        <f>DI138</f>
        <v>0</v>
      </c>
      <c r="DK138">
        <v>0</v>
      </c>
      <c r="DL138" t="s">
        <v>3</v>
      </c>
      <c r="DM138">
        <v>0</v>
      </c>
      <c r="DN138" t="s">
        <v>3</v>
      </c>
      <c r="DO138">
        <v>0</v>
      </c>
    </row>
    <row r="139" spans="1:119" x14ac:dyDescent="0.2">
      <c r="A139">
        <f>ROW(Source!A95)</f>
        <v>95</v>
      </c>
      <c r="B139">
        <v>145026783</v>
      </c>
      <c r="C139">
        <v>145027364</v>
      </c>
      <c r="D139">
        <v>140923145</v>
      </c>
      <c r="E139">
        <v>1</v>
      </c>
      <c r="F139">
        <v>1</v>
      </c>
      <c r="G139">
        <v>1</v>
      </c>
      <c r="H139">
        <v>2</v>
      </c>
      <c r="I139" t="s">
        <v>611</v>
      </c>
      <c r="J139" t="s">
        <v>612</v>
      </c>
      <c r="K139" t="s">
        <v>613</v>
      </c>
      <c r="L139">
        <v>1367</v>
      </c>
      <c r="N139">
        <v>1011</v>
      </c>
      <c r="O139" t="s">
        <v>614</v>
      </c>
      <c r="P139" t="s">
        <v>614</v>
      </c>
      <c r="Q139">
        <v>1</v>
      </c>
      <c r="W139">
        <v>0</v>
      </c>
      <c r="X139">
        <v>1232162608</v>
      </c>
      <c r="Y139">
        <f>(AT139*1.25)</f>
        <v>1.2500000000000001E-2</v>
      </c>
      <c r="AA139">
        <v>0</v>
      </c>
      <c r="AB139">
        <v>388.87</v>
      </c>
      <c r="AC139">
        <v>432.14</v>
      </c>
      <c r="AD139">
        <v>0</v>
      </c>
      <c r="AE139">
        <v>0</v>
      </c>
      <c r="AF139">
        <v>31.26</v>
      </c>
      <c r="AG139">
        <v>13.5</v>
      </c>
      <c r="AH139">
        <v>0</v>
      </c>
      <c r="AI139">
        <v>1</v>
      </c>
      <c r="AJ139">
        <v>12.44</v>
      </c>
      <c r="AK139">
        <v>32.01</v>
      </c>
      <c r="AL139">
        <v>1</v>
      </c>
      <c r="AM139">
        <v>4</v>
      </c>
      <c r="AN139">
        <v>0</v>
      </c>
      <c r="AO139">
        <v>1</v>
      </c>
      <c r="AP139">
        <v>1</v>
      </c>
      <c r="AQ139">
        <v>0</v>
      </c>
      <c r="AR139">
        <v>0</v>
      </c>
      <c r="AS139" t="s">
        <v>3</v>
      </c>
      <c r="AT139">
        <v>0.01</v>
      </c>
      <c r="AU139" t="s">
        <v>148</v>
      </c>
      <c r="AV139">
        <v>0</v>
      </c>
      <c r="AW139">
        <v>2</v>
      </c>
      <c r="AX139">
        <v>145027372</v>
      </c>
      <c r="AY139">
        <v>1</v>
      </c>
      <c r="AZ139">
        <v>0</v>
      </c>
      <c r="BA139">
        <v>154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ROUND(Y139*Source!I95,9)</f>
        <v>7.4749999999999997E-2</v>
      </c>
      <c r="CY139">
        <f>AB139</f>
        <v>388.87</v>
      </c>
      <c r="CZ139">
        <f>AF139</f>
        <v>31.26</v>
      </c>
      <c r="DA139">
        <f>AJ139</f>
        <v>12.44</v>
      </c>
      <c r="DB139">
        <f>ROUND((ROUND(AT139*CZ139,2)*1.25),2)</f>
        <v>0.39</v>
      </c>
      <c r="DC139">
        <f>ROUND((ROUND(AT139*AG139,2)*1.25),2)</f>
        <v>0.18</v>
      </c>
      <c r="DD139" t="s">
        <v>3</v>
      </c>
      <c r="DE139" t="s">
        <v>3</v>
      </c>
      <c r="DF139">
        <f>ROUND(ROUND(AE139,2)*CX139,2)</f>
        <v>0</v>
      </c>
      <c r="DG139">
        <f>ROUND(ROUND(AF139*AJ139,2)*CX139,2)</f>
        <v>29.07</v>
      </c>
      <c r="DH139">
        <f>ROUND(ROUND(AG139*AK139,2)*CX139,2)</f>
        <v>32.299999999999997</v>
      </c>
      <c r="DI139">
        <f>ROUND(ROUND(AH139,2)*CX139,2)</f>
        <v>0</v>
      </c>
      <c r="DJ139">
        <f>DG139</f>
        <v>29.07</v>
      </c>
      <c r="DK139">
        <v>0</v>
      </c>
      <c r="DL139" t="s">
        <v>3</v>
      </c>
      <c r="DM139">
        <v>0</v>
      </c>
      <c r="DN139" t="s">
        <v>3</v>
      </c>
      <c r="DO139">
        <v>0</v>
      </c>
    </row>
    <row r="140" spans="1:119" x14ac:dyDescent="0.2">
      <c r="A140">
        <f>ROW(Source!A95)</f>
        <v>95</v>
      </c>
      <c r="B140">
        <v>145026783</v>
      </c>
      <c r="C140">
        <v>145027364</v>
      </c>
      <c r="D140">
        <v>140923885</v>
      </c>
      <c r="E140">
        <v>1</v>
      </c>
      <c r="F140">
        <v>1</v>
      </c>
      <c r="G140">
        <v>1</v>
      </c>
      <c r="H140">
        <v>2</v>
      </c>
      <c r="I140" t="s">
        <v>668</v>
      </c>
      <c r="J140" t="s">
        <v>669</v>
      </c>
      <c r="K140" t="s">
        <v>670</v>
      </c>
      <c r="L140">
        <v>1367</v>
      </c>
      <c r="N140">
        <v>1011</v>
      </c>
      <c r="O140" t="s">
        <v>614</v>
      </c>
      <c r="P140" t="s">
        <v>614</v>
      </c>
      <c r="Q140">
        <v>1</v>
      </c>
      <c r="W140">
        <v>0</v>
      </c>
      <c r="X140">
        <v>509054691</v>
      </c>
      <c r="Y140">
        <f>(AT140*1.25)</f>
        <v>1.2500000000000001E-2</v>
      </c>
      <c r="AA140">
        <v>0</v>
      </c>
      <c r="AB140">
        <v>817.43</v>
      </c>
      <c r="AC140">
        <v>371.32</v>
      </c>
      <c r="AD140">
        <v>0</v>
      </c>
      <c r="AE140">
        <v>0</v>
      </c>
      <c r="AF140">
        <v>65.709999999999994</v>
      </c>
      <c r="AG140">
        <v>11.6</v>
      </c>
      <c r="AH140">
        <v>0</v>
      </c>
      <c r="AI140">
        <v>1</v>
      </c>
      <c r="AJ140">
        <v>12.44</v>
      </c>
      <c r="AK140">
        <v>32.01</v>
      </c>
      <c r="AL140">
        <v>1</v>
      </c>
      <c r="AM140">
        <v>4</v>
      </c>
      <c r="AN140">
        <v>0</v>
      </c>
      <c r="AO140">
        <v>1</v>
      </c>
      <c r="AP140">
        <v>1</v>
      </c>
      <c r="AQ140">
        <v>0</v>
      </c>
      <c r="AR140">
        <v>0</v>
      </c>
      <c r="AS140" t="s">
        <v>3</v>
      </c>
      <c r="AT140">
        <v>0.01</v>
      </c>
      <c r="AU140" t="s">
        <v>148</v>
      </c>
      <c r="AV140">
        <v>0</v>
      </c>
      <c r="AW140">
        <v>2</v>
      </c>
      <c r="AX140">
        <v>145027373</v>
      </c>
      <c r="AY140">
        <v>1</v>
      </c>
      <c r="AZ140">
        <v>0</v>
      </c>
      <c r="BA140">
        <v>155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ROUND(Y140*Source!I95,9)</f>
        <v>7.4749999999999997E-2</v>
      </c>
      <c r="CY140">
        <f>AB140</f>
        <v>817.43</v>
      </c>
      <c r="CZ140">
        <f>AF140</f>
        <v>65.709999999999994</v>
      </c>
      <c r="DA140">
        <f>AJ140</f>
        <v>12.44</v>
      </c>
      <c r="DB140">
        <f>ROUND((ROUND(AT140*CZ140,2)*1.25),2)</f>
        <v>0.83</v>
      </c>
      <c r="DC140">
        <f>ROUND((ROUND(AT140*AG140,2)*1.25),2)</f>
        <v>0.15</v>
      </c>
      <c r="DD140" t="s">
        <v>3</v>
      </c>
      <c r="DE140" t="s">
        <v>3</v>
      </c>
      <c r="DF140">
        <f>ROUND(ROUND(AE140,2)*CX140,2)</f>
        <v>0</v>
      </c>
      <c r="DG140">
        <f>ROUND(ROUND(AF140*AJ140,2)*CX140,2)</f>
        <v>61.1</v>
      </c>
      <c r="DH140">
        <f>ROUND(ROUND(AG140*AK140,2)*CX140,2)</f>
        <v>27.76</v>
      </c>
      <c r="DI140">
        <f>ROUND(ROUND(AH140,2)*CX140,2)</f>
        <v>0</v>
      </c>
      <c r="DJ140">
        <f>DG140</f>
        <v>61.1</v>
      </c>
      <c r="DK140">
        <v>0</v>
      </c>
      <c r="DL140" t="s">
        <v>3</v>
      </c>
      <c r="DM140">
        <v>0</v>
      </c>
      <c r="DN140" t="s">
        <v>3</v>
      </c>
      <c r="DO140">
        <v>0</v>
      </c>
    </row>
    <row r="141" spans="1:119" x14ac:dyDescent="0.2">
      <c r="A141">
        <f>ROW(Source!A95)</f>
        <v>95</v>
      </c>
      <c r="B141">
        <v>145026783</v>
      </c>
      <c r="C141">
        <v>145027364</v>
      </c>
      <c r="D141">
        <v>140776226</v>
      </c>
      <c r="E141">
        <v>1</v>
      </c>
      <c r="F141">
        <v>1</v>
      </c>
      <c r="G141">
        <v>1</v>
      </c>
      <c r="H141">
        <v>3</v>
      </c>
      <c r="I141" t="s">
        <v>680</v>
      </c>
      <c r="J141" t="s">
        <v>681</v>
      </c>
      <c r="K141" t="s">
        <v>682</v>
      </c>
      <c r="L141">
        <v>1346</v>
      </c>
      <c r="N141">
        <v>1009</v>
      </c>
      <c r="O141" t="s">
        <v>154</v>
      </c>
      <c r="P141" t="s">
        <v>154</v>
      </c>
      <c r="Q141">
        <v>1</v>
      </c>
      <c r="W141">
        <v>0</v>
      </c>
      <c r="X141">
        <v>1052716416</v>
      </c>
      <c r="Y141">
        <f>AT141</f>
        <v>0.1</v>
      </c>
      <c r="AA141">
        <v>16.2</v>
      </c>
      <c r="AB141">
        <v>0</v>
      </c>
      <c r="AC141">
        <v>0</v>
      </c>
      <c r="AD141">
        <v>0</v>
      </c>
      <c r="AE141">
        <v>1.82</v>
      </c>
      <c r="AF141">
        <v>0</v>
      </c>
      <c r="AG141">
        <v>0</v>
      </c>
      <c r="AH141">
        <v>0</v>
      </c>
      <c r="AI141">
        <v>8.9</v>
      </c>
      <c r="AJ141">
        <v>1</v>
      </c>
      <c r="AK141">
        <v>1</v>
      </c>
      <c r="AL141">
        <v>1</v>
      </c>
      <c r="AM141">
        <v>4</v>
      </c>
      <c r="AN141">
        <v>0</v>
      </c>
      <c r="AO141">
        <v>1</v>
      </c>
      <c r="AP141">
        <v>0</v>
      </c>
      <c r="AQ141">
        <v>0</v>
      </c>
      <c r="AR141">
        <v>0</v>
      </c>
      <c r="AS141" t="s">
        <v>3</v>
      </c>
      <c r="AT141">
        <v>0.1</v>
      </c>
      <c r="AU141" t="s">
        <v>3</v>
      </c>
      <c r="AV141">
        <v>0</v>
      </c>
      <c r="AW141">
        <v>2</v>
      </c>
      <c r="AX141">
        <v>145027374</v>
      </c>
      <c r="AY141">
        <v>1</v>
      </c>
      <c r="AZ141">
        <v>0</v>
      </c>
      <c r="BA141">
        <v>156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ROUND(Y141*Source!I95,9)</f>
        <v>0.59799999999999998</v>
      </c>
      <c r="CY141">
        <f>AA141</f>
        <v>16.2</v>
      </c>
      <c r="CZ141">
        <f>AE141</f>
        <v>1.82</v>
      </c>
      <c r="DA141">
        <f>AI141</f>
        <v>8.9</v>
      </c>
      <c r="DB141">
        <f>ROUND(ROUND(AT141*CZ141,2),2)</f>
        <v>0.18</v>
      </c>
      <c r="DC141">
        <f>ROUND(ROUND(AT141*AG141,2),2)</f>
        <v>0</v>
      </c>
      <c r="DD141" t="s">
        <v>3</v>
      </c>
      <c r="DE141" t="s">
        <v>3</v>
      </c>
      <c r="DF141">
        <f>ROUND(ROUND(AE141*AI141,2)*CX141,2)</f>
        <v>9.69</v>
      </c>
      <c r="DG141">
        <f>ROUND(ROUND(AF141,2)*CX141,2)</f>
        <v>0</v>
      </c>
      <c r="DH141">
        <f>ROUND(ROUND(AG141,2)*CX141,2)</f>
        <v>0</v>
      </c>
      <c r="DI141">
        <f>ROUND(ROUND(AH141,2)*CX141,2)</f>
        <v>0</v>
      </c>
      <c r="DJ141">
        <f>DF141</f>
        <v>9.69</v>
      </c>
      <c r="DK141">
        <v>0</v>
      </c>
      <c r="DL141" t="s">
        <v>3</v>
      </c>
      <c r="DM141">
        <v>0</v>
      </c>
      <c r="DN141" t="s">
        <v>3</v>
      </c>
      <c r="DO141">
        <v>0</v>
      </c>
    </row>
    <row r="142" spans="1:119" x14ac:dyDescent="0.2">
      <c r="A142">
        <f>ROW(Source!A97)</f>
        <v>97</v>
      </c>
      <c r="B142">
        <v>145026783</v>
      </c>
      <c r="C142">
        <v>145034146</v>
      </c>
      <c r="D142">
        <v>140760001</v>
      </c>
      <c r="E142">
        <v>70</v>
      </c>
      <c r="F142">
        <v>1</v>
      </c>
      <c r="G142">
        <v>1</v>
      </c>
      <c r="H142">
        <v>1</v>
      </c>
      <c r="I142" t="s">
        <v>735</v>
      </c>
      <c r="J142" t="s">
        <v>3</v>
      </c>
      <c r="K142" t="s">
        <v>736</v>
      </c>
      <c r="L142">
        <v>1191</v>
      </c>
      <c r="N142">
        <v>1013</v>
      </c>
      <c r="O142" t="s">
        <v>608</v>
      </c>
      <c r="P142" t="s">
        <v>608</v>
      </c>
      <c r="Q142">
        <v>1</v>
      </c>
      <c r="W142">
        <v>0</v>
      </c>
      <c r="X142">
        <v>1893946532</v>
      </c>
      <c r="Y142">
        <f>(AT142*1.15)</f>
        <v>48.644999999999996</v>
      </c>
      <c r="AA142">
        <v>0</v>
      </c>
      <c r="AB142">
        <v>0</v>
      </c>
      <c r="AC142">
        <v>0</v>
      </c>
      <c r="AD142">
        <v>290.33</v>
      </c>
      <c r="AE142">
        <v>0</v>
      </c>
      <c r="AF142">
        <v>0</v>
      </c>
      <c r="AG142">
        <v>0</v>
      </c>
      <c r="AH142">
        <v>9.07</v>
      </c>
      <c r="AI142">
        <v>1</v>
      </c>
      <c r="AJ142">
        <v>1</v>
      </c>
      <c r="AK142">
        <v>1</v>
      </c>
      <c r="AL142">
        <v>32.01</v>
      </c>
      <c r="AM142">
        <v>4</v>
      </c>
      <c r="AN142">
        <v>0</v>
      </c>
      <c r="AO142">
        <v>1</v>
      </c>
      <c r="AP142">
        <v>1</v>
      </c>
      <c r="AQ142">
        <v>0</v>
      </c>
      <c r="AR142">
        <v>0</v>
      </c>
      <c r="AS142" t="s">
        <v>3</v>
      </c>
      <c r="AT142">
        <v>42.3</v>
      </c>
      <c r="AU142" t="s">
        <v>149</v>
      </c>
      <c r="AV142">
        <v>1</v>
      </c>
      <c r="AW142">
        <v>2</v>
      </c>
      <c r="AX142">
        <v>145070561</v>
      </c>
      <c r="AY142">
        <v>1</v>
      </c>
      <c r="AZ142">
        <v>0</v>
      </c>
      <c r="BA142">
        <v>158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ROUND(Y142*Source!I97,9)</f>
        <v>79.018938000000006</v>
      </c>
      <c r="CY142">
        <f>AD142</f>
        <v>290.33</v>
      </c>
      <c r="CZ142">
        <f>AH142</f>
        <v>9.07</v>
      </c>
      <c r="DA142">
        <f>AL142</f>
        <v>32.01</v>
      </c>
      <c r="DB142">
        <f>ROUND((ROUND(AT142*CZ142,2)*1.15),2)</f>
        <v>441.21</v>
      </c>
      <c r="DC142">
        <f>ROUND((ROUND(AT142*AG142,2)*1.15),2)</f>
        <v>0</v>
      </c>
      <c r="DD142" t="s">
        <v>3</v>
      </c>
      <c r="DE142" t="s">
        <v>3</v>
      </c>
      <c r="DF142">
        <f>ROUND(ROUND(AE142,2)*CX142,2)</f>
        <v>0</v>
      </c>
      <c r="DG142">
        <f>ROUND(ROUND(AF142,2)*CX142,2)</f>
        <v>0</v>
      </c>
      <c r="DH142">
        <f>ROUND(ROUND(AG142,2)*CX142,2)</f>
        <v>0</v>
      </c>
      <c r="DI142">
        <f>ROUND(ROUND(AH142*AL142,2)*CX142,2)</f>
        <v>22941.57</v>
      </c>
      <c r="DJ142">
        <f>DI142</f>
        <v>22941.57</v>
      </c>
      <c r="DK142">
        <v>0</v>
      </c>
      <c r="DL142" t="s">
        <v>3</v>
      </c>
      <c r="DM142">
        <v>0</v>
      </c>
      <c r="DN142" t="s">
        <v>3</v>
      </c>
      <c r="DO142">
        <v>0</v>
      </c>
    </row>
    <row r="143" spans="1:119" x14ac:dyDescent="0.2">
      <c r="A143">
        <f>ROW(Source!A97)</f>
        <v>97</v>
      </c>
      <c r="B143">
        <v>145026783</v>
      </c>
      <c r="C143">
        <v>145034146</v>
      </c>
      <c r="D143">
        <v>140760225</v>
      </c>
      <c r="E143">
        <v>70</v>
      </c>
      <c r="F143">
        <v>1</v>
      </c>
      <c r="G143">
        <v>1</v>
      </c>
      <c r="H143">
        <v>1</v>
      </c>
      <c r="I143" t="s">
        <v>609</v>
      </c>
      <c r="J143" t="s">
        <v>3</v>
      </c>
      <c r="K143" t="s">
        <v>610</v>
      </c>
      <c r="L143">
        <v>1191</v>
      </c>
      <c r="N143">
        <v>1013</v>
      </c>
      <c r="O143" t="s">
        <v>608</v>
      </c>
      <c r="P143" t="s">
        <v>608</v>
      </c>
      <c r="Q143">
        <v>1</v>
      </c>
      <c r="W143">
        <v>0</v>
      </c>
      <c r="X143">
        <v>-1417349443</v>
      </c>
      <c r="Y143">
        <f>(AT143*1.25)</f>
        <v>2.5000000000000001E-2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1</v>
      </c>
      <c r="AJ143">
        <v>1</v>
      </c>
      <c r="AK143">
        <v>32.01</v>
      </c>
      <c r="AL143">
        <v>1</v>
      </c>
      <c r="AM143">
        <v>4</v>
      </c>
      <c r="AN143">
        <v>0</v>
      </c>
      <c r="AO143">
        <v>1</v>
      </c>
      <c r="AP143">
        <v>1</v>
      </c>
      <c r="AQ143">
        <v>0</v>
      </c>
      <c r="AR143">
        <v>0</v>
      </c>
      <c r="AS143" t="s">
        <v>3</v>
      </c>
      <c r="AT143">
        <v>0.02</v>
      </c>
      <c r="AU143" t="s">
        <v>148</v>
      </c>
      <c r="AV143">
        <v>2</v>
      </c>
      <c r="AW143">
        <v>2</v>
      </c>
      <c r="AX143">
        <v>145070562</v>
      </c>
      <c r="AY143">
        <v>1</v>
      </c>
      <c r="AZ143">
        <v>0</v>
      </c>
      <c r="BA143">
        <v>159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ROUND(Y143*Source!I97,9)</f>
        <v>4.061E-2</v>
      </c>
      <c r="CY143">
        <f>AD143</f>
        <v>0</v>
      </c>
      <c r="CZ143">
        <f>AH143</f>
        <v>0</v>
      </c>
      <c r="DA143">
        <f>AL143</f>
        <v>1</v>
      </c>
      <c r="DB143">
        <f>ROUND((ROUND(AT143*CZ143,2)*1.25),2)</f>
        <v>0</v>
      </c>
      <c r="DC143">
        <f>ROUND((ROUND(AT143*AG143,2)*1.25),2)</f>
        <v>0</v>
      </c>
      <c r="DD143" t="s">
        <v>3</v>
      </c>
      <c r="DE143" t="s">
        <v>3</v>
      </c>
      <c r="DF143">
        <f>ROUND(ROUND(AE143,2)*CX143,2)</f>
        <v>0</v>
      </c>
      <c r="DG143">
        <f>ROUND(ROUND(AF143,2)*CX143,2)</f>
        <v>0</v>
      </c>
      <c r="DH143">
        <f>ROUND(ROUND(AG143*AK143,2)*CX143,2)</f>
        <v>0</v>
      </c>
      <c r="DI143">
        <f t="shared" ref="DI143:DI151" si="62">ROUND(ROUND(AH143,2)*CX143,2)</f>
        <v>0</v>
      </c>
      <c r="DJ143">
        <f>DI143</f>
        <v>0</v>
      </c>
      <c r="DK143">
        <v>0</v>
      </c>
      <c r="DL143" t="s">
        <v>3</v>
      </c>
      <c r="DM143">
        <v>0</v>
      </c>
      <c r="DN143" t="s">
        <v>3</v>
      </c>
      <c r="DO143">
        <v>0</v>
      </c>
    </row>
    <row r="144" spans="1:119" x14ac:dyDescent="0.2">
      <c r="A144">
        <f>ROW(Source!A97)</f>
        <v>97</v>
      </c>
      <c r="B144">
        <v>145026783</v>
      </c>
      <c r="C144">
        <v>145034146</v>
      </c>
      <c r="D144">
        <v>140923145</v>
      </c>
      <c r="E144">
        <v>1</v>
      </c>
      <c r="F144">
        <v>1</v>
      </c>
      <c r="G144">
        <v>1</v>
      </c>
      <c r="H144">
        <v>2</v>
      </c>
      <c r="I144" t="s">
        <v>611</v>
      </c>
      <c r="J144" t="s">
        <v>612</v>
      </c>
      <c r="K144" t="s">
        <v>613</v>
      </c>
      <c r="L144">
        <v>1367</v>
      </c>
      <c r="N144">
        <v>1011</v>
      </c>
      <c r="O144" t="s">
        <v>614</v>
      </c>
      <c r="P144" t="s">
        <v>614</v>
      </c>
      <c r="Q144">
        <v>1</v>
      </c>
      <c r="W144">
        <v>0</v>
      </c>
      <c r="X144">
        <v>1232162608</v>
      </c>
      <c r="Y144">
        <f>(AT144*1.25)</f>
        <v>1.2500000000000001E-2</v>
      </c>
      <c r="AA144">
        <v>0</v>
      </c>
      <c r="AB144">
        <v>388.87</v>
      </c>
      <c r="AC144">
        <v>432.14</v>
      </c>
      <c r="AD144">
        <v>0</v>
      </c>
      <c r="AE144">
        <v>0</v>
      </c>
      <c r="AF144">
        <v>31.26</v>
      </c>
      <c r="AG144">
        <v>13.5</v>
      </c>
      <c r="AH144">
        <v>0</v>
      </c>
      <c r="AI144">
        <v>1</v>
      </c>
      <c r="AJ144">
        <v>12.44</v>
      </c>
      <c r="AK144">
        <v>32.01</v>
      </c>
      <c r="AL144">
        <v>1</v>
      </c>
      <c r="AM144">
        <v>4</v>
      </c>
      <c r="AN144">
        <v>0</v>
      </c>
      <c r="AO144">
        <v>1</v>
      </c>
      <c r="AP144">
        <v>1</v>
      </c>
      <c r="AQ144">
        <v>0</v>
      </c>
      <c r="AR144">
        <v>0</v>
      </c>
      <c r="AS144" t="s">
        <v>3</v>
      </c>
      <c r="AT144">
        <v>0.01</v>
      </c>
      <c r="AU144" t="s">
        <v>148</v>
      </c>
      <c r="AV144">
        <v>0</v>
      </c>
      <c r="AW144">
        <v>2</v>
      </c>
      <c r="AX144">
        <v>145070563</v>
      </c>
      <c r="AY144">
        <v>1</v>
      </c>
      <c r="AZ144">
        <v>0</v>
      </c>
      <c r="BA144">
        <v>160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ROUND(Y144*Source!I97,9)</f>
        <v>2.0305E-2</v>
      </c>
      <c r="CY144">
        <f>AB144</f>
        <v>388.87</v>
      </c>
      <c r="CZ144">
        <f>AF144</f>
        <v>31.26</v>
      </c>
      <c r="DA144">
        <f>AJ144</f>
        <v>12.44</v>
      </c>
      <c r="DB144">
        <f>ROUND((ROUND(AT144*CZ144,2)*1.25),2)</f>
        <v>0.39</v>
      </c>
      <c r="DC144">
        <f>ROUND((ROUND(AT144*AG144,2)*1.25),2)</f>
        <v>0.18</v>
      </c>
      <c r="DD144" t="s">
        <v>3</v>
      </c>
      <c r="DE144" t="s">
        <v>3</v>
      </c>
      <c r="DF144">
        <f>ROUND(ROUND(AE144,2)*CX144,2)</f>
        <v>0</v>
      </c>
      <c r="DG144">
        <f>ROUND(ROUND(AF144*AJ144,2)*CX144,2)</f>
        <v>7.9</v>
      </c>
      <c r="DH144">
        <f>ROUND(ROUND(AG144*AK144,2)*CX144,2)</f>
        <v>8.77</v>
      </c>
      <c r="DI144">
        <f t="shared" si="62"/>
        <v>0</v>
      </c>
      <c r="DJ144">
        <f>DG144</f>
        <v>7.9</v>
      </c>
      <c r="DK144">
        <v>0</v>
      </c>
      <c r="DL144" t="s">
        <v>3</v>
      </c>
      <c r="DM144">
        <v>0</v>
      </c>
      <c r="DN144" t="s">
        <v>3</v>
      </c>
      <c r="DO144">
        <v>0</v>
      </c>
    </row>
    <row r="145" spans="1:119" x14ac:dyDescent="0.2">
      <c r="A145">
        <f>ROW(Source!A97)</f>
        <v>97</v>
      </c>
      <c r="B145">
        <v>145026783</v>
      </c>
      <c r="C145">
        <v>145034146</v>
      </c>
      <c r="D145">
        <v>140923885</v>
      </c>
      <c r="E145">
        <v>1</v>
      </c>
      <c r="F145">
        <v>1</v>
      </c>
      <c r="G145">
        <v>1</v>
      </c>
      <c r="H145">
        <v>2</v>
      </c>
      <c r="I145" t="s">
        <v>668</v>
      </c>
      <c r="J145" t="s">
        <v>669</v>
      </c>
      <c r="K145" t="s">
        <v>670</v>
      </c>
      <c r="L145">
        <v>1367</v>
      </c>
      <c r="N145">
        <v>1011</v>
      </c>
      <c r="O145" t="s">
        <v>614</v>
      </c>
      <c r="P145" t="s">
        <v>614</v>
      </c>
      <c r="Q145">
        <v>1</v>
      </c>
      <c r="W145">
        <v>0</v>
      </c>
      <c r="X145">
        <v>509054691</v>
      </c>
      <c r="Y145">
        <f>(AT145*1.25)</f>
        <v>1.2500000000000001E-2</v>
      </c>
      <c r="AA145">
        <v>0</v>
      </c>
      <c r="AB145">
        <v>817.43</v>
      </c>
      <c r="AC145">
        <v>371.32</v>
      </c>
      <c r="AD145">
        <v>0</v>
      </c>
      <c r="AE145">
        <v>0</v>
      </c>
      <c r="AF145">
        <v>65.709999999999994</v>
      </c>
      <c r="AG145">
        <v>11.6</v>
      </c>
      <c r="AH145">
        <v>0</v>
      </c>
      <c r="AI145">
        <v>1</v>
      </c>
      <c r="AJ145">
        <v>12.44</v>
      </c>
      <c r="AK145">
        <v>32.01</v>
      </c>
      <c r="AL145">
        <v>1</v>
      </c>
      <c r="AM145">
        <v>4</v>
      </c>
      <c r="AN145">
        <v>0</v>
      </c>
      <c r="AO145">
        <v>1</v>
      </c>
      <c r="AP145">
        <v>1</v>
      </c>
      <c r="AQ145">
        <v>0</v>
      </c>
      <c r="AR145">
        <v>0</v>
      </c>
      <c r="AS145" t="s">
        <v>3</v>
      </c>
      <c r="AT145">
        <v>0.01</v>
      </c>
      <c r="AU145" t="s">
        <v>148</v>
      </c>
      <c r="AV145">
        <v>0</v>
      </c>
      <c r="AW145">
        <v>2</v>
      </c>
      <c r="AX145">
        <v>145070564</v>
      </c>
      <c r="AY145">
        <v>1</v>
      </c>
      <c r="AZ145">
        <v>0</v>
      </c>
      <c r="BA145">
        <v>161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ROUND(Y145*Source!I97,9)</f>
        <v>2.0305E-2</v>
      </c>
      <c r="CY145">
        <f>AB145</f>
        <v>817.43</v>
      </c>
      <c r="CZ145">
        <f>AF145</f>
        <v>65.709999999999994</v>
      </c>
      <c r="DA145">
        <f>AJ145</f>
        <v>12.44</v>
      </c>
      <c r="DB145">
        <f>ROUND((ROUND(AT145*CZ145,2)*1.25),2)</f>
        <v>0.83</v>
      </c>
      <c r="DC145">
        <f>ROUND((ROUND(AT145*AG145,2)*1.25),2)</f>
        <v>0.15</v>
      </c>
      <c r="DD145" t="s">
        <v>3</v>
      </c>
      <c r="DE145" t="s">
        <v>3</v>
      </c>
      <c r="DF145">
        <f>ROUND(ROUND(AE145,2)*CX145,2)</f>
        <v>0</v>
      </c>
      <c r="DG145">
        <f>ROUND(ROUND(AF145*AJ145,2)*CX145,2)</f>
        <v>16.600000000000001</v>
      </c>
      <c r="DH145">
        <f>ROUND(ROUND(AG145*AK145,2)*CX145,2)</f>
        <v>7.54</v>
      </c>
      <c r="DI145">
        <f t="shared" si="62"/>
        <v>0</v>
      </c>
      <c r="DJ145">
        <f>DG145</f>
        <v>16.600000000000001</v>
      </c>
      <c r="DK145">
        <v>0</v>
      </c>
      <c r="DL145" t="s">
        <v>3</v>
      </c>
      <c r="DM145">
        <v>0</v>
      </c>
      <c r="DN145" t="s">
        <v>3</v>
      </c>
      <c r="DO145">
        <v>0</v>
      </c>
    </row>
    <row r="146" spans="1:119" x14ac:dyDescent="0.2">
      <c r="A146">
        <f>ROW(Source!A97)</f>
        <v>97</v>
      </c>
      <c r="B146">
        <v>145026783</v>
      </c>
      <c r="C146">
        <v>145034146</v>
      </c>
      <c r="D146">
        <v>140772671</v>
      </c>
      <c r="E146">
        <v>1</v>
      </c>
      <c r="F146">
        <v>1</v>
      </c>
      <c r="G146">
        <v>1</v>
      </c>
      <c r="H146">
        <v>3</v>
      </c>
      <c r="I146" t="s">
        <v>737</v>
      </c>
      <c r="J146" t="s">
        <v>738</v>
      </c>
      <c r="K146" t="s">
        <v>739</v>
      </c>
      <c r="L146">
        <v>1348</v>
      </c>
      <c r="N146">
        <v>1009</v>
      </c>
      <c r="O146" t="s">
        <v>49</v>
      </c>
      <c r="P146" t="s">
        <v>49</v>
      </c>
      <c r="Q146">
        <v>1000</v>
      </c>
      <c r="W146">
        <v>0</v>
      </c>
      <c r="X146">
        <v>-1330747617</v>
      </c>
      <c r="Y146">
        <f t="shared" ref="Y146:Y151" si="63">AT146</f>
        <v>7.1000000000000004E-3</v>
      </c>
      <c r="AA146">
        <v>50285</v>
      </c>
      <c r="AB146">
        <v>0</v>
      </c>
      <c r="AC146">
        <v>0</v>
      </c>
      <c r="AD146">
        <v>0</v>
      </c>
      <c r="AE146">
        <v>5650</v>
      </c>
      <c r="AF146">
        <v>0</v>
      </c>
      <c r="AG146">
        <v>0</v>
      </c>
      <c r="AH146">
        <v>0</v>
      </c>
      <c r="AI146">
        <v>8.9</v>
      </c>
      <c r="AJ146">
        <v>1</v>
      </c>
      <c r="AK146">
        <v>1</v>
      </c>
      <c r="AL146">
        <v>1</v>
      </c>
      <c r="AM146">
        <v>4</v>
      </c>
      <c r="AN146">
        <v>0</v>
      </c>
      <c r="AO146">
        <v>1</v>
      </c>
      <c r="AP146">
        <v>1</v>
      </c>
      <c r="AQ146">
        <v>0</v>
      </c>
      <c r="AR146">
        <v>0</v>
      </c>
      <c r="AS146" t="s">
        <v>3</v>
      </c>
      <c r="AT146">
        <v>7.1000000000000004E-3</v>
      </c>
      <c r="AU146" t="s">
        <v>3</v>
      </c>
      <c r="AV146">
        <v>0</v>
      </c>
      <c r="AW146">
        <v>2</v>
      </c>
      <c r="AX146">
        <v>145070566</v>
      </c>
      <c r="AY146">
        <v>1</v>
      </c>
      <c r="AZ146">
        <v>0</v>
      </c>
      <c r="BA146">
        <v>163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ROUND(Y146*Source!I97,9)</f>
        <v>1.153324E-2</v>
      </c>
      <c r="CY146">
        <f t="shared" ref="CY146:CY151" si="64">AA146</f>
        <v>50285</v>
      </c>
      <c r="CZ146">
        <f t="shared" ref="CZ146:CZ151" si="65">AE146</f>
        <v>5650</v>
      </c>
      <c r="DA146">
        <f t="shared" ref="DA146:DA151" si="66">AI146</f>
        <v>8.9</v>
      </c>
      <c r="DB146">
        <f t="shared" ref="DB146:DB151" si="67">ROUND(ROUND(AT146*CZ146,2),2)</f>
        <v>40.119999999999997</v>
      </c>
      <c r="DC146">
        <f t="shared" ref="DC146:DC151" si="68">ROUND(ROUND(AT146*AG146,2),2)</f>
        <v>0</v>
      </c>
      <c r="DD146" t="s">
        <v>3</v>
      </c>
      <c r="DE146" t="s">
        <v>3</v>
      </c>
      <c r="DF146">
        <f t="shared" ref="DF146:DF151" si="69">ROUND(ROUND(AE146*AI146,2)*CX146,2)</f>
        <v>579.95000000000005</v>
      </c>
      <c r="DG146">
        <f t="shared" ref="DG146:DG153" si="70">ROUND(ROUND(AF146,2)*CX146,2)</f>
        <v>0</v>
      </c>
      <c r="DH146">
        <f t="shared" ref="DH146:DH152" si="71">ROUND(ROUND(AG146,2)*CX146,2)</f>
        <v>0</v>
      </c>
      <c r="DI146">
        <f t="shared" si="62"/>
        <v>0</v>
      </c>
      <c r="DJ146">
        <f t="shared" ref="DJ146:DJ151" si="72">DF146</f>
        <v>579.95000000000005</v>
      </c>
      <c r="DK146">
        <v>0</v>
      </c>
      <c r="DL146" t="s">
        <v>3</v>
      </c>
      <c r="DM146">
        <v>0</v>
      </c>
      <c r="DN146" t="s">
        <v>3</v>
      </c>
      <c r="DO146">
        <v>0</v>
      </c>
    </row>
    <row r="147" spans="1:119" x14ac:dyDescent="0.2">
      <c r="A147">
        <f>ROW(Source!A97)</f>
        <v>97</v>
      </c>
      <c r="B147">
        <v>145026783</v>
      </c>
      <c r="C147">
        <v>145034146</v>
      </c>
      <c r="D147">
        <v>140772680</v>
      </c>
      <c r="E147">
        <v>1</v>
      </c>
      <c r="F147">
        <v>1</v>
      </c>
      <c r="G147">
        <v>1</v>
      </c>
      <c r="H147">
        <v>3</v>
      </c>
      <c r="I147" t="s">
        <v>635</v>
      </c>
      <c r="J147" t="s">
        <v>636</v>
      </c>
      <c r="K147" t="s">
        <v>637</v>
      </c>
      <c r="L147">
        <v>1339</v>
      </c>
      <c r="N147">
        <v>1007</v>
      </c>
      <c r="O147" t="s">
        <v>638</v>
      </c>
      <c r="P147" t="s">
        <v>638</v>
      </c>
      <c r="Q147">
        <v>1</v>
      </c>
      <c r="W147">
        <v>0</v>
      </c>
      <c r="X147">
        <v>-143474561</v>
      </c>
      <c r="Y147">
        <f t="shared" si="63"/>
        <v>0.01</v>
      </c>
      <c r="AA147">
        <v>21.72</v>
      </c>
      <c r="AB147">
        <v>0</v>
      </c>
      <c r="AC147">
        <v>0</v>
      </c>
      <c r="AD147">
        <v>0</v>
      </c>
      <c r="AE147">
        <v>2.44</v>
      </c>
      <c r="AF147">
        <v>0</v>
      </c>
      <c r="AG147">
        <v>0</v>
      </c>
      <c r="AH147">
        <v>0</v>
      </c>
      <c r="AI147">
        <v>8.9</v>
      </c>
      <c r="AJ147">
        <v>1</v>
      </c>
      <c r="AK147">
        <v>1</v>
      </c>
      <c r="AL147">
        <v>1</v>
      </c>
      <c r="AM147">
        <v>4</v>
      </c>
      <c r="AN147">
        <v>0</v>
      </c>
      <c r="AO147">
        <v>1</v>
      </c>
      <c r="AP147">
        <v>1</v>
      </c>
      <c r="AQ147">
        <v>0</v>
      </c>
      <c r="AR147">
        <v>0</v>
      </c>
      <c r="AS147" t="s">
        <v>3</v>
      </c>
      <c r="AT147">
        <v>0.01</v>
      </c>
      <c r="AU147" t="s">
        <v>3</v>
      </c>
      <c r="AV147">
        <v>0</v>
      </c>
      <c r="AW147">
        <v>2</v>
      </c>
      <c r="AX147">
        <v>145070567</v>
      </c>
      <c r="AY147">
        <v>1</v>
      </c>
      <c r="AZ147">
        <v>0</v>
      </c>
      <c r="BA147">
        <v>164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ROUND(Y147*Source!I97,9)</f>
        <v>1.6244000000000001E-2</v>
      </c>
      <c r="CY147">
        <f t="shared" si="64"/>
        <v>21.72</v>
      </c>
      <c r="CZ147">
        <f t="shared" si="65"/>
        <v>2.44</v>
      </c>
      <c r="DA147">
        <f t="shared" si="66"/>
        <v>8.9</v>
      </c>
      <c r="DB147">
        <f t="shared" si="67"/>
        <v>0.02</v>
      </c>
      <c r="DC147">
        <f t="shared" si="68"/>
        <v>0</v>
      </c>
      <c r="DD147" t="s">
        <v>3</v>
      </c>
      <c r="DE147" t="s">
        <v>3</v>
      </c>
      <c r="DF147">
        <f t="shared" si="69"/>
        <v>0.35</v>
      </c>
      <c r="DG147">
        <f t="shared" si="70"/>
        <v>0</v>
      </c>
      <c r="DH147">
        <f t="shared" si="71"/>
        <v>0</v>
      </c>
      <c r="DI147">
        <f t="shared" si="62"/>
        <v>0</v>
      </c>
      <c r="DJ147">
        <f t="shared" si="72"/>
        <v>0.35</v>
      </c>
      <c r="DK147">
        <v>0</v>
      </c>
      <c r="DL147" t="s">
        <v>3</v>
      </c>
      <c r="DM147">
        <v>0</v>
      </c>
      <c r="DN147" t="s">
        <v>3</v>
      </c>
      <c r="DO147">
        <v>0</v>
      </c>
    </row>
    <row r="148" spans="1:119" x14ac:dyDescent="0.2">
      <c r="A148">
        <f>ROW(Source!A97)</f>
        <v>97</v>
      </c>
      <c r="B148">
        <v>145026783</v>
      </c>
      <c r="C148">
        <v>145034146</v>
      </c>
      <c r="D148">
        <v>140776226</v>
      </c>
      <c r="E148">
        <v>1</v>
      </c>
      <c r="F148">
        <v>1</v>
      </c>
      <c r="G148">
        <v>1</v>
      </c>
      <c r="H148">
        <v>3</v>
      </c>
      <c r="I148" t="s">
        <v>680</v>
      </c>
      <c r="J148" t="s">
        <v>681</v>
      </c>
      <c r="K148" t="s">
        <v>682</v>
      </c>
      <c r="L148">
        <v>1346</v>
      </c>
      <c r="N148">
        <v>1009</v>
      </c>
      <c r="O148" t="s">
        <v>154</v>
      </c>
      <c r="P148" t="s">
        <v>154</v>
      </c>
      <c r="Q148">
        <v>1</v>
      </c>
      <c r="W148">
        <v>0</v>
      </c>
      <c r="X148">
        <v>1052716416</v>
      </c>
      <c r="Y148">
        <f t="shared" si="63"/>
        <v>0.01</v>
      </c>
      <c r="AA148">
        <v>16.2</v>
      </c>
      <c r="AB148">
        <v>0</v>
      </c>
      <c r="AC148">
        <v>0</v>
      </c>
      <c r="AD148">
        <v>0</v>
      </c>
      <c r="AE148">
        <v>1.82</v>
      </c>
      <c r="AF148">
        <v>0</v>
      </c>
      <c r="AG148">
        <v>0</v>
      </c>
      <c r="AH148">
        <v>0</v>
      </c>
      <c r="AI148">
        <v>8.9</v>
      </c>
      <c r="AJ148">
        <v>1</v>
      </c>
      <c r="AK148">
        <v>1</v>
      </c>
      <c r="AL148">
        <v>1</v>
      </c>
      <c r="AM148">
        <v>4</v>
      </c>
      <c r="AN148">
        <v>0</v>
      </c>
      <c r="AO148">
        <v>1</v>
      </c>
      <c r="AP148">
        <v>1</v>
      </c>
      <c r="AQ148">
        <v>0</v>
      </c>
      <c r="AR148">
        <v>0</v>
      </c>
      <c r="AS148" t="s">
        <v>3</v>
      </c>
      <c r="AT148">
        <v>0.01</v>
      </c>
      <c r="AU148" t="s">
        <v>3</v>
      </c>
      <c r="AV148">
        <v>0</v>
      </c>
      <c r="AW148">
        <v>2</v>
      </c>
      <c r="AX148">
        <v>145070568</v>
      </c>
      <c r="AY148">
        <v>1</v>
      </c>
      <c r="AZ148">
        <v>0</v>
      </c>
      <c r="BA148">
        <v>165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ROUND(Y148*Source!I97,9)</f>
        <v>1.6244000000000001E-2</v>
      </c>
      <c r="CY148">
        <f t="shared" si="64"/>
        <v>16.2</v>
      </c>
      <c r="CZ148">
        <f t="shared" si="65"/>
        <v>1.82</v>
      </c>
      <c r="DA148">
        <f t="shared" si="66"/>
        <v>8.9</v>
      </c>
      <c r="DB148">
        <f t="shared" si="67"/>
        <v>0.02</v>
      </c>
      <c r="DC148">
        <f t="shared" si="68"/>
        <v>0</v>
      </c>
      <c r="DD148" t="s">
        <v>3</v>
      </c>
      <c r="DE148" t="s">
        <v>3</v>
      </c>
      <c r="DF148">
        <f t="shared" si="69"/>
        <v>0.26</v>
      </c>
      <c r="DG148">
        <f t="shared" si="70"/>
        <v>0</v>
      </c>
      <c r="DH148">
        <f t="shared" si="71"/>
        <v>0</v>
      </c>
      <c r="DI148">
        <f t="shared" si="62"/>
        <v>0</v>
      </c>
      <c r="DJ148">
        <f t="shared" si="72"/>
        <v>0.26</v>
      </c>
      <c r="DK148">
        <v>0</v>
      </c>
      <c r="DL148" t="s">
        <v>3</v>
      </c>
      <c r="DM148">
        <v>0</v>
      </c>
      <c r="DN148" t="s">
        <v>3</v>
      </c>
      <c r="DO148">
        <v>0</v>
      </c>
    </row>
    <row r="149" spans="1:119" x14ac:dyDescent="0.2">
      <c r="A149">
        <f>ROW(Source!A97)</f>
        <v>97</v>
      </c>
      <c r="B149">
        <v>145026783</v>
      </c>
      <c r="C149">
        <v>145034146</v>
      </c>
      <c r="D149">
        <v>140777177</v>
      </c>
      <c r="E149">
        <v>1</v>
      </c>
      <c r="F149">
        <v>1</v>
      </c>
      <c r="G149">
        <v>1</v>
      </c>
      <c r="H149">
        <v>3</v>
      </c>
      <c r="I149" t="s">
        <v>740</v>
      </c>
      <c r="J149" t="s">
        <v>741</v>
      </c>
      <c r="K149" t="s">
        <v>742</v>
      </c>
      <c r="L149">
        <v>1339</v>
      </c>
      <c r="N149">
        <v>1007</v>
      </c>
      <c r="O149" t="s">
        <v>638</v>
      </c>
      <c r="P149" t="s">
        <v>638</v>
      </c>
      <c r="Q149">
        <v>1</v>
      </c>
      <c r="W149">
        <v>0</v>
      </c>
      <c r="X149">
        <v>1279836251</v>
      </c>
      <c r="Y149">
        <f t="shared" si="63"/>
        <v>4.0000000000000002E-4</v>
      </c>
      <c r="AA149">
        <v>663.76</v>
      </c>
      <c r="AB149">
        <v>0</v>
      </c>
      <c r="AC149">
        <v>0</v>
      </c>
      <c r="AD149">
        <v>0</v>
      </c>
      <c r="AE149">
        <v>74.58</v>
      </c>
      <c r="AF149">
        <v>0</v>
      </c>
      <c r="AG149">
        <v>0</v>
      </c>
      <c r="AH149">
        <v>0</v>
      </c>
      <c r="AI149">
        <v>8.9</v>
      </c>
      <c r="AJ149">
        <v>1</v>
      </c>
      <c r="AK149">
        <v>1</v>
      </c>
      <c r="AL149">
        <v>1</v>
      </c>
      <c r="AM149">
        <v>4</v>
      </c>
      <c r="AN149">
        <v>0</v>
      </c>
      <c r="AO149">
        <v>1</v>
      </c>
      <c r="AP149">
        <v>1</v>
      </c>
      <c r="AQ149">
        <v>0</v>
      </c>
      <c r="AR149">
        <v>0</v>
      </c>
      <c r="AS149" t="s">
        <v>3</v>
      </c>
      <c r="AT149">
        <v>4.0000000000000002E-4</v>
      </c>
      <c r="AU149" t="s">
        <v>3</v>
      </c>
      <c r="AV149">
        <v>0</v>
      </c>
      <c r="AW149">
        <v>2</v>
      </c>
      <c r="AX149">
        <v>145070569</v>
      </c>
      <c r="AY149">
        <v>1</v>
      </c>
      <c r="AZ149">
        <v>0</v>
      </c>
      <c r="BA149">
        <v>166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CX149">
        <f>ROUND(Y149*Source!I97,9)</f>
        <v>6.4975999999999999E-4</v>
      </c>
      <c r="CY149">
        <f t="shared" si="64"/>
        <v>663.76</v>
      </c>
      <c r="CZ149">
        <f t="shared" si="65"/>
        <v>74.58</v>
      </c>
      <c r="DA149">
        <f t="shared" si="66"/>
        <v>8.9</v>
      </c>
      <c r="DB149">
        <f t="shared" si="67"/>
        <v>0.03</v>
      </c>
      <c r="DC149">
        <f t="shared" si="68"/>
        <v>0</v>
      </c>
      <c r="DD149" t="s">
        <v>3</v>
      </c>
      <c r="DE149" t="s">
        <v>3</v>
      </c>
      <c r="DF149">
        <f t="shared" si="69"/>
        <v>0.43</v>
      </c>
      <c r="DG149">
        <f t="shared" si="70"/>
        <v>0</v>
      </c>
      <c r="DH149">
        <f t="shared" si="71"/>
        <v>0</v>
      </c>
      <c r="DI149">
        <f t="shared" si="62"/>
        <v>0</v>
      </c>
      <c r="DJ149">
        <f t="shared" si="72"/>
        <v>0.43</v>
      </c>
      <c r="DK149">
        <v>0</v>
      </c>
      <c r="DL149" t="s">
        <v>3</v>
      </c>
      <c r="DM149">
        <v>0</v>
      </c>
      <c r="DN149" t="s">
        <v>3</v>
      </c>
      <c r="DO149">
        <v>0</v>
      </c>
    </row>
    <row r="150" spans="1:119" x14ac:dyDescent="0.2">
      <c r="A150">
        <f>ROW(Source!A97)</f>
        <v>97</v>
      </c>
      <c r="B150">
        <v>145026783</v>
      </c>
      <c r="C150">
        <v>145034146</v>
      </c>
      <c r="D150">
        <v>140803197</v>
      </c>
      <c r="E150">
        <v>1</v>
      </c>
      <c r="F150">
        <v>1</v>
      </c>
      <c r="G150">
        <v>1</v>
      </c>
      <c r="H150">
        <v>3</v>
      </c>
      <c r="I150" t="s">
        <v>295</v>
      </c>
      <c r="J150" t="s">
        <v>297</v>
      </c>
      <c r="K150" t="s">
        <v>296</v>
      </c>
      <c r="L150">
        <v>1348</v>
      </c>
      <c r="N150">
        <v>1009</v>
      </c>
      <c r="O150" t="s">
        <v>49</v>
      </c>
      <c r="P150" t="s">
        <v>49</v>
      </c>
      <c r="Q150">
        <v>1000</v>
      </c>
      <c r="W150">
        <v>1</v>
      </c>
      <c r="X150">
        <v>453939628</v>
      </c>
      <c r="Y150">
        <f t="shared" si="63"/>
        <v>-2.8999999999999998E-3</v>
      </c>
      <c r="AA150">
        <v>231311</v>
      </c>
      <c r="AB150">
        <v>0</v>
      </c>
      <c r="AC150">
        <v>0</v>
      </c>
      <c r="AD150">
        <v>0</v>
      </c>
      <c r="AE150">
        <v>25990</v>
      </c>
      <c r="AF150">
        <v>0</v>
      </c>
      <c r="AG150">
        <v>0</v>
      </c>
      <c r="AH150">
        <v>0</v>
      </c>
      <c r="AI150">
        <v>8.9</v>
      </c>
      <c r="AJ150">
        <v>1</v>
      </c>
      <c r="AK150">
        <v>1</v>
      </c>
      <c r="AL150">
        <v>1</v>
      </c>
      <c r="AM150">
        <v>4</v>
      </c>
      <c r="AN150">
        <v>0</v>
      </c>
      <c r="AO150">
        <v>1</v>
      </c>
      <c r="AP150">
        <v>1</v>
      </c>
      <c r="AQ150">
        <v>0</v>
      </c>
      <c r="AR150">
        <v>0</v>
      </c>
      <c r="AS150" t="s">
        <v>3</v>
      </c>
      <c r="AT150">
        <v>-2.8999999999999998E-3</v>
      </c>
      <c r="AU150" t="s">
        <v>3</v>
      </c>
      <c r="AV150">
        <v>0</v>
      </c>
      <c r="AW150">
        <v>2</v>
      </c>
      <c r="AX150">
        <v>145070570</v>
      </c>
      <c r="AY150">
        <v>1</v>
      </c>
      <c r="AZ150">
        <v>6144</v>
      </c>
      <c r="BA150">
        <v>167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CX150">
        <f>ROUND(Y150*Source!I97,9)</f>
        <v>-4.7107599999999996E-3</v>
      </c>
      <c r="CY150">
        <f t="shared" si="64"/>
        <v>231311</v>
      </c>
      <c r="CZ150">
        <f t="shared" si="65"/>
        <v>25990</v>
      </c>
      <c r="DA150">
        <f t="shared" si="66"/>
        <v>8.9</v>
      </c>
      <c r="DB150">
        <f t="shared" si="67"/>
        <v>-75.37</v>
      </c>
      <c r="DC150">
        <f t="shared" si="68"/>
        <v>0</v>
      </c>
      <c r="DD150" t="s">
        <v>3</v>
      </c>
      <c r="DE150" t="s">
        <v>3</v>
      </c>
      <c r="DF150">
        <f t="shared" si="69"/>
        <v>-1089.6500000000001</v>
      </c>
      <c r="DG150">
        <f t="shared" si="70"/>
        <v>0</v>
      </c>
      <c r="DH150">
        <f t="shared" si="71"/>
        <v>0</v>
      </c>
      <c r="DI150">
        <f t="shared" si="62"/>
        <v>0</v>
      </c>
      <c r="DJ150">
        <f t="shared" si="72"/>
        <v>-1089.6500000000001</v>
      </c>
      <c r="DK150">
        <v>0</v>
      </c>
      <c r="DL150" t="s">
        <v>3</v>
      </c>
      <c r="DM150">
        <v>0</v>
      </c>
      <c r="DN150" t="s">
        <v>3</v>
      </c>
      <c r="DO150">
        <v>0</v>
      </c>
    </row>
    <row r="151" spans="1:119" x14ac:dyDescent="0.2">
      <c r="A151">
        <f>ROW(Source!A97)</f>
        <v>97</v>
      </c>
      <c r="B151">
        <v>145026783</v>
      </c>
      <c r="C151">
        <v>145034146</v>
      </c>
      <c r="D151">
        <v>140805242</v>
      </c>
      <c r="E151">
        <v>1</v>
      </c>
      <c r="F151">
        <v>1</v>
      </c>
      <c r="G151">
        <v>1</v>
      </c>
      <c r="H151">
        <v>3</v>
      </c>
      <c r="I151" t="s">
        <v>743</v>
      </c>
      <c r="J151" t="s">
        <v>744</v>
      </c>
      <c r="K151" t="s">
        <v>745</v>
      </c>
      <c r="L151">
        <v>1348</v>
      </c>
      <c r="N151">
        <v>1009</v>
      </c>
      <c r="O151" t="s">
        <v>49</v>
      </c>
      <c r="P151" t="s">
        <v>49</v>
      </c>
      <c r="Q151">
        <v>1000</v>
      </c>
      <c r="W151">
        <v>0</v>
      </c>
      <c r="X151">
        <v>-1516654830</v>
      </c>
      <c r="Y151">
        <f t="shared" si="63"/>
        <v>9.7000000000000003E-3</v>
      </c>
      <c r="AA151">
        <v>38216.6</v>
      </c>
      <c r="AB151">
        <v>0</v>
      </c>
      <c r="AC151">
        <v>0</v>
      </c>
      <c r="AD151">
        <v>0</v>
      </c>
      <c r="AE151">
        <v>4294</v>
      </c>
      <c r="AF151">
        <v>0</v>
      </c>
      <c r="AG151">
        <v>0</v>
      </c>
      <c r="AH151">
        <v>0</v>
      </c>
      <c r="AI151">
        <v>8.9</v>
      </c>
      <c r="AJ151">
        <v>1</v>
      </c>
      <c r="AK151">
        <v>1</v>
      </c>
      <c r="AL151">
        <v>1</v>
      </c>
      <c r="AM151">
        <v>4</v>
      </c>
      <c r="AN151">
        <v>0</v>
      </c>
      <c r="AO151">
        <v>1</v>
      </c>
      <c r="AP151">
        <v>1</v>
      </c>
      <c r="AQ151">
        <v>0</v>
      </c>
      <c r="AR151">
        <v>0</v>
      </c>
      <c r="AS151" t="s">
        <v>3</v>
      </c>
      <c r="AT151">
        <v>9.7000000000000003E-3</v>
      </c>
      <c r="AU151" t="s">
        <v>3</v>
      </c>
      <c r="AV151">
        <v>0</v>
      </c>
      <c r="AW151">
        <v>2</v>
      </c>
      <c r="AX151">
        <v>145070571</v>
      </c>
      <c r="AY151">
        <v>1</v>
      </c>
      <c r="AZ151">
        <v>0</v>
      </c>
      <c r="BA151">
        <v>168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CX151">
        <f>ROUND(Y151*Source!I97,9)</f>
        <v>1.5756679999999999E-2</v>
      </c>
      <c r="CY151">
        <f t="shared" si="64"/>
        <v>38216.6</v>
      </c>
      <c r="CZ151">
        <f t="shared" si="65"/>
        <v>4294</v>
      </c>
      <c r="DA151">
        <f t="shared" si="66"/>
        <v>8.9</v>
      </c>
      <c r="DB151">
        <f t="shared" si="67"/>
        <v>41.65</v>
      </c>
      <c r="DC151">
        <f t="shared" si="68"/>
        <v>0</v>
      </c>
      <c r="DD151" t="s">
        <v>3</v>
      </c>
      <c r="DE151" t="s">
        <v>3</v>
      </c>
      <c r="DF151">
        <f t="shared" si="69"/>
        <v>602.16999999999996</v>
      </c>
      <c r="DG151">
        <f t="shared" si="70"/>
        <v>0</v>
      </c>
      <c r="DH151">
        <f t="shared" si="71"/>
        <v>0</v>
      </c>
      <c r="DI151">
        <f t="shared" si="62"/>
        <v>0</v>
      </c>
      <c r="DJ151">
        <f t="shared" si="72"/>
        <v>602.16999999999996</v>
      </c>
      <c r="DK151">
        <v>0</v>
      </c>
      <c r="DL151" t="s">
        <v>3</v>
      </c>
      <c r="DM151">
        <v>0</v>
      </c>
      <c r="DN151" t="s">
        <v>3</v>
      </c>
      <c r="DO151">
        <v>0</v>
      </c>
    </row>
    <row r="152" spans="1:119" x14ac:dyDescent="0.2">
      <c r="A152">
        <f>ROW(Source!A101)</f>
        <v>101</v>
      </c>
      <c r="B152">
        <v>145026783</v>
      </c>
      <c r="C152">
        <v>145027377</v>
      </c>
      <c r="D152">
        <v>140759985</v>
      </c>
      <c r="E152">
        <v>70</v>
      </c>
      <c r="F152">
        <v>1</v>
      </c>
      <c r="G152">
        <v>1</v>
      </c>
      <c r="H152">
        <v>1</v>
      </c>
      <c r="I152" t="s">
        <v>708</v>
      </c>
      <c r="J152" t="s">
        <v>3</v>
      </c>
      <c r="K152" t="s">
        <v>709</v>
      </c>
      <c r="L152">
        <v>1191</v>
      </c>
      <c r="N152">
        <v>1013</v>
      </c>
      <c r="O152" t="s">
        <v>608</v>
      </c>
      <c r="P152" t="s">
        <v>608</v>
      </c>
      <c r="Q152">
        <v>1</v>
      </c>
      <c r="W152">
        <v>0</v>
      </c>
      <c r="X152">
        <v>784619160</v>
      </c>
      <c r="Y152">
        <f>(AT152*1.15)</f>
        <v>50.094000000000001</v>
      </c>
      <c r="AA152">
        <v>0</v>
      </c>
      <c r="AB152">
        <v>0</v>
      </c>
      <c r="AC152">
        <v>0</v>
      </c>
      <c r="AD152">
        <v>279.77</v>
      </c>
      <c r="AE152">
        <v>0</v>
      </c>
      <c r="AF152">
        <v>0</v>
      </c>
      <c r="AG152">
        <v>0</v>
      </c>
      <c r="AH152">
        <v>8.74</v>
      </c>
      <c r="AI152">
        <v>1</v>
      </c>
      <c r="AJ152">
        <v>1</v>
      </c>
      <c r="AK152">
        <v>1</v>
      </c>
      <c r="AL152">
        <v>32.01</v>
      </c>
      <c r="AM152">
        <v>4</v>
      </c>
      <c r="AN152">
        <v>0</v>
      </c>
      <c r="AO152">
        <v>1</v>
      </c>
      <c r="AP152">
        <v>1</v>
      </c>
      <c r="AQ152">
        <v>0</v>
      </c>
      <c r="AR152">
        <v>0</v>
      </c>
      <c r="AS152" t="s">
        <v>3</v>
      </c>
      <c r="AT152">
        <v>43.56</v>
      </c>
      <c r="AU152" t="s">
        <v>149</v>
      </c>
      <c r="AV152">
        <v>1</v>
      </c>
      <c r="AW152">
        <v>2</v>
      </c>
      <c r="AX152">
        <v>145027385</v>
      </c>
      <c r="AY152">
        <v>1</v>
      </c>
      <c r="AZ152">
        <v>0</v>
      </c>
      <c r="BA152">
        <v>169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CX152">
        <f>ROUND(Y152*Source!I101,9)</f>
        <v>299.56211999999999</v>
      </c>
      <c r="CY152">
        <f>AD152</f>
        <v>279.77</v>
      </c>
      <c r="CZ152">
        <f>AH152</f>
        <v>8.74</v>
      </c>
      <c r="DA152">
        <f>AL152</f>
        <v>32.01</v>
      </c>
      <c r="DB152">
        <f>ROUND((ROUND(AT152*CZ152,2)*1.15),2)</f>
        <v>437.82</v>
      </c>
      <c r="DC152">
        <f>ROUND((ROUND(AT152*AG152,2)*1.15),2)</f>
        <v>0</v>
      </c>
      <c r="DD152" t="s">
        <v>3</v>
      </c>
      <c r="DE152" t="s">
        <v>3</v>
      </c>
      <c r="DF152">
        <f>ROUND(ROUND(AE152,2)*CX152,2)</f>
        <v>0</v>
      </c>
      <c r="DG152">
        <f t="shared" si="70"/>
        <v>0</v>
      </c>
      <c r="DH152">
        <f t="shared" si="71"/>
        <v>0</v>
      </c>
      <c r="DI152">
        <f>ROUND(ROUND(AH152*AL152,2)*CX152,2)</f>
        <v>83808.490000000005</v>
      </c>
      <c r="DJ152">
        <f>DI152</f>
        <v>83808.490000000005</v>
      </c>
      <c r="DK152">
        <v>0</v>
      </c>
      <c r="DL152" t="s">
        <v>3</v>
      </c>
      <c r="DM152">
        <v>0</v>
      </c>
      <c r="DN152" t="s">
        <v>3</v>
      </c>
      <c r="DO152">
        <v>0</v>
      </c>
    </row>
    <row r="153" spans="1:119" x14ac:dyDescent="0.2">
      <c r="A153">
        <f>ROW(Source!A101)</f>
        <v>101</v>
      </c>
      <c r="B153">
        <v>145026783</v>
      </c>
      <c r="C153">
        <v>145027377</v>
      </c>
      <c r="D153">
        <v>140760225</v>
      </c>
      <c r="E153">
        <v>70</v>
      </c>
      <c r="F153">
        <v>1</v>
      </c>
      <c r="G153">
        <v>1</v>
      </c>
      <c r="H153">
        <v>1</v>
      </c>
      <c r="I153" t="s">
        <v>609</v>
      </c>
      <c r="J153" t="s">
        <v>3</v>
      </c>
      <c r="K153" t="s">
        <v>610</v>
      </c>
      <c r="L153">
        <v>1191</v>
      </c>
      <c r="N153">
        <v>1013</v>
      </c>
      <c r="O153" t="s">
        <v>608</v>
      </c>
      <c r="P153" t="s">
        <v>608</v>
      </c>
      <c r="Q153">
        <v>1</v>
      </c>
      <c r="W153">
        <v>0</v>
      </c>
      <c r="X153">
        <v>-1417349443</v>
      </c>
      <c r="Y153">
        <f>(AT153*1.25)</f>
        <v>0.21250000000000002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1</v>
      </c>
      <c r="AJ153">
        <v>1</v>
      </c>
      <c r="AK153">
        <v>32.01</v>
      </c>
      <c r="AL153">
        <v>1</v>
      </c>
      <c r="AM153">
        <v>4</v>
      </c>
      <c r="AN153">
        <v>0</v>
      </c>
      <c r="AO153">
        <v>1</v>
      </c>
      <c r="AP153">
        <v>1</v>
      </c>
      <c r="AQ153">
        <v>0</v>
      </c>
      <c r="AR153">
        <v>0</v>
      </c>
      <c r="AS153" t="s">
        <v>3</v>
      </c>
      <c r="AT153">
        <v>0.17</v>
      </c>
      <c r="AU153" t="s">
        <v>148</v>
      </c>
      <c r="AV153">
        <v>2</v>
      </c>
      <c r="AW153">
        <v>2</v>
      </c>
      <c r="AX153">
        <v>145027386</v>
      </c>
      <c r="AY153">
        <v>1</v>
      </c>
      <c r="AZ153">
        <v>0</v>
      </c>
      <c r="BA153">
        <v>170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CX153">
        <f>ROUND(Y153*Source!I101,9)</f>
        <v>1.27075</v>
      </c>
      <c r="CY153">
        <f>AD153</f>
        <v>0</v>
      </c>
      <c r="CZ153">
        <f>AH153</f>
        <v>0</v>
      </c>
      <c r="DA153">
        <f>AL153</f>
        <v>1</v>
      </c>
      <c r="DB153">
        <f>ROUND((ROUND(AT153*CZ153,2)*1.25),2)</f>
        <v>0</v>
      </c>
      <c r="DC153">
        <f>ROUND((ROUND(AT153*AG153,2)*1.25),2)</f>
        <v>0</v>
      </c>
      <c r="DD153" t="s">
        <v>3</v>
      </c>
      <c r="DE153" t="s">
        <v>3</v>
      </c>
      <c r="DF153">
        <f>ROUND(ROUND(AE153,2)*CX153,2)</f>
        <v>0</v>
      </c>
      <c r="DG153">
        <f t="shared" si="70"/>
        <v>0</v>
      </c>
      <c r="DH153">
        <f>ROUND(ROUND(AG153*AK153,2)*CX153,2)</f>
        <v>0</v>
      </c>
      <c r="DI153">
        <f t="shared" ref="DI153:DI158" si="73">ROUND(ROUND(AH153,2)*CX153,2)</f>
        <v>0</v>
      </c>
      <c r="DJ153">
        <f>DI153</f>
        <v>0</v>
      </c>
      <c r="DK153">
        <v>0</v>
      </c>
      <c r="DL153" t="s">
        <v>3</v>
      </c>
      <c r="DM153">
        <v>0</v>
      </c>
      <c r="DN153" t="s">
        <v>3</v>
      </c>
      <c r="DO153">
        <v>0</v>
      </c>
    </row>
    <row r="154" spans="1:119" x14ac:dyDescent="0.2">
      <c r="A154">
        <f>ROW(Source!A101)</f>
        <v>101</v>
      </c>
      <c r="B154">
        <v>145026783</v>
      </c>
      <c r="C154">
        <v>145027377</v>
      </c>
      <c r="D154">
        <v>140923143</v>
      </c>
      <c r="E154">
        <v>1</v>
      </c>
      <c r="F154">
        <v>1</v>
      </c>
      <c r="G154">
        <v>1</v>
      </c>
      <c r="H154">
        <v>2</v>
      </c>
      <c r="I154" t="s">
        <v>702</v>
      </c>
      <c r="J154" t="s">
        <v>703</v>
      </c>
      <c r="K154" t="s">
        <v>704</v>
      </c>
      <c r="L154">
        <v>1367</v>
      </c>
      <c r="N154">
        <v>1011</v>
      </c>
      <c r="O154" t="s">
        <v>614</v>
      </c>
      <c r="P154" t="s">
        <v>614</v>
      </c>
      <c r="Q154">
        <v>1</v>
      </c>
      <c r="W154">
        <v>0</v>
      </c>
      <c r="X154">
        <v>961999509</v>
      </c>
      <c r="Y154">
        <f>(AT154*1.25)</f>
        <v>2.5000000000000001E-2</v>
      </c>
      <c r="AA154">
        <v>0</v>
      </c>
      <c r="AB154">
        <v>344.09</v>
      </c>
      <c r="AC154">
        <v>371.32</v>
      </c>
      <c r="AD154">
        <v>0</v>
      </c>
      <c r="AE154">
        <v>0</v>
      </c>
      <c r="AF154">
        <v>27.66</v>
      </c>
      <c r="AG154">
        <v>11.6</v>
      </c>
      <c r="AH154">
        <v>0</v>
      </c>
      <c r="AI154">
        <v>1</v>
      </c>
      <c r="AJ154">
        <v>12.44</v>
      </c>
      <c r="AK154">
        <v>32.01</v>
      </c>
      <c r="AL154">
        <v>1</v>
      </c>
      <c r="AM154">
        <v>4</v>
      </c>
      <c r="AN154">
        <v>0</v>
      </c>
      <c r="AO154">
        <v>1</v>
      </c>
      <c r="AP154">
        <v>1</v>
      </c>
      <c r="AQ154">
        <v>0</v>
      </c>
      <c r="AR154">
        <v>0</v>
      </c>
      <c r="AS154" t="s">
        <v>3</v>
      </c>
      <c r="AT154">
        <v>0.02</v>
      </c>
      <c r="AU154" t="s">
        <v>148</v>
      </c>
      <c r="AV154">
        <v>0</v>
      </c>
      <c r="AW154">
        <v>2</v>
      </c>
      <c r="AX154">
        <v>145027387</v>
      </c>
      <c r="AY154">
        <v>1</v>
      </c>
      <c r="AZ154">
        <v>0</v>
      </c>
      <c r="BA154">
        <v>171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CX154">
        <f>ROUND(Y154*Source!I101,9)</f>
        <v>0.14949999999999999</v>
      </c>
      <c r="CY154">
        <f>AB154</f>
        <v>344.09</v>
      </c>
      <c r="CZ154">
        <f>AF154</f>
        <v>27.66</v>
      </c>
      <c r="DA154">
        <f>AJ154</f>
        <v>12.44</v>
      </c>
      <c r="DB154">
        <f>ROUND((ROUND(AT154*CZ154,2)*1.25),2)</f>
        <v>0.69</v>
      </c>
      <c r="DC154">
        <f>ROUND((ROUND(AT154*AG154,2)*1.25),2)</f>
        <v>0.28999999999999998</v>
      </c>
      <c r="DD154" t="s">
        <v>3</v>
      </c>
      <c r="DE154" t="s">
        <v>3</v>
      </c>
      <c r="DF154">
        <f>ROUND(ROUND(AE154,2)*CX154,2)</f>
        <v>0</v>
      </c>
      <c r="DG154">
        <f>ROUND(ROUND(AF154*AJ154,2)*CX154,2)</f>
        <v>51.44</v>
      </c>
      <c r="DH154">
        <f>ROUND(ROUND(AG154*AK154,2)*CX154,2)</f>
        <v>55.51</v>
      </c>
      <c r="DI154">
        <f t="shared" si="73"/>
        <v>0</v>
      </c>
      <c r="DJ154">
        <f>DG154</f>
        <v>51.44</v>
      </c>
      <c r="DK154">
        <v>0</v>
      </c>
      <c r="DL154" t="s">
        <v>3</v>
      </c>
      <c r="DM154">
        <v>0</v>
      </c>
      <c r="DN154" t="s">
        <v>3</v>
      </c>
      <c r="DO154">
        <v>0</v>
      </c>
    </row>
    <row r="155" spans="1:119" x14ac:dyDescent="0.2">
      <c r="A155">
        <f>ROW(Source!A101)</f>
        <v>101</v>
      </c>
      <c r="B155">
        <v>145026783</v>
      </c>
      <c r="C155">
        <v>145027377</v>
      </c>
      <c r="D155">
        <v>140923885</v>
      </c>
      <c r="E155">
        <v>1</v>
      </c>
      <c r="F155">
        <v>1</v>
      </c>
      <c r="G155">
        <v>1</v>
      </c>
      <c r="H155">
        <v>2</v>
      </c>
      <c r="I155" t="s">
        <v>668</v>
      </c>
      <c r="J155" t="s">
        <v>669</v>
      </c>
      <c r="K155" t="s">
        <v>670</v>
      </c>
      <c r="L155">
        <v>1367</v>
      </c>
      <c r="N155">
        <v>1011</v>
      </c>
      <c r="O155" t="s">
        <v>614</v>
      </c>
      <c r="P155" t="s">
        <v>614</v>
      </c>
      <c r="Q155">
        <v>1</v>
      </c>
      <c r="W155">
        <v>0</v>
      </c>
      <c r="X155">
        <v>509054691</v>
      </c>
      <c r="Y155">
        <f>(AT155*1.25)</f>
        <v>0.1875</v>
      </c>
      <c r="AA155">
        <v>0</v>
      </c>
      <c r="AB155">
        <v>817.43</v>
      </c>
      <c r="AC155">
        <v>371.32</v>
      </c>
      <c r="AD155">
        <v>0</v>
      </c>
      <c r="AE155">
        <v>0</v>
      </c>
      <c r="AF155">
        <v>65.709999999999994</v>
      </c>
      <c r="AG155">
        <v>11.6</v>
      </c>
      <c r="AH155">
        <v>0</v>
      </c>
      <c r="AI155">
        <v>1</v>
      </c>
      <c r="AJ155">
        <v>12.44</v>
      </c>
      <c r="AK155">
        <v>32.01</v>
      </c>
      <c r="AL155">
        <v>1</v>
      </c>
      <c r="AM155">
        <v>4</v>
      </c>
      <c r="AN155">
        <v>0</v>
      </c>
      <c r="AO155">
        <v>1</v>
      </c>
      <c r="AP155">
        <v>1</v>
      </c>
      <c r="AQ155">
        <v>0</v>
      </c>
      <c r="AR155">
        <v>0</v>
      </c>
      <c r="AS155" t="s">
        <v>3</v>
      </c>
      <c r="AT155">
        <v>0.15</v>
      </c>
      <c r="AU155" t="s">
        <v>148</v>
      </c>
      <c r="AV155">
        <v>0</v>
      </c>
      <c r="AW155">
        <v>2</v>
      </c>
      <c r="AX155">
        <v>145027388</v>
      </c>
      <c r="AY155">
        <v>1</v>
      </c>
      <c r="AZ155">
        <v>0</v>
      </c>
      <c r="BA155">
        <v>172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CX155">
        <f>ROUND(Y155*Source!I101,9)</f>
        <v>1.1212500000000001</v>
      </c>
      <c r="CY155">
        <f>AB155</f>
        <v>817.43</v>
      </c>
      <c r="CZ155">
        <f>AF155</f>
        <v>65.709999999999994</v>
      </c>
      <c r="DA155">
        <f>AJ155</f>
        <v>12.44</v>
      </c>
      <c r="DB155">
        <f>ROUND((ROUND(AT155*CZ155,2)*1.25),2)</f>
        <v>12.33</v>
      </c>
      <c r="DC155">
        <f>ROUND((ROUND(AT155*AG155,2)*1.25),2)</f>
        <v>2.1800000000000002</v>
      </c>
      <c r="DD155" t="s">
        <v>3</v>
      </c>
      <c r="DE155" t="s">
        <v>3</v>
      </c>
      <c r="DF155">
        <f>ROUND(ROUND(AE155,2)*CX155,2)</f>
        <v>0</v>
      </c>
      <c r="DG155">
        <f>ROUND(ROUND(AF155*AJ155,2)*CX155,2)</f>
        <v>916.54</v>
      </c>
      <c r="DH155">
        <f>ROUND(ROUND(AG155*AK155,2)*CX155,2)</f>
        <v>416.34</v>
      </c>
      <c r="DI155">
        <f t="shared" si="73"/>
        <v>0</v>
      </c>
      <c r="DJ155">
        <f>DG155</f>
        <v>916.54</v>
      </c>
      <c r="DK155">
        <v>0</v>
      </c>
      <c r="DL155" t="s">
        <v>3</v>
      </c>
      <c r="DM155">
        <v>0</v>
      </c>
      <c r="DN155" t="s">
        <v>3</v>
      </c>
      <c r="DO155">
        <v>0</v>
      </c>
    </row>
    <row r="156" spans="1:119" x14ac:dyDescent="0.2">
      <c r="A156">
        <f>ROW(Source!A101)</f>
        <v>101</v>
      </c>
      <c r="B156">
        <v>145026783</v>
      </c>
      <c r="C156">
        <v>145027377</v>
      </c>
      <c r="D156">
        <v>140775863</v>
      </c>
      <c r="E156">
        <v>1</v>
      </c>
      <c r="F156">
        <v>1</v>
      </c>
      <c r="G156">
        <v>1</v>
      </c>
      <c r="H156">
        <v>3</v>
      </c>
      <c r="I156" t="s">
        <v>677</v>
      </c>
      <c r="J156" t="s">
        <v>678</v>
      </c>
      <c r="K156" t="s">
        <v>679</v>
      </c>
      <c r="L156">
        <v>1327</v>
      </c>
      <c r="N156">
        <v>1005</v>
      </c>
      <c r="O156" t="s">
        <v>72</v>
      </c>
      <c r="P156" t="s">
        <v>72</v>
      </c>
      <c r="Q156">
        <v>1</v>
      </c>
      <c r="W156">
        <v>0</v>
      </c>
      <c r="X156">
        <v>105551837</v>
      </c>
      <c r="Y156">
        <f t="shared" ref="Y156:Y168" si="74">AT156</f>
        <v>0.84</v>
      </c>
      <c r="AA156">
        <v>643.65</v>
      </c>
      <c r="AB156">
        <v>0</v>
      </c>
      <c r="AC156">
        <v>0</v>
      </c>
      <c r="AD156">
        <v>0</v>
      </c>
      <c r="AE156">
        <v>72.319999999999993</v>
      </c>
      <c r="AF156">
        <v>0</v>
      </c>
      <c r="AG156">
        <v>0</v>
      </c>
      <c r="AH156">
        <v>0</v>
      </c>
      <c r="AI156">
        <v>8.9</v>
      </c>
      <c r="AJ156">
        <v>1</v>
      </c>
      <c r="AK156">
        <v>1</v>
      </c>
      <c r="AL156">
        <v>1</v>
      </c>
      <c r="AM156">
        <v>4</v>
      </c>
      <c r="AN156">
        <v>0</v>
      </c>
      <c r="AO156">
        <v>1</v>
      </c>
      <c r="AP156">
        <v>1</v>
      </c>
      <c r="AQ156">
        <v>0</v>
      </c>
      <c r="AR156">
        <v>0</v>
      </c>
      <c r="AS156" t="s">
        <v>3</v>
      </c>
      <c r="AT156">
        <v>0.84</v>
      </c>
      <c r="AU156" t="s">
        <v>3</v>
      </c>
      <c r="AV156">
        <v>0</v>
      </c>
      <c r="AW156">
        <v>2</v>
      </c>
      <c r="AX156">
        <v>145027389</v>
      </c>
      <c r="AY156">
        <v>1</v>
      </c>
      <c r="AZ156">
        <v>0</v>
      </c>
      <c r="BA156">
        <v>173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CX156">
        <f>ROUND(Y156*Source!I101,9)</f>
        <v>5.0232000000000001</v>
      </c>
      <c r="CY156">
        <f>AA156</f>
        <v>643.65</v>
      </c>
      <c r="CZ156">
        <f>AE156</f>
        <v>72.319999999999993</v>
      </c>
      <c r="DA156">
        <f>AI156</f>
        <v>8.9</v>
      </c>
      <c r="DB156">
        <f t="shared" ref="DB156:DB168" si="75">ROUND(ROUND(AT156*CZ156,2),2)</f>
        <v>60.75</v>
      </c>
      <c r="DC156">
        <f t="shared" ref="DC156:DC168" si="76">ROUND(ROUND(AT156*AG156,2),2)</f>
        <v>0</v>
      </c>
      <c r="DD156" t="s">
        <v>3</v>
      </c>
      <c r="DE156" t="s">
        <v>3</v>
      </c>
      <c r="DF156">
        <f>ROUND(ROUND(AE156*AI156,2)*CX156,2)</f>
        <v>3233.18</v>
      </c>
      <c r="DG156">
        <f>ROUND(ROUND(AF156,2)*CX156,2)</f>
        <v>0</v>
      </c>
      <c r="DH156">
        <f>ROUND(ROUND(AG156,2)*CX156,2)</f>
        <v>0</v>
      </c>
      <c r="DI156">
        <f t="shared" si="73"/>
        <v>0</v>
      </c>
      <c r="DJ156">
        <f>DF156</f>
        <v>3233.18</v>
      </c>
      <c r="DK156">
        <v>0</v>
      </c>
      <c r="DL156" t="s">
        <v>3</v>
      </c>
      <c r="DM156">
        <v>0</v>
      </c>
      <c r="DN156" t="s">
        <v>3</v>
      </c>
      <c r="DO156">
        <v>0</v>
      </c>
    </row>
    <row r="157" spans="1:119" x14ac:dyDescent="0.2">
      <c r="A157">
        <f>ROW(Source!A101)</f>
        <v>101</v>
      </c>
      <c r="B157">
        <v>145026783</v>
      </c>
      <c r="C157">
        <v>145027377</v>
      </c>
      <c r="D157">
        <v>140776226</v>
      </c>
      <c r="E157">
        <v>1</v>
      </c>
      <c r="F157">
        <v>1</v>
      </c>
      <c r="G157">
        <v>1</v>
      </c>
      <c r="H157">
        <v>3</v>
      </c>
      <c r="I157" t="s">
        <v>680</v>
      </c>
      <c r="J157" t="s">
        <v>681</v>
      </c>
      <c r="K157" t="s">
        <v>682</v>
      </c>
      <c r="L157">
        <v>1346</v>
      </c>
      <c r="N157">
        <v>1009</v>
      </c>
      <c r="O157" t="s">
        <v>154</v>
      </c>
      <c r="P157" t="s">
        <v>154</v>
      </c>
      <c r="Q157">
        <v>1</v>
      </c>
      <c r="W157">
        <v>0</v>
      </c>
      <c r="X157">
        <v>1052716416</v>
      </c>
      <c r="Y157">
        <f t="shared" si="74"/>
        <v>0.31</v>
      </c>
      <c r="AA157">
        <v>16.2</v>
      </c>
      <c r="AB157">
        <v>0</v>
      </c>
      <c r="AC157">
        <v>0</v>
      </c>
      <c r="AD157">
        <v>0</v>
      </c>
      <c r="AE157">
        <v>1.82</v>
      </c>
      <c r="AF157">
        <v>0</v>
      </c>
      <c r="AG157">
        <v>0</v>
      </c>
      <c r="AH157">
        <v>0</v>
      </c>
      <c r="AI157">
        <v>8.9</v>
      </c>
      <c r="AJ157">
        <v>1</v>
      </c>
      <c r="AK157">
        <v>1</v>
      </c>
      <c r="AL157">
        <v>1</v>
      </c>
      <c r="AM157">
        <v>4</v>
      </c>
      <c r="AN157">
        <v>0</v>
      </c>
      <c r="AO157">
        <v>1</v>
      </c>
      <c r="AP157">
        <v>1</v>
      </c>
      <c r="AQ157">
        <v>0</v>
      </c>
      <c r="AR157">
        <v>0</v>
      </c>
      <c r="AS157" t="s">
        <v>3</v>
      </c>
      <c r="AT157">
        <v>0.31</v>
      </c>
      <c r="AU157" t="s">
        <v>3</v>
      </c>
      <c r="AV157">
        <v>0</v>
      </c>
      <c r="AW157">
        <v>2</v>
      </c>
      <c r="AX157">
        <v>145027390</v>
      </c>
      <c r="AY157">
        <v>1</v>
      </c>
      <c r="AZ157">
        <v>0</v>
      </c>
      <c r="BA157">
        <v>174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CX157">
        <f>ROUND(Y157*Source!I101,9)</f>
        <v>1.8537999999999999</v>
      </c>
      <c r="CY157">
        <f>AA157</f>
        <v>16.2</v>
      </c>
      <c r="CZ157">
        <f>AE157</f>
        <v>1.82</v>
      </c>
      <c r="DA157">
        <f>AI157</f>
        <v>8.9</v>
      </c>
      <c r="DB157">
        <f t="shared" si="75"/>
        <v>0.56000000000000005</v>
      </c>
      <c r="DC157">
        <f t="shared" si="76"/>
        <v>0</v>
      </c>
      <c r="DD157" t="s">
        <v>3</v>
      </c>
      <c r="DE157" t="s">
        <v>3</v>
      </c>
      <c r="DF157">
        <f>ROUND(ROUND(AE157*AI157,2)*CX157,2)</f>
        <v>30.03</v>
      </c>
      <c r="DG157">
        <f>ROUND(ROUND(AF157,2)*CX157,2)</f>
        <v>0</v>
      </c>
      <c r="DH157">
        <f>ROUND(ROUND(AG157,2)*CX157,2)</f>
        <v>0</v>
      </c>
      <c r="DI157">
        <f t="shared" si="73"/>
        <v>0</v>
      </c>
      <c r="DJ157">
        <f>DF157</f>
        <v>30.03</v>
      </c>
      <c r="DK157">
        <v>0</v>
      </c>
      <c r="DL157" t="s">
        <v>3</v>
      </c>
      <c r="DM157">
        <v>0</v>
      </c>
      <c r="DN157" t="s">
        <v>3</v>
      </c>
      <c r="DO157">
        <v>0</v>
      </c>
    </row>
    <row r="158" spans="1:119" x14ac:dyDescent="0.2">
      <c r="A158">
        <f>ROW(Source!A101)</f>
        <v>101</v>
      </c>
      <c r="B158">
        <v>145026783</v>
      </c>
      <c r="C158">
        <v>145027377</v>
      </c>
      <c r="D158">
        <v>140805249</v>
      </c>
      <c r="E158">
        <v>1</v>
      </c>
      <c r="F158">
        <v>1</v>
      </c>
      <c r="G158">
        <v>1</v>
      </c>
      <c r="H158">
        <v>3</v>
      </c>
      <c r="I158" t="s">
        <v>309</v>
      </c>
      <c r="J158" t="s">
        <v>311</v>
      </c>
      <c r="K158" t="s">
        <v>310</v>
      </c>
      <c r="L158">
        <v>1348</v>
      </c>
      <c r="N158">
        <v>1009</v>
      </c>
      <c r="O158" t="s">
        <v>49</v>
      </c>
      <c r="P158" t="s">
        <v>49</v>
      </c>
      <c r="Q158">
        <v>1000</v>
      </c>
      <c r="W158">
        <v>1</v>
      </c>
      <c r="X158">
        <v>280307875</v>
      </c>
      <c r="Y158">
        <f t="shared" si="74"/>
        <v>-5.0999999999999997E-2</v>
      </c>
      <c r="AA158">
        <v>101434.19</v>
      </c>
      <c r="AB158">
        <v>0</v>
      </c>
      <c r="AC158">
        <v>0</v>
      </c>
      <c r="AD158">
        <v>0</v>
      </c>
      <c r="AE158">
        <v>11397.1</v>
      </c>
      <c r="AF158">
        <v>0</v>
      </c>
      <c r="AG158">
        <v>0</v>
      </c>
      <c r="AH158">
        <v>0</v>
      </c>
      <c r="AI158">
        <v>8.9</v>
      </c>
      <c r="AJ158">
        <v>1</v>
      </c>
      <c r="AK158">
        <v>1</v>
      </c>
      <c r="AL158">
        <v>1</v>
      </c>
      <c r="AM158">
        <v>4</v>
      </c>
      <c r="AN158">
        <v>0</v>
      </c>
      <c r="AO158">
        <v>1</v>
      </c>
      <c r="AP158">
        <v>1</v>
      </c>
      <c r="AQ158">
        <v>0</v>
      </c>
      <c r="AR158">
        <v>0</v>
      </c>
      <c r="AS158" t="s">
        <v>3</v>
      </c>
      <c r="AT158">
        <v>-5.0999999999999997E-2</v>
      </c>
      <c r="AU158" t="s">
        <v>3</v>
      </c>
      <c r="AV158">
        <v>0</v>
      </c>
      <c r="AW158">
        <v>2</v>
      </c>
      <c r="AX158">
        <v>145027393</v>
      </c>
      <c r="AY158">
        <v>1</v>
      </c>
      <c r="AZ158">
        <v>6144</v>
      </c>
      <c r="BA158">
        <v>177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CX158">
        <f>ROUND(Y158*Source!I101,9)</f>
        <v>-0.30497999999999997</v>
      </c>
      <c r="CY158">
        <f>AA158</f>
        <v>101434.19</v>
      </c>
      <c r="CZ158">
        <f>AE158</f>
        <v>11397.1</v>
      </c>
      <c r="DA158">
        <f>AI158</f>
        <v>8.9</v>
      </c>
      <c r="DB158">
        <f t="shared" si="75"/>
        <v>-581.25</v>
      </c>
      <c r="DC158">
        <f t="shared" si="76"/>
        <v>0</v>
      </c>
      <c r="DD158" t="s">
        <v>3</v>
      </c>
      <c r="DE158" t="s">
        <v>3</v>
      </c>
      <c r="DF158">
        <f>ROUND(ROUND(AE158*AI158,2)*CX158,2)</f>
        <v>-30935.4</v>
      </c>
      <c r="DG158">
        <f>ROUND(ROUND(AF158,2)*CX158,2)</f>
        <v>0</v>
      </c>
      <c r="DH158">
        <f>ROUND(ROUND(AG158,2)*CX158,2)</f>
        <v>0</v>
      </c>
      <c r="DI158">
        <f t="shared" si="73"/>
        <v>0</v>
      </c>
      <c r="DJ158">
        <f>DF158</f>
        <v>-30935.4</v>
      </c>
      <c r="DK158">
        <v>0</v>
      </c>
      <c r="DL158" t="s">
        <v>3</v>
      </c>
      <c r="DM158">
        <v>0</v>
      </c>
      <c r="DN158" t="s">
        <v>3</v>
      </c>
      <c r="DO158">
        <v>0</v>
      </c>
    </row>
    <row r="159" spans="1:119" x14ac:dyDescent="0.2">
      <c r="A159">
        <f>ROW(Source!A141)</f>
        <v>141</v>
      </c>
      <c r="B159">
        <v>145026783</v>
      </c>
      <c r="C159">
        <v>145027398</v>
      </c>
      <c r="D159">
        <v>140759938</v>
      </c>
      <c r="E159">
        <v>70</v>
      </c>
      <c r="F159">
        <v>1</v>
      </c>
      <c r="G159">
        <v>1</v>
      </c>
      <c r="H159">
        <v>1</v>
      </c>
      <c r="I159" t="s">
        <v>700</v>
      </c>
      <c r="J159" t="s">
        <v>3</v>
      </c>
      <c r="K159" t="s">
        <v>701</v>
      </c>
      <c r="L159">
        <v>1191</v>
      </c>
      <c r="N159">
        <v>1013</v>
      </c>
      <c r="O159" t="s">
        <v>608</v>
      </c>
      <c r="P159" t="s">
        <v>608</v>
      </c>
      <c r="Q159">
        <v>1</v>
      </c>
      <c r="W159">
        <v>0</v>
      </c>
      <c r="X159">
        <v>-354792387</v>
      </c>
      <c r="Y159">
        <f t="shared" si="74"/>
        <v>110</v>
      </c>
      <c r="AA159">
        <v>0</v>
      </c>
      <c r="AB159">
        <v>0</v>
      </c>
      <c r="AC159">
        <v>0</v>
      </c>
      <c r="AD159">
        <v>251.92</v>
      </c>
      <c r="AE159">
        <v>0</v>
      </c>
      <c r="AF159">
        <v>0</v>
      </c>
      <c r="AG159">
        <v>0</v>
      </c>
      <c r="AH159">
        <v>7.87</v>
      </c>
      <c r="AI159">
        <v>1</v>
      </c>
      <c r="AJ159">
        <v>1</v>
      </c>
      <c r="AK159">
        <v>1</v>
      </c>
      <c r="AL159">
        <v>32.01</v>
      </c>
      <c r="AM159">
        <v>4</v>
      </c>
      <c r="AN159">
        <v>0</v>
      </c>
      <c r="AO159">
        <v>1</v>
      </c>
      <c r="AP159">
        <v>1</v>
      </c>
      <c r="AQ159">
        <v>0</v>
      </c>
      <c r="AR159">
        <v>0</v>
      </c>
      <c r="AS159" t="s">
        <v>3</v>
      </c>
      <c r="AT159">
        <v>110</v>
      </c>
      <c r="AU159" t="s">
        <v>3</v>
      </c>
      <c r="AV159">
        <v>1</v>
      </c>
      <c r="AW159">
        <v>2</v>
      </c>
      <c r="AX159">
        <v>145027402</v>
      </c>
      <c r="AY159">
        <v>1</v>
      </c>
      <c r="AZ159">
        <v>0</v>
      </c>
      <c r="BA159">
        <v>178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CX159">
        <f>ROUND(Y159*Source!I141,9)</f>
        <v>52.8</v>
      </c>
      <c r="CY159">
        <f>AD159</f>
        <v>251.92</v>
      </c>
      <c r="CZ159">
        <f>AH159</f>
        <v>7.87</v>
      </c>
      <c r="DA159">
        <f>AL159</f>
        <v>32.01</v>
      </c>
      <c r="DB159">
        <f t="shared" si="75"/>
        <v>865.7</v>
      </c>
      <c r="DC159">
        <f t="shared" si="76"/>
        <v>0</v>
      </c>
      <c r="DD159" t="s">
        <v>3</v>
      </c>
      <c r="DE159" t="s">
        <v>3</v>
      </c>
      <c r="DF159">
        <f t="shared" ref="DF159:DF165" si="77">ROUND(ROUND(AE159,2)*CX159,2)</f>
        <v>0</v>
      </c>
      <c r="DG159">
        <f>ROUND(ROUND(AF159,2)*CX159,2)</f>
        <v>0</v>
      </c>
      <c r="DH159">
        <f>ROUND(ROUND(AG159,2)*CX159,2)</f>
        <v>0</v>
      </c>
      <c r="DI159">
        <f>ROUND(ROUND(AH159*AL159,2)*CX159,2)</f>
        <v>13301.38</v>
      </c>
      <c r="DJ159">
        <f>DI159</f>
        <v>13301.38</v>
      </c>
      <c r="DK159">
        <v>0</v>
      </c>
      <c r="DL159" t="s">
        <v>3</v>
      </c>
      <c r="DM159">
        <v>0</v>
      </c>
      <c r="DN159" t="s">
        <v>3</v>
      </c>
      <c r="DO159">
        <v>0</v>
      </c>
    </row>
    <row r="160" spans="1:119" x14ac:dyDescent="0.2">
      <c r="A160">
        <f>ROW(Source!A141)</f>
        <v>141</v>
      </c>
      <c r="B160">
        <v>145026783</v>
      </c>
      <c r="C160">
        <v>145027398</v>
      </c>
      <c r="D160">
        <v>140760225</v>
      </c>
      <c r="E160">
        <v>70</v>
      </c>
      <c r="F160">
        <v>1</v>
      </c>
      <c r="G160">
        <v>1</v>
      </c>
      <c r="H160">
        <v>1</v>
      </c>
      <c r="I160" t="s">
        <v>609</v>
      </c>
      <c r="J160" t="s">
        <v>3</v>
      </c>
      <c r="K160" t="s">
        <v>610</v>
      </c>
      <c r="L160">
        <v>1191</v>
      </c>
      <c r="N160">
        <v>1013</v>
      </c>
      <c r="O160" t="s">
        <v>608</v>
      </c>
      <c r="P160" t="s">
        <v>608</v>
      </c>
      <c r="Q160">
        <v>1</v>
      </c>
      <c r="W160">
        <v>0</v>
      </c>
      <c r="X160">
        <v>-1417349443</v>
      </c>
      <c r="Y160">
        <f t="shared" si="74"/>
        <v>2.2400000000000002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1</v>
      </c>
      <c r="AJ160">
        <v>1</v>
      </c>
      <c r="AK160">
        <v>32.01</v>
      </c>
      <c r="AL160">
        <v>1</v>
      </c>
      <c r="AM160">
        <v>4</v>
      </c>
      <c r="AN160">
        <v>0</v>
      </c>
      <c r="AO160">
        <v>1</v>
      </c>
      <c r="AP160">
        <v>1</v>
      </c>
      <c r="AQ160">
        <v>0</v>
      </c>
      <c r="AR160">
        <v>0</v>
      </c>
      <c r="AS160" t="s">
        <v>3</v>
      </c>
      <c r="AT160">
        <v>2.2400000000000002</v>
      </c>
      <c r="AU160" t="s">
        <v>3</v>
      </c>
      <c r="AV160">
        <v>2</v>
      </c>
      <c r="AW160">
        <v>2</v>
      </c>
      <c r="AX160">
        <v>145027403</v>
      </c>
      <c r="AY160">
        <v>1</v>
      </c>
      <c r="AZ160">
        <v>0</v>
      </c>
      <c r="BA160">
        <v>179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CX160">
        <f>ROUND(Y160*Source!I141,9)</f>
        <v>1.0751999999999999</v>
      </c>
      <c r="CY160">
        <f>AD160</f>
        <v>0</v>
      </c>
      <c r="CZ160">
        <f>AH160</f>
        <v>0</v>
      </c>
      <c r="DA160">
        <f>AL160</f>
        <v>1</v>
      </c>
      <c r="DB160">
        <f t="shared" si="75"/>
        <v>0</v>
      </c>
      <c r="DC160">
        <f t="shared" si="76"/>
        <v>0</v>
      </c>
      <c r="DD160" t="s">
        <v>3</v>
      </c>
      <c r="DE160" t="s">
        <v>3</v>
      </c>
      <c r="DF160">
        <f t="shared" si="77"/>
        <v>0</v>
      </c>
      <c r="DG160">
        <f>ROUND(ROUND(AF160,2)*CX160,2)</f>
        <v>0</v>
      </c>
      <c r="DH160">
        <f>ROUND(ROUND(AG160*AK160,2)*CX160,2)</f>
        <v>0</v>
      </c>
      <c r="DI160">
        <f>ROUND(ROUND(AH160,2)*CX160,2)</f>
        <v>0</v>
      </c>
      <c r="DJ160">
        <f>DI160</f>
        <v>0</v>
      </c>
      <c r="DK160">
        <v>0</v>
      </c>
      <c r="DL160" t="s">
        <v>3</v>
      </c>
      <c r="DM160">
        <v>0</v>
      </c>
      <c r="DN160" t="s">
        <v>3</v>
      </c>
      <c r="DO160">
        <v>0</v>
      </c>
    </row>
    <row r="161" spans="1:119" x14ac:dyDescent="0.2">
      <c r="A161">
        <f>ROW(Source!A141)</f>
        <v>141</v>
      </c>
      <c r="B161">
        <v>145026783</v>
      </c>
      <c r="C161">
        <v>145027398</v>
      </c>
      <c r="D161">
        <v>140923145</v>
      </c>
      <c r="E161">
        <v>1</v>
      </c>
      <c r="F161">
        <v>1</v>
      </c>
      <c r="G161">
        <v>1</v>
      </c>
      <c r="H161">
        <v>2</v>
      </c>
      <c r="I161" t="s">
        <v>611</v>
      </c>
      <c r="J161" t="s">
        <v>612</v>
      </c>
      <c r="K161" t="s">
        <v>613</v>
      </c>
      <c r="L161">
        <v>1367</v>
      </c>
      <c r="N161">
        <v>1011</v>
      </c>
      <c r="O161" t="s">
        <v>614</v>
      </c>
      <c r="P161" t="s">
        <v>614</v>
      </c>
      <c r="Q161">
        <v>1</v>
      </c>
      <c r="W161">
        <v>0</v>
      </c>
      <c r="X161">
        <v>1232162608</v>
      </c>
      <c r="Y161">
        <f t="shared" si="74"/>
        <v>2.2400000000000002</v>
      </c>
      <c r="AA161">
        <v>0</v>
      </c>
      <c r="AB161">
        <v>388.87</v>
      </c>
      <c r="AC161">
        <v>432.14</v>
      </c>
      <c r="AD161">
        <v>0</v>
      </c>
      <c r="AE161">
        <v>0</v>
      </c>
      <c r="AF161">
        <v>31.26</v>
      </c>
      <c r="AG161">
        <v>13.5</v>
      </c>
      <c r="AH161">
        <v>0</v>
      </c>
      <c r="AI161">
        <v>1</v>
      </c>
      <c r="AJ161">
        <v>12.44</v>
      </c>
      <c r="AK161">
        <v>32.01</v>
      </c>
      <c r="AL161">
        <v>1</v>
      </c>
      <c r="AM161">
        <v>4</v>
      </c>
      <c r="AN161">
        <v>0</v>
      </c>
      <c r="AO161">
        <v>1</v>
      </c>
      <c r="AP161">
        <v>1</v>
      </c>
      <c r="AQ161">
        <v>0</v>
      </c>
      <c r="AR161">
        <v>0</v>
      </c>
      <c r="AS161" t="s">
        <v>3</v>
      </c>
      <c r="AT161">
        <v>2.2400000000000002</v>
      </c>
      <c r="AU161" t="s">
        <v>3</v>
      </c>
      <c r="AV161">
        <v>0</v>
      </c>
      <c r="AW161">
        <v>2</v>
      </c>
      <c r="AX161">
        <v>145027404</v>
      </c>
      <c r="AY161">
        <v>1</v>
      </c>
      <c r="AZ161">
        <v>0</v>
      </c>
      <c r="BA161">
        <v>180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CX161">
        <f>ROUND(Y161*Source!I141,9)</f>
        <v>1.0751999999999999</v>
      </c>
      <c r="CY161">
        <f>AB161</f>
        <v>388.87</v>
      </c>
      <c r="CZ161">
        <f>AF161</f>
        <v>31.26</v>
      </c>
      <c r="DA161">
        <f>AJ161</f>
        <v>12.44</v>
      </c>
      <c r="DB161">
        <f t="shared" si="75"/>
        <v>70.02</v>
      </c>
      <c r="DC161">
        <f t="shared" si="76"/>
        <v>30.24</v>
      </c>
      <c r="DD161" t="s">
        <v>3</v>
      </c>
      <c r="DE161" t="s">
        <v>3</v>
      </c>
      <c r="DF161">
        <f t="shared" si="77"/>
        <v>0</v>
      </c>
      <c r="DG161">
        <f>ROUND(ROUND(AF161*AJ161,2)*CX161,2)</f>
        <v>418.11</v>
      </c>
      <c r="DH161">
        <f>ROUND(ROUND(AG161*AK161,2)*CX161,2)</f>
        <v>464.64</v>
      </c>
      <c r="DI161">
        <f>ROUND(ROUND(AH161,2)*CX161,2)</f>
        <v>0</v>
      </c>
      <c r="DJ161">
        <f>DG161</f>
        <v>418.11</v>
      </c>
      <c r="DK161">
        <v>0</v>
      </c>
      <c r="DL161" t="s">
        <v>3</v>
      </c>
      <c r="DM161">
        <v>0</v>
      </c>
      <c r="DN161" t="s">
        <v>3</v>
      </c>
      <c r="DO161">
        <v>0</v>
      </c>
    </row>
    <row r="162" spans="1:119" x14ac:dyDescent="0.2">
      <c r="A162">
        <f>ROW(Source!A142)</f>
        <v>142</v>
      </c>
      <c r="B162">
        <v>145026783</v>
      </c>
      <c r="C162">
        <v>145027405</v>
      </c>
      <c r="D162">
        <v>140759961</v>
      </c>
      <c r="E162">
        <v>70</v>
      </c>
      <c r="F162">
        <v>1</v>
      </c>
      <c r="G162">
        <v>1</v>
      </c>
      <c r="H162">
        <v>1</v>
      </c>
      <c r="I162" t="s">
        <v>746</v>
      </c>
      <c r="J162" t="s">
        <v>3</v>
      </c>
      <c r="K162" t="s">
        <v>747</v>
      </c>
      <c r="L162">
        <v>1191</v>
      </c>
      <c r="N162">
        <v>1013</v>
      </c>
      <c r="O162" t="s">
        <v>608</v>
      </c>
      <c r="P162" t="s">
        <v>608</v>
      </c>
      <c r="Q162">
        <v>1</v>
      </c>
      <c r="W162">
        <v>0</v>
      </c>
      <c r="X162">
        <v>1149069633</v>
      </c>
      <c r="Y162">
        <f t="shared" si="74"/>
        <v>51.44</v>
      </c>
      <c r="AA162">
        <v>0</v>
      </c>
      <c r="AB162">
        <v>0</v>
      </c>
      <c r="AC162">
        <v>0</v>
      </c>
      <c r="AD162">
        <v>263.76</v>
      </c>
      <c r="AE162">
        <v>0</v>
      </c>
      <c r="AF162">
        <v>0</v>
      </c>
      <c r="AG162">
        <v>0</v>
      </c>
      <c r="AH162">
        <v>8.24</v>
      </c>
      <c r="AI162">
        <v>1</v>
      </c>
      <c r="AJ162">
        <v>1</v>
      </c>
      <c r="AK162">
        <v>1</v>
      </c>
      <c r="AL162">
        <v>32.01</v>
      </c>
      <c r="AM162">
        <v>4</v>
      </c>
      <c r="AN162">
        <v>0</v>
      </c>
      <c r="AO162">
        <v>1</v>
      </c>
      <c r="AP162">
        <v>1</v>
      </c>
      <c r="AQ162">
        <v>0</v>
      </c>
      <c r="AR162">
        <v>0</v>
      </c>
      <c r="AS162" t="s">
        <v>3</v>
      </c>
      <c r="AT162">
        <v>51.44</v>
      </c>
      <c r="AU162" t="s">
        <v>3</v>
      </c>
      <c r="AV162">
        <v>1</v>
      </c>
      <c r="AW162">
        <v>2</v>
      </c>
      <c r="AX162">
        <v>145027413</v>
      </c>
      <c r="AY162">
        <v>1</v>
      </c>
      <c r="AZ162">
        <v>0</v>
      </c>
      <c r="BA162">
        <v>181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CX162">
        <f>ROUND(Y162*Source!I142,9)</f>
        <v>298.35199999999998</v>
      </c>
      <c r="CY162">
        <f>AD162</f>
        <v>263.76</v>
      </c>
      <c r="CZ162">
        <f>AH162</f>
        <v>8.24</v>
      </c>
      <c r="DA162">
        <f>AL162</f>
        <v>32.01</v>
      </c>
      <c r="DB162">
        <f t="shared" si="75"/>
        <v>423.87</v>
      </c>
      <c r="DC162">
        <f t="shared" si="76"/>
        <v>0</v>
      </c>
      <c r="DD162" t="s">
        <v>3</v>
      </c>
      <c r="DE162" t="s">
        <v>3</v>
      </c>
      <c r="DF162">
        <f t="shared" si="77"/>
        <v>0</v>
      </c>
      <c r="DG162">
        <f>ROUND(ROUND(AF162,2)*CX162,2)</f>
        <v>0</v>
      </c>
      <c r="DH162">
        <f>ROUND(ROUND(AG162,2)*CX162,2)</f>
        <v>0</v>
      </c>
      <c r="DI162">
        <f>ROUND(ROUND(AH162*AL162,2)*CX162,2)</f>
        <v>78693.320000000007</v>
      </c>
      <c r="DJ162">
        <f>DI162</f>
        <v>78693.320000000007</v>
      </c>
      <c r="DK162">
        <v>0</v>
      </c>
      <c r="DL162" t="s">
        <v>3</v>
      </c>
      <c r="DM162">
        <v>0</v>
      </c>
      <c r="DN162" t="s">
        <v>3</v>
      </c>
      <c r="DO162">
        <v>0</v>
      </c>
    </row>
    <row r="163" spans="1:119" x14ac:dyDescent="0.2">
      <c r="A163">
        <f>ROW(Source!A142)</f>
        <v>142</v>
      </c>
      <c r="B163">
        <v>145026783</v>
      </c>
      <c r="C163">
        <v>145027405</v>
      </c>
      <c r="D163">
        <v>140760225</v>
      </c>
      <c r="E163">
        <v>70</v>
      </c>
      <c r="F163">
        <v>1</v>
      </c>
      <c r="G163">
        <v>1</v>
      </c>
      <c r="H163">
        <v>1</v>
      </c>
      <c r="I163" t="s">
        <v>609</v>
      </c>
      <c r="J163" t="s">
        <v>3</v>
      </c>
      <c r="K163" t="s">
        <v>610</v>
      </c>
      <c r="L163">
        <v>1191</v>
      </c>
      <c r="N163">
        <v>1013</v>
      </c>
      <c r="O163" t="s">
        <v>608</v>
      </c>
      <c r="P163" t="s">
        <v>608</v>
      </c>
      <c r="Q163">
        <v>1</v>
      </c>
      <c r="W163">
        <v>0</v>
      </c>
      <c r="X163">
        <v>-1417349443</v>
      </c>
      <c r="Y163">
        <f t="shared" si="74"/>
        <v>0.1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1</v>
      </c>
      <c r="AJ163">
        <v>1</v>
      </c>
      <c r="AK163">
        <v>32.01</v>
      </c>
      <c r="AL163">
        <v>1</v>
      </c>
      <c r="AM163">
        <v>4</v>
      </c>
      <c r="AN163">
        <v>0</v>
      </c>
      <c r="AO163">
        <v>1</v>
      </c>
      <c r="AP163">
        <v>1</v>
      </c>
      <c r="AQ163">
        <v>0</v>
      </c>
      <c r="AR163">
        <v>0</v>
      </c>
      <c r="AS163" t="s">
        <v>3</v>
      </c>
      <c r="AT163">
        <v>0.1</v>
      </c>
      <c r="AU163" t="s">
        <v>3</v>
      </c>
      <c r="AV163">
        <v>2</v>
      </c>
      <c r="AW163">
        <v>2</v>
      </c>
      <c r="AX163">
        <v>145027414</v>
      </c>
      <c r="AY163">
        <v>1</v>
      </c>
      <c r="AZ163">
        <v>0</v>
      </c>
      <c r="BA163">
        <v>182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CX163">
        <f>ROUND(Y163*Source!I142,9)</f>
        <v>0.57999999999999996</v>
      </c>
      <c r="CY163">
        <f>AD163</f>
        <v>0</v>
      </c>
      <c r="CZ163">
        <f>AH163</f>
        <v>0</v>
      </c>
      <c r="DA163">
        <f>AL163</f>
        <v>1</v>
      </c>
      <c r="DB163">
        <f t="shared" si="75"/>
        <v>0</v>
      </c>
      <c r="DC163">
        <f t="shared" si="76"/>
        <v>0</v>
      </c>
      <c r="DD163" t="s">
        <v>3</v>
      </c>
      <c r="DE163" t="s">
        <v>3</v>
      </c>
      <c r="DF163">
        <f t="shared" si="77"/>
        <v>0</v>
      </c>
      <c r="DG163">
        <f>ROUND(ROUND(AF163,2)*CX163,2)</f>
        <v>0</v>
      </c>
      <c r="DH163">
        <f>ROUND(ROUND(AG163*AK163,2)*CX163,2)</f>
        <v>0</v>
      </c>
      <c r="DI163">
        <f t="shared" ref="DI163:DI168" si="78">ROUND(ROUND(AH163,2)*CX163,2)</f>
        <v>0</v>
      </c>
      <c r="DJ163">
        <f>DI163</f>
        <v>0</v>
      </c>
      <c r="DK163">
        <v>0</v>
      </c>
      <c r="DL163" t="s">
        <v>3</v>
      </c>
      <c r="DM163">
        <v>0</v>
      </c>
      <c r="DN163" t="s">
        <v>3</v>
      </c>
      <c r="DO163">
        <v>0</v>
      </c>
    </row>
    <row r="164" spans="1:119" x14ac:dyDescent="0.2">
      <c r="A164">
        <f>ROW(Source!A142)</f>
        <v>142</v>
      </c>
      <c r="B164">
        <v>145026783</v>
      </c>
      <c r="C164">
        <v>145027405</v>
      </c>
      <c r="D164">
        <v>140923145</v>
      </c>
      <c r="E164">
        <v>1</v>
      </c>
      <c r="F164">
        <v>1</v>
      </c>
      <c r="G164">
        <v>1</v>
      </c>
      <c r="H164">
        <v>2</v>
      </c>
      <c r="I164" t="s">
        <v>611</v>
      </c>
      <c r="J164" t="s">
        <v>612</v>
      </c>
      <c r="K164" t="s">
        <v>613</v>
      </c>
      <c r="L164">
        <v>1367</v>
      </c>
      <c r="N164">
        <v>1011</v>
      </c>
      <c r="O164" t="s">
        <v>614</v>
      </c>
      <c r="P164" t="s">
        <v>614</v>
      </c>
      <c r="Q164">
        <v>1</v>
      </c>
      <c r="W164">
        <v>0</v>
      </c>
      <c r="X164">
        <v>1232162608</v>
      </c>
      <c r="Y164">
        <f t="shared" si="74"/>
        <v>0.1</v>
      </c>
      <c r="AA164">
        <v>0</v>
      </c>
      <c r="AB164">
        <v>388.87</v>
      </c>
      <c r="AC164">
        <v>432.14</v>
      </c>
      <c r="AD164">
        <v>0</v>
      </c>
      <c r="AE164">
        <v>0</v>
      </c>
      <c r="AF164">
        <v>31.26</v>
      </c>
      <c r="AG164">
        <v>13.5</v>
      </c>
      <c r="AH164">
        <v>0</v>
      </c>
      <c r="AI164">
        <v>1</v>
      </c>
      <c r="AJ164">
        <v>12.44</v>
      </c>
      <c r="AK164">
        <v>32.01</v>
      </c>
      <c r="AL164">
        <v>1</v>
      </c>
      <c r="AM164">
        <v>4</v>
      </c>
      <c r="AN164">
        <v>0</v>
      </c>
      <c r="AO164">
        <v>1</v>
      </c>
      <c r="AP164">
        <v>1</v>
      </c>
      <c r="AQ164">
        <v>0</v>
      </c>
      <c r="AR164">
        <v>0</v>
      </c>
      <c r="AS164" t="s">
        <v>3</v>
      </c>
      <c r="AT164">
        <v>0.1</v>
      </c>
      <c r="AU164" t="s">
        <v>3</v>
      </c>
      <c r="AV164">
        <v>0</v>
      </c>
      <c r="AW164">
        <v>2</v>
      </c>
      <c r="AX164">
        <v>145027415</v>
      </c>
      <c r="AY164">
        <v>1</v>
      </c>
      <c r="AZ164">
        <v>0</v>
      </c>
      <c r="BA164">
        <v>183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CX164">
        <f>ROUND(Y164*Source!I142,9)</f>
        <v>0.57999999999999996</v>
      </c>
      <c r="CY164">
        <f>AB164</f>
        <v>388.87</v>
      </c>
      <c r="CZ164">
        <f>AF164</f>
        <v>31.26</v>
      </c>
      <c r="DA164">
        <f>AJ164</f>
        <v>12.44</v>
      </c>
      <c r="DB164">
        <f t="shared" si="75"/>
        <v>3.13</v>
      </c>
      <c r="DC164">
        <f t="shared" si="76"/>
        <v>1.35</v>
      </c>
      <c r="DD164" t="s">
        <v>3</v>
      </c>
      <c r="DE164" t="s">
        <v>3</v>
      </c>
      <c r="DF164">
        <f t="shared" si="77"/>
        <v>0</v>
      </c>
      <c r="DG164">
        <f>ROUND(ROUND(AF164*AJ164,2)*CX164,2)</f>
        <v>225.54</v>
      </c>
      <c r="DH164">
        <f>ROUND(ROUND(AG164*AK164,2)*CX164,2)</f>
        <v>250.64</v>
      </c>
      <c r="DI164">
        <f t="shared" si="78"/>
        <v>0</v>
      </c>
      <c r="DJ164">
        <f>DG164</f>
        <v>225.54</v>
      </c>
      <c r="DK164">
        <v>0</v>
      </c>
      <c r="DL164" t="s">
        <v>3</v>
      </c>
      <c r="DM164">
        <v>0</v>
      </c>
      <c r="DN164" t="s">
        <v>3</v>
      </c>
      <c r="DO164">
        <v>0</v>
      </c>
    </row>
    <row r="165" spans="1:119" x14ac:dyDescent="0.2">
      <c r="A165">
        <f>ROW(Source!A142)</f>
        <v>142</v>
      </c>
      <c r="B165">
        <v>145026783</v>
      </c>
      <c r="C165">
        <v>145027405</v>
      </c>
      <c r="D165">
        <v>140924041</v>
      </c>
      <c r="E165">
        <v>1</v>
      </c>
      <c r="F165">
        <v>1</v>
      </c>
      <c r="G165">
        <v>1</v>
      </c>
      <c r="H165">
        <v>2</v>
      </c>
      <c r="I165" t="s">
        <v>748</v>
      </c>
      <c r="J165" t="s">
        <v>749</v>
      </c>
      <c r="K165" t="s">
        <v>750</v>
      </c>
      <c r="L165">
        <v>1367</v>
      </c>
      <c r="N165">
        <v>1011</v>
      </c>
      <c r="O165" t="s">
        <v>614</v>
      </c>
      <c r="P165" t="s">
        <v>614</v>
      </c>
      <c r="Q165">
        <v>1</v>
      </c>
      <c r="W165">
        <v>0</v>
      </c>
      <c r="X165">
        <v>2077867240</v>
      </c>
      <c r="Y165">
        <f t="shared" si="74"/>
        <v>4.9000000000000004</v>
      </c>
      <c r="AA165">
        <v>0</v>
      </c>
      <c r="AB165">
        <v>14.93</v>
      </c>
      <c r="AC165">
        <v>0</v>
      </c>
      <c r="AD165">
        <v>0</v>
      </c>
      <c r="AE165">
        <v>0</v>
      </c>
      <c r="AF165">
        <v>1.2</v>
      </c>
      <c r="AG165">
        <v>0</v>
      </c>
      <c r="AH165">
        <v>0</v>
      </c>
      <c r="AI165">
        <v>1</v>
      </c>
      <c r="AJ165">
        <v>12.44</v>
      </c>
      <c r="AK165">
        <v>32.01</v>
      </c>
      <c r="AL165">
        <v>1</v>
      </c>
      <c r="AM165">
        <v>4</v>
      </c>
      <c r="AN165">
        <v>0</v>
      </c>
      <c r="AO165">
        <v>1</v>
      </c>
      <c r="AP165">
        <v>1</v>
      </c>
      <c r="AQ165">
        <v>0</v>
      </c>
      <c r="AR165">
        <v>0</v>
      </c>
      <c r="AS165" t="s">
        <v>3</v>
      </c>
      <c r="AT165">
        <v>4.9000000000000004</v>
      </c>
      <c r="AU165" t="s">
        <v>3</v>
      </c>
      <c r="AV165">
        <v>0</v>
      </c>
      <c r="AW165">
        <v>2</v>
      </c>
      <c r="AX165">
        <v>145027416</v>
      </c>
      <c r="AY165">
        <v>1</v>
      </c>
      <c r="AZ165">
        <v>0</v>
      </c>
      <c r="BA165">
        <v>184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CX165">
        <f>ROUND(Y165*Source!I142,9)</f>
        <v>28.42</v>
      </c>
      <c r="CY165">
        <f>AB165</f>
        <v>14.93</v>
      </c>
      <c r="CZ165">
        <f>AF165</f>
        <v>1.2</v>
      </c>
      <c r="DA165">
        <f>AJ165</f>
        <v>12.44</v>
      </c>
      <c r="DB165">
        <f t="shared" si="75"/>
        <v>5.88</v>
      </c>
      <c r="DC165">
        <f t="shared" si="76"/>
        <v>0</v>
      </c>
      <c r="DD165" t="s">
        <v>3</v>
      </c>
      <c r="DE165" t="s">
        <v>3</v>
      </c>
      <c r="DF165">
        <f t="shared" si="77"/>
        <v>0</v>
      </c>
      <c r="DG165">
        <f>ROUND(ROUND(AF165*AJ165,2)*CX165,2)</f>
        <v>424.31</v>
      </c>
      <c r="DH165">
        <f>ROUND(ROUND(AG165*AK165,2)*CX165,2)</f>
        <v>0</v>
      </c>
      <c r="DI165">
        <f t="shared" si="78"/>
        <v>0</v>
      </c>
      <c r="DJ165">
        <f>DG165</f>
        <v>424.31</v>
      </c>
      <c r="DK165">
        <v>0</v>
      </c>
      <c r="DL165" t="s">
        <v>3</v>
      </c>
      <c r="DM165">
        <v>0</v>
      </c>
      <c r="DN165" t="s">
        <v>3</v>
      </c>
      <c r="DO165">
        <v>0</v>
      </c>
    </row>
    <row r="166" spans="1:119" x14ac:dyDescent="0.2">
      <c r="A166">
        <f>ROW(Source!A142)</f>
        <v>142</v>
      </c>
      <c r="B166">
        <v>145026783</v>
      </c>
      <c r="C166">
        <v>145027405</v>
      </c>
      <c r="D166">
        <v>140770987</v>
      </c>
      <c r="E166">
        <v>1</v>
      </c>
      <c r="F166">
        <v>1</v>
      </c>
      <c r="G166">
        <v>1</v>
      </c>
      <c r="H166">
        <v>3</v>
      </c>
      <c r="I166" t="s">
        <v>751</v>
      </c>
      <c r="J166" t="s">
        <v>752</v>
      </c>
      <c r="K166" t="s">
        <v>753</v>
      </c>
      <c r="L166">
        <v>1339</v>
      </c>
      <c r="N166">
        <v>1007</v>
      </c>
      <c r="O166" t="s">
        <v>638</v>
      </c>
      <c r="P166" t="s">
        <v>638</v>
      </c>
      <c r="Q166">
        <v>1</v>
      </c>
      <c r="W166">
        <v>0</v>
      </c>
      <c r="X166">
        <v>-888710213</v>
      </c>
      <c r="Y166">
        <f t="shared" si="74"/>
        <v>0.61</v>
      </c>
      <c r="AA166">
        <v>342.74</v>
      </c>
      <c r="AB166">
        <v>0</v>
      </c>
      <c r="AC166">
        <v>0</v>
      </c>
      <c r="AD166">
        <v>0</v>
      </c>
      <c r="AE166">
        <v>38.51</v>
      </c>
      <c r="AF166">
        <v>0</v>
      </c>
      <c r="AG166">
        <v>0</v>
      </c>
      <c r="AH166">
        <v>0</v>
      </c>
      <c r="AI166">
        <v>8.9</v>
      </c>
      <c r="AJ166">
        <v>1</v>
      </c>
      <c r="AK166">
        <v>1</v>
      </c>
      <c r="AL166">
        <v>1</v>
      </c>
      <c r="AM166">
        <v>4</v>
      </c>
      <c r="AN166">
        <v>0</v>
      </c>
      <c r="AO166">
        <v>1</v>
      </c>
      <c r="AP166">
        <v>1</v>
      </c>
      <c r="AQ166">
        <v>0</v>
      </c>
      <c r="AR166">
        <v>0</v>
      </c>
      <c r="AS166" t="s">
        <v>3</v>
      </c>
      <c r="AT166">
        <v>0.61</v>
      </c>
      <c r="AU166" t="s">
        <v>3</v>
      </c>
      <c r="AV166">
        <v>0</v>
      </c>
      <c r="AW166">
        <v>2</v>
      </c>
      <c r="AX166">
        <v>145027417</v>
      </c>
      <c r="AY166">
        <v>1</v>
      </c>
      <c r="AZ166">
        <v>0</v>
      </c>
      <c r="BA166">
        <v>185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CX166">
        <f>ROUND(Y166*Source!I142,9)</f>
        <v>3.5379999999999998</v>
      </c>
      <c r="CY166">
        <f>AA166</f>
        <v>342.74</v>
      </c>
      <c r="CZ166">
        <f>AE166</f>
        <v>38.51</v>
      </c>
      <c r="DA166">
        <f>AI166</f>
        <v>8.9</v>
      </c>
      <c r="DB166">
        <f t="shared" si="75"/>
        <v>23.49</v>
      </c>
      <c r="DC166">
        <f t="shared" si="76"/>
        <v>0</v>
      </c>
      <c r="DD166" t="s">
        <v>3</v>
      </c>
      <c r="DE166" t="s">
        <v>3</v>
      </c>
      <c r="DF166">
        <f>ROUND(ROUND(AE166*AI166,2)*CX166,2)</f>
        <v>1212.6099999999999</v>
      </c>
      <c r="DG166">
        <f>ROUND(ROUND(AF166,2)*CX166,2)</f>
        <v>0</v>
      </c>
      <c r="DH166">
        <f>ROUND(ROUND(AG166,2)*CX166,2)</f>
        <v>0</v>
      </c>
      <c r="DI166">
        <f t="shared" si="78"/>
        <v>0</v>
      </c>
      <c r="DJ166">
        <f>DF166</f>
        <v>1212.6099999999999</v>
      </c>
      <c r="DK166">
        <v>0</v>
      </c>
      <c r="DL166" t="s">
        <v>3</v>
      </c>
      <c r="DM166">
        <v>0</v>
      </c>
      <c r="DN166" t="s">
        <v>3</v>
      </c>
      <c r="DO166">
        <v>0</v>
      </c>
    </row>
    <row r="167" spans="1:119" x14ac:dyDescent="0.2">
      <c r="A167">
        <f>ROW(Source!A142)</f>
        <v>142</v>
      </c>
      <c r="B167">
        <v>145026783</v>
      </c>
      <c r="C167">
        <v>145027405</v>
      </c>
      <c r="D167">
        <v>140771005</v>
      </c>
      <c r="E167">
        <v>1</v>
      </c>
      <c r="F167">
        <v>1</v>
      </c>
      <c r="G167">
        <v>1</v>
      </c>
      <c r="H167">
        <v>3</v>
      </c>
      <c r="I167" t="s">
        <v>754</v>
      </c>
      <c r="J167" t="s">
        <v>755</v>
      </c>
      <c r="K167" t="s">
        <v>756</v>
      </c>
      <c r="L167">
        <v>1339</v>
      </c>
      <c r="N167">
        <v>1007</v>
      </c>
      <c r="O167" t="s">
        <v>638</v>
      </c>
      <c r="P167" t="s">
        <v>638</v>
      </c>
      <c r="Q167">
        <v>1</v>
      </c>
      <c r="W167">
        <v>0</v>
      </c>
      <c r="X167">
        <v>-1761807714</v>
      </c>
      <c r="Y167">
        <f t="shared" si="74"/>
        <v>3.9</v>
      </c>
      <c r="AA167">
        <v>55.36</v>
      </c>
      <c r="AB167">
        <v>0</v>
      </c>
      <c r="AC167">
        <v>0</v>
      </c>
      <c r="AD167">
        <v>0</v>
      </c>
      <c r="AE167">
        <v>6.22</v>
      </c>
      <c r="AF167">
        <v>0</v>
      </c>
      <c r="AG167">
        <v>0</v>
      </c>
      <c r="AH167">
        <v>0</v>
      </c>
      <c r="AI167">
        <v>8.9</v>
      </c>
      <c r="AJ167">
        <v>1</v>
      </c>
      <c r="AK167">
        <v>1</v>
      </c>
      <c r="AL167">
        <v>1</v>
      </c>
      <c r="AM167">
        <v>4</v>
      </c>
      <c r="AN167">
        <v>0</v>
      </c>
      <c r="AO167">
        <v>1</v>
      </c>
      <c r="AP167">
        <v>1</v>
      </c>
      <c r="AQ167">
        <v>0</v>
      </c>
      <c r="AR167">
        <v>0</v>
      </c>
      <c r="AS167" t="s">
        <v>3</v>
      </c>
      <c r="AT167">
        <v>3.9</v>
      </c>
      <c r="AU167" t="s">
        <v>3</v>
      </c>
      <c r="AV167">
        <v>0</v>
      </c>
      <c r="AW167">
        <v>2</v>
      </c>
      <c r="AX167">
        <v>145027418</v>
      </c>
      <c r="AY167">
        <v>1</v>
      </c>
      <c r="AZ167">
        <v>0</v>
      </c>
      <c r="BA167">
        <v>186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CX167">
        <f>ROUND(Y167*Source!I142,9)</f>
        <v>22.62</v>
      </c>
      <c r="CY167">
        <f>AA167</f>
        <v>55.36</v>
      </c>
      <c r="CZ167">
        <f>AE167</f>
        <v>6.22</v>
      </c>
      <c r="DA167">
        <f>AI167</f>
        <v>8.9</v>
      </c>
      <c r="DB167">
        <f t="shared" si="75"/>
        <v>24.26</v>
      </c>
      <c r="DC167">
        <f t="shared" si="76"/>
        <v>0</v>
      </c>
      <c r="DD167" t="s">
        <v>3</v>
      </c>
      <c r="DE167" t="s">
        <v>3</v>
      </c>
      <c r="DF167">
        <f>ROUND(ROUND(AE167*AI167,2)*CX167,2)</f>
        <v>1252.24</v>
      </c>
      <c r="DG167">
        <f>ROUND(ROUND(AF167,2)*CX167,2)</f>
        <v>0</v>
      </c>
      <c r="DH167">
        <f>ROUND(ROUND(AG167,2)*CX167,2)</f>
        <v>0</v>
      </c>
      <c r="DI167">
        <f t="shared" si="78"/>
        <v>0</v>
      </c>
      <c r="DJ167">
        <f>DF167</f>
        <v>1252.24</v>
      </c>
      <c r="DK167">
        <v>0</v>
      </c>
      <c r="DL167" t="s">
        <v>3</v>
      </c>
      <c r="DM167">
        <v>0</v>
      </c>
      <c r="DN167" t="s">
        <v>3</v>
      </c>
      <c r="DO167">
        <v>0</v>
      </c>
    </row>
    <row r="168" spans="1:119" x14ac:dyDescent="0.2">
      <c r="A168">
        <f>ROW(Source!A142)</f>
        <v>142</v>
      </c>
      <c r="B168">
        <v>145026783</v>
      </c>
      <c r="C168">
        <v>145027405</v>
      </c>
      <c r="D168">
        <v>140765019</v>
      </c>
      <c r="E168">
        <v>70</v>
      </c>
      <c r="F168">
        <v>1</v>
      </c>
      <c r="G168">
        <v>1</v>
      </c>
      <c r="H168">
        <v>3</v>
      </c>
      <c r="I168" t="s">
        <v>114</v>
      </c>
      <c r="J168" t="s">
        <v>3</v>
      </c>
      <c r="K168" t="s">
        <v>115</v>
      </c>
      <c r="L168">
        <v>1348</v>
      </c>
      <c r="N168">
        <v>1009</v>
      </c>
      <c r="O168" t="s">
        <v>49</v>
      </c>
      <c r="P168" t="s">
        <v>49</v>
      </c>
      <c r="Q168">
        <v>1000</v>
      </c>
      <c r="W168">
        <v>0</v>
      </c>
      <c r="X168">
        <v>-1296435862</v>
      </c>
      <c r="Y168">
        <f t="shared" si="74"/>
        <v>0.28999999999999998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8.9</v>
      </c>
      <c r="AJ168">
        <v>1</v>
      </c>
      <c r="AK168">
        <v>1</v>
      </c>
      <c r="AL168">
        <v>1</v>
      </c>
      <c r="AM168">
        <v>0</v>
      </c>
      <c r="AN168">
        <v>0</v>
      </c>
      <c r="AO168">
        <v>0</v>
      </c>
      <c r="AP168">
        <v>1</v>
      </c>
      <c r="AQ168">
        <v>0</v>
      </c>
      <c r="AR168">
        <v>0</v>
      </c>
      <c r="AS168" t="s">
        <v>3</v>
      </c>
      <c r="AT168">
        <v>0.28999999999999998</v>
      </c>
      <c r="AU168" t="s">
        <v>3</v>
      </c>
      <c r="AV168">
        <v>0</v>
      </c>
      <c r="AW168">
        <v>2</v>
      </c>
      <c r="AX168">
        <v>145027419</v>
      </c>
      <c r="AY168">
        <v>1</v>
      </c>
      <c r="AZ168">
        <v>0</v>
      </c>
      <c r="BA168">
        <v>187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CX168">
        <f>ROUND(Y168*Source!I142,9)</f>
        <v>1.6819999999999999</v>
      </c>
      <c r="CY168">
        <f>AA168</f>
        <v>0</v>
      </c>
      <c r="CZ168">
        <f>AE168</f>
        <v>0</v>
      </c>
      <c r="DA168">
        <f>AI168</f>
        <v>8.9</v>
      </c>
      <c r="DB168">
        <f t="shared" si="75"/>
        <v>0</v>
      </c>
      <c r="DC168">
        <f t="shared" si="76"/>
        <v>0</v>
      </c>
      <c r="DD168" t="s">
        <v>3</v>
      </c>
      <c r="DE168" t="s">
        <v>3</v>
      </c>
      <c r="DF168">
        <f>ROUND(ROUND(AE168*AI168,2)*CX168,2)</f>
        <v>0</v>
      </c>
      <c r="DG168">
        <f>ROUND(ROUND(AF168,2)*CX168,2)</f>
        <v>0</v>
      </c>
      <c r="DH168">
        <f>ROUND(ROUND(AG168,2)*CX168,2)</f>
        <v>0</v>
      </c>
      <c r="DI168">
        <f t="shared" si="78"/>
        <v>0</v>
      </c>
      <c r="DJ168">
        <f>DF168</f>
        <v>0</v>
      </c>
      <c r="DK168">
        <v>0</v>
      </c>
      <c r="DL168" t="s">
        <v>3</v>
      </c>
      <c r="DM168">
        <v>0</v>
      </c>
      <c r="DN168" t="s">
        <v>3</v>
      </c>
      <c r="DO168">
        <v>0</v>
      </c>
    </row>
    <row r="169" spans="1:119" x14ac:dyDescent="0.2">
      <c r="A169">
        <f>ROW(Source!A144)</f>
        <v>144</v>
      </c>
      <c r="B169">
        <v>145026783</v>
      </c>
      <c r="C169">
        <v>145122665</v>
      </c>
      <c r="D169">
        <v>140760031</v>
      </c>
      <c r="E169">
        <v>70</v>
      </c>
      <c r="F169">
        <v>1</v>
      </c>
      <c r="G169">
        <v>1</v>
      </c>
      <c r="H169">
        <v>1</v>
      </c>
      <c r="I169" t="s">
        <v>606</v>
      </c>
      <c r="J169" t="s">
        <v>3</v>
      </c>
      <c r="K169" t="s">
        <v>607</v>
      </c>
      <c r="L169">
        <v>1191</v>
      </c>
      <c r="N169">
        <v>1013</v>
      </c>
      <c r="O169" t="s">
        <v>608</v>
      </c>
      <c r="P169" t="s">
        <v>608</v>
      </c>
      <c r="Q169">
        <v>1</v>
      </c>
      <c r="W169">
        <v>0</v>
      </c>
      <c r="X169">
        <v>-1111239348</v>
      </c>
      <c r="Y169">
        <f>(AT169*1.15)</f>
        <v>62.651999999999994</v>
      </c>
      <c r="AA169">
        <v>0</v>
      </c>
      <c r="AB169">
        <v>0</v>
      </c>
      <c r="AC169">
        <v>0</v>
      </c>
      <c r="AD169">
        <v>307.94</v>
      </c>
      <c r="AE169">
        <v>0</v>
      </c>
      <c r="AF169">
        <v>0</v>
      </c>
      <c r="AG169">
        <v>0</v>
      </c>
      <c r="AH169">
        <v>9.6199999999999992</v>
      </c>
      <c r="AI169">
        <v>1</v>
      </c>
      <c r="AJ169">
        <v>1</v>
      </c>
      <c r="AK169">
        <v>1</v>
      </c>
      <c r="AL169">
        <v>32.01</v>
      </c>
      <c r="AM169">
        <v>4</v>
      </c>
      <c r="AN169">
        <v>0</v>
      </c>
      <c r="AO169">
        <v>1</v>
      </c>
      <c r="AP169">
        <v>1</v>
      </c>
      <c r="AQ169">
        <v>0</v>
      </c>
      <c r="AR169">
        <v>0</v>
      </c>
      <c r="AS169" t="s">
        <v>3</v>
      </c>
      <c r="AT169">
        <v>54.48</v>
      </c>
      <c r="AU169" t="s">
        <v>149</v>
      </c>
      <c r="AV169">
        <v>1</v>
      </c>
      <c r="AW169">
        <v>2</v>
      </c>
      <c r="AX169">
        <v>145122666</v>
      </c>
      <c r="AY169">
        <v>1</v>
      </c>
      <c r="AZ169">
        <v>0</v>
      </c>
      <c r="BA169">
        <v>188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CX169">
        <f>ROUND(Y169*Source!I144,9)</f>
        <v>363.38159999999999</v>
      </c>
      <c r="CY169">
        <f>AD169</f>
        <v>307.94</v>
      </c>
      <c r="CZ169">
        <f>AH169</f>
        <v>9.6199999999999992</v>
      </c>
      <c r="DA169">
        <f>AL169</f>
        <v>32.01</v>
      </c>
      <c r="DB169">
        <f>ROUND((ROUND(AT169*CZ169,2)*1.15),2)</f>
        <v>602.72</v>
      </c>
      <c r="DC169">
        <f>ROUND((ROUND(AT169*AG169,2)*1.15),2)</f>
        <v>0</v>
      </c>
      <c r="DD169" t="s">
        <v>3</v>
      </c>
      <c r="DE169" t="s">
        <v>3</v>
      </c>
      <c r="DF169">
        <f>ROUND(ROUND(AE169,2)*CX169,2)</f>
        <v>0</v>
      </c>
      <c r="DG169">
        <f>ROUND(ROUND(AF169,2)*CX169,2)</f>
        <v>0</v>
      </c>
      <c r="DH169">
        <f>ROUND(ROUND(AG169,2)*CX169,2)</f>
        <v>0</v>
      </c>
      <c r="DI169">
        <f>ROUND(ROUND(AH169*AL169,2)*CX169,2)</f>
        <v>111899.73</v>
      </c>
      <c r="DJ169">
        <f>DI169</f>
        <v>111899.73</v>
      </c>
      <c r="DK169">
        <v>0</v>
      </c>
      <c r="DL169" t="s">
        <v>3</v>
      </c>
      <c r="DM169">
        <v>0</v>
      </c>
      <c r="DN169" t="s">
        <v>3</v>
      </c>
      <c r="DO169">
        <v>0</v>
      </c>
    </row>
    <row r="170" spans="1:119" x14ac:dyDescent="0.2">
      <c r="A170">
        <f>ROW(Source!A144)</f>
        <v>144</v>
      </c>
      <c r="B170">
        <v>145026783</v>
      </c>
      <c r="C170">
        <v>145122665</v>
      </c>
      <c r="D170">
        <v>140760225</v>
      </c>
      <c r="E170">
        <v>70</v>
      </c>
      <c r="F170">
        <v>1</v>
      </c>
      <c r="G170">
        <v>1</v>
      </c>
      <c r="H170">
        <v>1</v>
      </c>
      <c r="I170" t="s">
        <v>609</v>
      </c>
      <c r="J170" t="s">
        <v>3</v>
      </c>
      <c r="K170" t="s">
        <v>610</v>
      </c>
      <c r="L170">
        <v>1191</v>
      </c>
      <c r="N170">
        <v>1013</v>
      </c>
      <c r="O170" t="s">
        <v>608</v>
      </c>
      <c r="P170" t="s">
        <v>608</v>
      </c>
      <c r="Q170">
        <v>1</v>
      </c>
      <c r="W170">
        <v>0</v>
      </c>
      <c r="X170">
        <v>-1417349443</v>
      </c>
      <c r="Y170">
        <f>(AT170*1.25)</f>
        <v>0.5625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1</v>
      </c>
      <c r="AJ170">
        <v>1</v>
      </c>
      <c r="AK170">
        <v>32.01</v>
      </c>
      <c r="AL170">
        <v>1</v>
      </c>
      <c r="AM170">
        <v>4</v>
      </c>
      <c r="AN170">
        <v>0</v>
      </c>
      <c r="AO170">
        <v>1</v>
      </c>
      <c r="AP170">
        <v>1</v>
      </c>
      <c r="AQ170">
        <v>0</v>
      </c>
      <c r="AR170">
        <v>0</v>
      </c>
      <c r="AS170" t="s">
        <v>3</v>
      </c>
      <c r="AT170">
        <v>0.45</v>
      </c>
      <c r="AU170" t="s">
        <v>148</v>
      </c>
      <c r="AV170">
        <v>2</v>
      </c>
      <c r="AW170">
        <v>2</v>
      </c>
      <c r="AX170">
        <v>145122667</v>
      </c>
      <c r="AY170">
        <v>1</v>
      </c>
      <c r="AZ170">
        <v>0</v>
      </c>
      <c r="BA170">
        <v>189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CX170">
        <f>ROUND(Y170*Source!I144,9)</f>
        <v>3.2625000000000002</v>
      </c>
      <c r="CY170">
        <f>AD170</f>
        <v>0</v>
      </c>
      <c r="CZ170">
        <f>AH170</f>
        <v>0</v>
      </c>
      <c r="DA170">
        <f>AL170</f>
        <v>1</v>
      </c>
      <c r="DB170">
        <f>ROUND((ROUND(AT170*CZ170,2)*1.25),2)</f>
        <v>0</v>
      </c>
      <c r="DC170">
        <f>ROUND((ROUND(AT170*AG170,2)*1.25),2)</f>
        <v>0</v>
      </c>
      <c r="DD170" t="s">
        <v>3</v>
      </c>
      <c r="DE170" t="s">
        <v>3</v>
      </c>
      <c r="DF170">
        <f>ROUND(ROUND(AE170,2)*CX170,2)</f>
        <v>0</v>
      </c>
      <c r="DG170">
        <f>ROUND(ROUND(AF170,2)*CX170,2)</f>
        <v>0</v>
      </c>
      <c r="DH170">
        <f>ROUND(ROUND(AG170*AK170,2)*CX170,2)</f>
        <v>0</v>
      </c>
      <c r="DI170">
        <f t="shared" ref="DI170:DI175" si="79">ROUND(ROUND(AH170,2)*CX170,2)</f>
        <v>0</v>
      </c>
      <c r="DJ170">
        <f>DI170</f>
        <v>0</v>
      </c>
      <c r="DK170">
        <v>0</v>
      </c>
      <c r="DL170" t="s">
        <v>3</v>
      </c>
      <c r="DM170">
        <v>0</v>
      </c>
      <c r="DN170" t="s">
        <v>3</v>
      </c>
      <c r="DO170">
        <v>0</v>
      </c>
    </row>
    <row r="171" spans="1:119" x14ac:dyDescent="0.2">
      <c r="A171">
        <f>ROW(Source!A144)</f>
        <v>144</v>
      </c>
      <c r="B171">
        <v>145026783</v>
      </c>
      <c r="C171">
        <v>145122665</v>
      </c>
      <c r="D171">
        <v>140922893</v>
      </c>
      <c r="E171">
        <v>1</v>
      </c>
      <c r="F171">
        <v>1</v>
      </c>
      <c r="G171">
        <v>1</v>
      </c>
      <c r="H171">
        <v>2</v>
      </c>
      <c r="I171" t="s">
        <v>757</v>
      </c>
      <c r="J171" t="s">
        <v>758</v>
      </c>
      <c r="K171" t="s">
        <v>759</v>
      </c>
      <c r="L171">
        <v>1367</v>
      </c>
      <c r="N171">
        <v>1011</v>
      </c>
      <c r="O171" t="s">
        <v>614</v>
      </c>
      <c r="P171" t="s">
        <v>614</v>
      </c>
      <c r="Q171">
        <v>1</v>
      </c>
      <c r="W171">
        <v>0</v>
      </c>
      <c r="X171">
        <v>-130837057</v>
      </c>
      <c r="Y171">
        <f>(AT171*1.25)</f>
        <v>0.05</v>
      </c>
      <c r="AA171">
        <v>0</v>
      </c>
      <c r="AB171">
        <v>1074.82</v>
      </c>
      <c r="AC171">
        <v>432.14</v>
      </c>
      <c r="AD171">
        <v>0</v>
      </c>
      <c r="AE171">
        <v>0</v>
      </c>
      <c r="AF171">
        <v>86.4</v>
      </c>
      <c r="AG171">
        <v>13.5</v>
      </c>
      <c r="AH171">
        <v>0</v>
      </c>
      <c r="AI171">
        <v>1</v>
      </c>
      <c r="AJ171">
        <v>12.44</v>
      </c>
      <c r="AK171">
        <v>32.01</v>
      </c>
      <c r="AL171">
        <v>1</v>
      </c>
      <c r="AM171">
        <v>4</v>
      </c>
      <c r="AN171">
        <v>0</v>
      </c>
      <c r="AO171">
        <v>1</v>
      </c>
      <c r="AP171">
        <v>1</v>
      </c>
      <c r="AQ171">
        <v>0</v>
      </c>
      <c r="AR171">
        <v>0</v>
      </c>
      <c r="AS171" t="s">
        <v>3</v>
      </c>
      <c r="AT171">
        <v>0.04</v>
      </c>
      <c r="AU171" t="s">
        <v>148</v>
      </c>
      <c r="AV171">
        <v>0</v>
      </c>
      <c r="AW171">
        <v>2</v>
      </c>
      <c r="AX171">
        <v>145122668</v>
      </c>
      <c r="AY171">
        <v>1</v>
      </c>
      <c r="AZ171">
        <v>0</v>
      </c>
      <c r="BA171">
        <v>190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CX171">
        <f>ROUND(Y171*Source!I144,9)</f>
        <v>0.28999999999999998</v>
      </c>
      <c r="CY171">
        <f>AB171</f>
        <v>1074.82</v>
      </c>
      <c r="CZ171">
        <f>AF171</f>
        <v>86.4</v>
      </c>
      <c r="DA171">
        <f>AJ171</f>
        <v>12.44</v>
      </c>
      <c r="DB171">
        <f>ROUND((ROUND(AT171*CZ171,2)*1.25),2)</f>
        <v>4.33</v>
      </c>
      <c r="DC171">
        <f>ROUND((ROUND(AT171*AG171,2)*1.25),2)</f>
        <v>0.68</v>
      </c>
      <c r="DD171" t="s">
        <v>3</v>
      </c>
      <c r="DE171" t="s">
        <v>3</v>
      </c>
      <c r="DF171">
        <f>ROUND(ROUND(AE171,2)*CX171,2)</f>
        <v>0</v>
      </c>
      <c r="DG171">
        <f>ROUND(ROUND(AF171*AJ171,2)*CX171,2)</f>
        <v>311.7</v>
      </c>
      <c r="DH171">
        <f>ROUND(ROUND(AG171*AK171,2)*CX171,2)</f>
        <v>125.32</v>
      </c>
      <c r="DI171">
        <f t="shared" si="79"/>
        <v>0</v>
      </c>
      <c r="DJ171">
        <f>DG171</f>
        <v>311.7</v>
      </c>
      <c r="DK171">
        <v>0</v>
      </c>
      <c r="DL171" t="s">
        <v>3</v>
      </c>
      <c r="DM171">
        <v>0</v>
      </c>
      <c r="DN171" t="s">
        <v>3</v>
      </c>
      <c r="DO171">
        <v>0</v>
      </c>
    </row>
    <row r="172" spans="1:119" x14ac:dyDescent="0.2">
      <c r="A172">
        <f>ROW(Source!A144)</f>
        <v>144</v>
      </c>
      <c r="B172">
        <v>145026783</v>
      </c>
      <c r="C172">
        <v>145122665</v>
      </c>
      <c r="D172">
        <v>140923885</v>
      </c>
      <c r="E172">
        <v>1</v>
      </c>
      <c r="F172">
        <v>1</v>
      </c>
      <c r="G172">
        <v>1</v>
      </c>
      <c r="H172">
        <v>2</v>
      </c>
      <c r="I172" t="s">
        <v>668</v>
      </c>
      <c r="J172" t="s">
        <v>669</v>
      </c>
      <c r="K172" t="s">
        <v>670</v>
      </c>
      <c r="L172">
        <v>1367</v>
      </c>
      <c r="N172">
        <v>1011</v>
      </c>
      <c r="O172" t="s">
        <v>614</v>
      </c>
      <c r="P172" t="s">
        <v>614</v>
      </c>
      <c r="Q172">
        <v>1</v>
      </c>
      <c r="W172">
        <v>0</v>
      </c>
      <c r="X172">
        <v>509054691</v>
      </c>
      <c r="Y172">
        <f>(AT172*1.25)</f>
        <v>0.51249999999999996</v>
      </c>
      <c r="AA172">
        <v>0</v>
      </c>
      <c r="AB172">
        <v>817.43</v>
      </c>
      <c r="AC172">
        <v>371.32</v>
      </c>
      <c r="AD172">
        <v>0</v>
      </c>
      <c r="AE172">
        <v>0</v>
      </c>
      <c r="AF172">
        <v>65.709999999999994</v>
      </c>
      <c r="AG172">
        <v>11.6</v>
      </c>
      <c r="AH172">
        <v>0</v>
      </c>
      <c r="AI172">
        <v>1</v>
      </c>
      <c r="AJ172">
        <v>12.44</v>
      </c>
      <c r="AK172">
        <v>32.01</v>
      </c>
      <c r="AL172">
        <v>1</v>
      </c>
      <c r="AM172">
        <v>4</v>
      </c>
      <c r="AN172">
        <v>0</v>
      </c>
      <c r="AO172">
        <v>1</v>
      </c>
      <c r="AP172">
        <v>1</v>
      </c>
      <c r="AQ172">
        <v>0</v>
      </c>
      <c r="AR172">
        <v>0</v>
      </c>
      <c r="AS172" t="s">
        <v>3</v>
      </c>
      <c r="AT172">
        <v>0.41</v>
      </c>
      <c r="AU172" t="s">
        <v>148</v>
      </c>
      <c r="AV172">
        <v>0</v>
      </c>
      <c r="AW172">
        <v>2</v>
      </c>
      <c r="AX172">
        <v>145122669</v>
      </c>
      <c r="AY172">
        <v>1</v>
      </c>
      <c r="AZ172">
        <v>0</v>
      </c>
      <c r="BA172">
        <v>191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CX172">
        <f>ROUND(Y172*Source!I144,9)</f>
        <v>2.9725000000000001</v>
      </c>
      <c r="CY172">
        <f>AB172</f>
        <v>817.43</v>
      </c>
      <c r="CZ172">
        <f>AF172</f>
        <v>65.709999999999994</v>
      </c>
      <c r="DA172">
        <f>AJ172</f>
        <v>12.44</v>
      </c>
      <c r="DB172">
        <f>ROUND((ROUND(AT172*CZ172,2)*1.25),2)</f>
        <v>33.68</v>
      </c>
      <c r="DC172">
        <f>ROUND((ROUND(AT172*AG172,2)*1.25),2)</f>
        <v>5.95</v>
      </c>
      <c r="DD172" t="s">
        <v>3</v>
      </c>
      <c r="DE172" t="s">
        <v>3</v>
      </c>
      <c r="DF172">
        <f>ROUND(ROUND(AE172,2)*CX172,2)</f>
        <v>0</v>
      </c>
      <c r="DG172">
        <f>ROUND(ROUND(AF172*AJ172,2)*CX172,2)</f>
        <v>2429.81</v>
      </c>
      <c r="DH172">
        <f>ROUND(ROUND(AG172*AK172,2)*CX172,2)</f>
        <v>1103.75</v>
      </c>
      <c r="DI172">
        <f t="shared" si="79"/>
        <v>0</v>
      </c>
      <c r="DJ172">
        <f>DG172</f>
        <v>2429.81</v>
      </c>
      <c r="DK172">
        <v>0</v>
      </c>
      <c r="DL172" t="s">
        <v>3</v>
      </c>
      <c r="DM172">
        <v>0</v>
      </c>
      <c r="DN172" t="s">
        <v>3</v>
      </c>
      <c r="DO172">
        <v>0</v>
      </c>
    </row>
    <row r="173" spans="1:119" x14ac:dyDescent="0.2">
      <c r="A173">
        <f>ROW(Source!A144)</f>
        <v>144</v>
      </c>
      <c r="B173">
        <v>145026783</v>
      </c>
      <c r="C173">
        <v>145122665</v>
      </c>
      <c r="D173">
        <v>140772680</v>
      </c>
      <c r="E173">
        <v>1</v>
      </c>
      <c r="F173">
        <v>1</v>
      </c>
      <c r="G173">
        <v>1</v>
      </c>
      <c r="H173">
        <v>3</v>
      </c>
      <c r="I173" t="s">
        <v>635</v>
      </c>
      <c r="J173" t="s">
        <v>636</v>
      </c>
      <c r="K173" t="s">
        <v>637</v>
      </c>
      <c r="L173">
        <v>1339</v>
      </c>
      <c r="N173">
        <v>1007</v>
      </c>
      <c r="O173" t="s">
        <v>638</v>
      </c>
      <c r="P173" t="s">
        <v>638</v>
      </c>
      <c r="Q173">
        <v>1</v>
      </c>
      <c r="W173">
        <v>0</v>
      </c>
      <c r="X173">
        <v>-143474561</v>
      </c>
      <c r="Y173">
        <f>AT173</f>
        <v>0.92</v>
      </c>
      <c r="AA173">
        <v>21.72</v>
      </c>
      <c r="AB173">
        <v>0</v>
      </c>
      <c r="AC173">
        <v>0</v>
      </c>
      <c r="AD173">
        <v>0</v>
      </c>
      <c r="AE173">
        <v>2.44</v>
      </c>
      <c r="AF173">
        <v>0</v>
      </c>
      <c r="AG173">
        <v>0</v>
      </c>
      <c r="AH173">
        <v>0</v>
      </c>
      <c r="AI173">
        <v>8.9</v>
      </c>
      <c r="AJ173">
        <v>1</v>
      </c>
      <c r="AK173">
        <v>1</v>
      </c>
      <c r="AL173">
        <v>1</v>
      </c>
      <c r="AM173">
        <v>4</v>
      </c>
      <c r="AN173">
        <v>0</v>
      </c>
      <c r="AO173">
        <v>1</v>
      </c>
      <c r="AP173">
        <v>0</v>
      </c>
      <c r="AQ173">
        <v>0</v>
      </c>
      <c r="AR173">
        <v>0</v>
      </c>
      <c r="AS173" t="s">
        <v>3</v>
      </c>
      <c r="AT173">
        <v>0.92</v>
      </c>
      <c r="AU173" t="s">
        <v>3</v>
      </c>
      <c r="AV173">
        <v>0</v>
      </c>
      <c r="AW173">
        <v>2</v>
      </c>
      <c r="AX173">
        <v>145122670</v>
      </c>
      <c r="AY173">
        <v>1</v>
      </c>
      <c r="AZ173">
        <v>0</v>
      </c>
      <c r="BA173">
        <v>192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CX173">
        <f>ROUND(Y173*Source!I144,9)</f>
        <v>5.3360000000000003</v>
      </c>
      <c r="CY173">
        <f>AA173</f>
        <v>21.72</v>
      </c>
      <c r="CZ173">
        <f>AE173</f>
        <v>2.44</v>
      </c>
      <c r="DA173">
        <f>AI173</f>
        <v>8.9</v>
      </c>
      <c r="DB173">
        <f>ROUND(ROUND(AT173*CZ173,2),2)</f>
        <v>2.2400000000000002</v>
      </c>
      <c r="DC173">
        <f>ROUND(ROUND(AT173*AG173,2),2)</f>
        <v>0</v>
      </c>
      <c r="DD173" t="s">
        <v>3</v>
      </c>
      <c r="DE173" t="s">
        <v>3</v>
      </c>
      <c r="DF173">
        <f>ROUND(ROUND(AE173*AI173,2)*CX173,2)</f>
        <v>115.9</v>
      </c>
      <c r="DG173">
        <f>ROUND(ROUND(AF173,2)*CX173,2)</f>
        <v>0</v>
      </c>
      <c r="DH173">
        <f>ROUND(ROUND(AG173,2)*CX173,2)</f>
        <v>0</v>
      </c>
      <c r="DI173">
        <f t="shared" si="79"/>
        <v>0</v>
      </c>
      <c r="DJ173">
        <f>DF173</f>
        <v>115.9</v>
      </c>
      <c r="DK173">
        <v>0</v>
      </c>
      <c r="DL173" t="s">
        <v>3</v>
      </c>
      <c r="DM173">
        <v>0</v>
      </c>
      <c r="DN173" t="s">
        <v>3</v>
      </c>
      <c r="DO173">
        <v>0</v>
      </c>
    </row>
    <row r="174" spans="1:119" x14ac:dyDescent="0.2">
      <c r="A174">
        <f>ROW(Source!A144)</f>
        <v>144</v>
      </c>
      <c r="B174">
        <v>145026783</v>
      </c>
      <c r="C174">
        <v>145122665</v>
      </c>
      <c r="D174">
        <v>140777281</v>
      </c>
      <c r="E174">
        <v>1</v>
      </c>
      <c r="F174">
        <v>1</v>
      </c>
      <c r="G174">
        <v>1</v>
      </c>
      <c r="H174">
        <v>3</v>
      </c>
      <c r="I174" t="s">
        <v>760</v>
      </c>
      <c r="J174" t="s">
        <v>761</v>
      </c>
      <c r="K174" t="s">
        <v>762</v>
      </c>
      <c r="L174">
        <v>1346</v>
      </c>
      <c r="N174">
        <v>1009</v>
      </c>
      <c r="O174" t="s">
        <v>154</v>
      </c>
      <c r="P174" t="s">
        <v>154</v>
      </c>
      <c r="Q174">
        <v>1</v>
      </c>
      <c r="W174">
        <v>0</v>
      </c>
      <c r="X174">
        <v>30735328</v>
      </c>
      <c r="Y174">
        <f>AT174</f>
        <v>3.3999999999999998E-3</v>
      </c>
      <c r="AA174">
        <v>19.14</v>
      </c>
      <c r="AB174">
        <v>0</v>
      </c>
      <c r="AC174">
        <v>0</v>
      </c>
      <c r="AD174">
        <v>0</v>
      </c>
      <c r="AE174">
        <v>2.15</v>
      </c>
      <c r="AF174">
        <v>0</v>
      </c>
      <c r="AG174">
        <v>0</v>
      </c>
      <c r="AH174">
        <v>0</v>
      </c>
      <c r="AI174">
        <v>8.9</v>
      </c>
      <c r="AJ174">
        <v>1</v>
      </c>
      <c r="AK174">
        <v>1</v>
      </c>
      <c r="AL174">
        <v>1</v>
      </c>
      <c r="AM174">
        <v>4</v>
      </c>
      <c r="AN174">
        <v>0</v>
      </c>
      <c r="AO174">
        <v>1</v>
      </c>
      <c r="AP174">
        <v>0</v>
      </c>
      <c r="AQ174">
        <v>0</v>
      </c>
      <c r="AR174">
        <v>0</v>
      </c>
      <c r="AS174" t="s">
        <v>3</v>
      </c>
      <c r="AT174">
        <v>3.3999999999999998E-3</v>
      </c>
      <c r="AU174" t="s">
        <v>3</v>
      </c>
      <c r="AV174">
        <v>0</v>
      </c>
      <c r="AW174">
        <v>2</v>
      </c>
      <c r="AX174">
        <v>145122671</v>
      </c>
      <c r="AY174">
        <v>1</v>
      </c>
      <c r="AZ174">
        <v>0</v>
      </c>
      <c r="BA174">
        <v>193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CX174">
        <f>ROUND(Y174*Source!I144,9)</f>
        <v>1.9720000000000001E-2</v>
      </c>
      <c r="CY174">
        <f>AA174</f>
        <v>19.14</v>
      </c>
      <c r="CZ174">
        <f>AE174</f>
        <v>2.15</v>
      </c>
      <c r="DA174">
        <f>AI174</f>
        <v>8.9</v>
      </c>
      <c r="DB174">
        <f>ROUND(ROUND(AT174*CZ174,2),2)</f>
        <v>0.01</v>
      </c>
      <c r="DC174">
        <f>ROUND(ROUND(AT174*AG174,2),2)</f>
        <v>0</v>
      </c>
      <c r="DD174" t="s">
        <v>3</v>
      </c>
      <c r="DE174" t="s">
        <v>3</v>
      </c>
      <c r="DF174">
        <f>ROUND(ROUND(AE174*AI174,2)*CX174,2)</f>
        <v>0.38</v>
      </c>
      <c r="DG174">
        <f>ROUND(ROUND(AF174,2)*CX174,2)</f>
        <v>0</v>
      </c>
      <c r="DH174">
        <f>ROUND(ROUND(AG174,2)*CX174,2)</f>
        <v>0</v>
      </c>
      <c r="DI174">
        <f t="shared" si="79"/>
        <v>0</v>
      </c>
      <c r="DJ174">
        <f>DF174</f>
        <v>0.38</v>
      </c>
      <c r="DK174">
        <v>0</v>
      </c>
      <c r="DL174" t="s">
        <v>3</v>
      </c>
      <c r="DM174">
        <v>0</v>
      </c>
      <c r="DN174" t="s">
        <v>3</v>
      </c>
      <c r="DO174">
        <v>0</v>
      </c>
    </row>
    <row r="175" spans="1:119" x14ac:dyDescent="0.2">
      <c r="A175">
        <f>ROW(Source!A144)</f>
        <v>144</v>
      </c>
      <c r="B175">
        <v>145026783</v>
      </c>
      <c r="C175">
        <v>145122665</v>
      </c>
      <c r="D175">
        <v>140813341</v>
      </c>
      <c r="E175">
        <v>1</v>
      </c>
      <c r="F175">
        <v>1</v>
      </c>
      <c r="G175">
        <v>1</v>
      </c>
      <c r="H175">
        <v>3</v>
      </c>
      <c r="I175" t="s">
        <v>763</v>
      </c>
      <c r="J175" t="s">
        <v>764</v>
      </c>
      <c r="K175" t="s">
        <v>765</v>
      </c>
      <c r="L175">
        <v>1301</v>
      </c>
      <c r="N175">
        <v>1003</v>
      </c>
      <c r="O175" t="s">
        <v>191</v>
      </c>
      <c r="P175" t="s">
        <v>191</v>
      </c>
      <c r="Q175">
        <v>1</v>
      </c>
      <c r="W175">
        <v>0</v>
      </c>
      <c r="X175">
        <v>1126017541</v>
      </c>
      <c r="Y175">
        <f>AT175</f>
        <v>11</v>
      </c>
      <c r="AA175">
        <v>84.55</v>
      </c>
      <c r="AB175">
        <v>0</v>
      </c>
      <c r="AC175">
        <v>0</v>
      </c>
      <c r="AD175">
        <v>0</v>
      </c>
      <c r="AE175">
        <v>9.5</v>
      </c>
      <c r="AF175">
        <v>0</v>
      </c>
      <c r="AG175">
        <v>0</v>
      </c>
      <c r="AH175">
        <v>0</v>
      </c>
      <c r="AI175">
        <v>8.9</v>
      </c>
      <c r="AJ175">
        <v>1</v>
      </c>
      <c r="AK175">
        <v>1</v>
      </c>
      <c r="AL175">
        <v>1</v>
      </c>
      <c r="AM175">
        <v>4</v>
      </c>
      <c r="AN175">
        <v>0</v>
      </c>
      <c r="AO175">
        <v>1</v>
      </c>
      <c r="AP175">
        <v>0</v>
      </c>
      <c r="AQ175">
        <v>0</v>
      </c>
      <c r="AR175">
        <v>0</v>
      </c>
      <c r="AS175" t="s">
        <v>3</v>
      </c>
      <c r="AT175">
        <v>11</v>
      </c>
      <c r="AU175" t="s">
        <v>3</v>
      </c>
      <c r="AV175">
        <v>0</v>
      </c>
      <c r="AW175">
        <v>2</v>
      </c>
      <c r="AX175">
        <v>145122673</v>
      </c>
      <c r="AY175">
        <v>1</v>
      </c>
      <c r="AZ175">
        <v>0</v>
      </c>
      <c r="BA175">
        <v>195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CX175">
        <f>ROUND(Y175*Source!I144,9)</f>
        <v>63.8</v>
      </c>
      <c r="CY175">
        <f>AA175</f>
        <v>84.55</v>
      </c>
      <c r="CZ175">
        <f>AE175</f>
        <v>9.5</v>
      </c>
      <c r="DA175">
        <f>AI175</f>
        <v>8.9</v>
      </c>
      <c r="DB175">
        <f>ROUND(ROUND(AT175*CZ175,2),2)</f>
        <v>104.5</v>
      </c>
      <c r="DC175">
        <f>ROUND(ROUND(AT175*AG175,2),2)</f>
        <v>0</v>
      </c>
      <c r="DD175" t="s">
        <v>3</v>
      </c>
      <c r="DE175" t="s">
        <v>3</v>
      </c>
      <c r="DF175">
        <f>ROUND(ROUND(AE175*AI175,2)*CX175,2)</f>
        <v>5394.29</v>
      </c>
      <c r="DG175">
        <f>ROUND(ROUND(AF175,2)*CX175,2)</f>
        <v>0</v>
      </c>
      <c r="DH175">
        <f>ROUND(ROUND(AG175,2)*CX175,2)</f>
        <v>0</v>
      </c>
      <c r="DI175">
        <f t="shared" si="79"/>
        <v>0</v>
      </c>
      <c r="DJ175">
        <f>DF175</f>
        <v>5394.29</v>
      </c>
      <c r="DK175">
        <v>0</v>
      </c>
      <c r="DL175" t="s">
        <v>3</v>
      </c>
      <c r="DM175">
        <v>0</v>
      </c>
      <c r="DN175" t="s">
        <v>3</v>
      </c>
      <c r="DO175">
        <v>0</v>
      </c>
    </row>
    <row r="176" spans="1:119" x14ac:dyDescent="0.2">
      <c r="A176">
        <f>ROW(Source!A152)</f>
        <v>152</v>
      </c>
      <c r="B176">
        <v>145026783</v>
      </c>
      <c r="C176">
        <v>145123995</v>
      </c>
      <c r="D176">
        <v>140755447</v>
      </c>
      <c r="E176">
        <v>70</v>
      </c>
      <c r="F176">
        <v>1</v>
      </c>
      <c r="G176">
        <v>1</v>
      </c>
      <c r="H176">
        <v>1</v>
      </c>
      <c r="I176" t="s">
        <v>766</v>
      </c>
      <c r="J176" t="s">
        <v>3</v>
      </c>
      <c r="K176" t="s">
        <v>767</v>
      </c>
      <c r="L176">
        <v>1191</v>
      </c>
      <c r="N176">
        <v>1013</v>
      </c>
      <c r="O176" t="s">
        <v>608</v>
      </c>
      <c r="P176" t="s">
        <v>608</v>
      </c>
      <c r="Q176">
        <v>1</v>
      </c>
      <c r="W176">
        <v>0</v>
      </c>
      <c r="X176">
        <v>-632984526</v>
      </c>
      <c r="Y176">
        <f>(AT176*1.15)</f>
        <v>6.8079999999999998</v>
      </c>
      <c r="AA176">
        <v>0</v>
      </c>
      <c r="AB176">
        <v>0</v>
      </c>
      <c r="AC176">
        <v>0</v>
      </c>
      <c r="AD176">
        <v>326.82</v>
      </c>
      <c r="AE176">
        <v>0</v>
      </c>
      <c r="AF176">
        <v>0</v>
      </c>
      <c r="AG176">
        <v>0</v>
      </c>
      <c r="AH176">
        <v>10.210000000000001</v>
      </c>
      <c r="AI176">
        <v>1</v>
      </c>
      <c r="AJ176">
        <v>1</v>
      </c>
      <c r="AK176">
        <v>1</v>
      </c>
      <c r="AL176">
        <v>32.01</v>
      </c>
      <c r="AM176">
        <v>4</v>
      </c>
      <c r="AN176">
        <v>0</v>
      </c>
      <c r="AO176">
        <v>1</v>
      </c>
      <c r="AP176">
        <v>1</v>
      </c>
      <c r="AQ176">
        <v>0</v>
      </c>
      <c r="AR176">
        <v>0</v>
      </c>
      <c r="AS176" t="s">
        <v>3</v>
      </c>
      <c r="AT176">
        <v>5.92</v>
      </c>
      <c r="AU176" t="s">
        <v>149</v>
      </c>
      <c r="AV176">
        <v>1</v>
      </c>
      <c r="AW176">
        <v>2</v>
      </c>
      <c r="AX176">
        <v>145123999</v>
      </c>
      <c r="AY176">
        <v>1</v>
      </c>
      <c r="AZ176">
        <v>0</v>
      </c>
      <c r="BA176">
        <v>199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CX176">
        <f>ROUND(Y176*Source!I152,9)</f>
        <v>46.975200000000001</v>
      </c>
      <c r="CY176">
        <f>AD176</f>
        <v>326.82</v>
      </c>
      <c r="CZ176">
        <f>AH176</f>
        <v>10.210000000000001</v>
      </c>
      <c r="DA176">
        <f>AL176</f>
        <v>32.01</v>
      </c>
      <c r="DB176">
        <f>ROUND((ROUND(AT176*CZ176,2)*1.15),2)</f>
        <v>69.510000000000005</v>
      </c>
      <c r="DC176">
        <f>ROUND((ROUND(AT176*AG176,2)*1.15),2)</f>
        <v>0</v>
      </c>
      <c r="DD176" t="s">
        <v>3</v>
      </c>
      <c r="DE176" t="s">
        <v>3</v>
      </c>
      <c r="DF176">
        <f t="shared" ref="DF176:DF182" si="80">ROUND(ROUND(AE176,2)*CX176,2)</f>
        <v>0</v>
      </c>
      <c r="DG176">
        <f>ROUND(ROUND(AF176,2)*CX176,2)</f>
        <v>0</v>
      </c>
      <c r="DH176">
        <f>ROUND(ROUND(AG176,2)*CX176,2)</f>
        <v>0</v>
      </c>
      <c r="DI176">
        <f>ROUND(ROUND(AH176*AL176,2)*CX176,2)</f>
        <v>15352.43</v>
      </c>
      <c r="DJ176">
        <f>DI176</f>
        <v>15352.43</v>
      </c>
      <c r="DK176">
        <v>0</v>
      </c>
      <c r="DL176" t="s">
        <v>3</v>
      </c>
      <c r="DM176">
        <v>0</v>
      </c>
      <c r="DN176" t="s">
        <v>3</v>
      </c>
      <c r="DO176">
        <v>0</v>
      </c>
    </row>
    <row r="177" spans="1:119" x14ac:dyDescent="0.2">
      <c r="A177">
        <f>ROW(Source!A152)</f>
        <v>152</v>
      </c>
      <c r="B177">
        <v>145026783</v>
      </c>
      <c r="C177">
        <v>145123995</v>
      </c>
      <c r="D177">
        <v>140755491</v>
      </c>
      <c r="E177">
        <v>70</v>
      </c>
      <c r="F177">
        <v>1</v>
      </c>
      <c r="G177">
        <v>1</v>
      </c>
      <c r="H177">
        <v>1</v>
      </c>
      <c r="I177" t="s">
        <v>609</v>
      </c>
      <c r="J177" t="s">
        <v>3</v>
      </c>
      <c r="K177" t="s">
        <v>610</v>
      </c>
      <c r="L177">
        <v>1191</v>
      </c>
      <c r="N177">
        <v>1013</v>
      </c>
      <c r="O177" t="s">
        <v>608</v>
      </c>
      <c r="P177" t="s">
        <v>608</v>
      </c>
      <c r="Q177">
        <v>1</v>
      </c>
      <c r="W177">
        <v>0</v>
      </c>
      <c r="X177">
        <v>-1417349443</v>
      </c>
      <c r="Y177">
        <f>(AT177*1.25)</f>
        <v>1.2500000000000001E-2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1</v>
      </c>
      <c r="AJ177">
        <v>1</v>
      </c>
      <c r="AK177">
        <v>32.01</v>
      </c>
      <c r="AL177">
        <v>1</v>
      </c>
      <c r="AM177">
        <v>4</v>
      </c>
      <c r="AN177">
        <v>0</v>
      </c>
      <c r="AO177">
        <v>1</v>
      </c>
      <c r="AP177">
        <v>1</v>
      </c>
      <c r="AQ177">
        <v>0</v>
      </c>
      <c r="AR177">
        <v>0</v>
      </c>
      <c r="AS177" t="s">
        <v>3</v>
      </c>
      <c r="AT177">
        <v>0.01</v>
      </c>
      <c r="AU177" t="s">
        <v>148</v>
      </c>
      <c r="AV177">
        <v>2</v>
      </c>
      <c r="AW177">
        <v>2</v>
      </c>
      <c r="AX177">
        <v>145124000</v>
      </c>
      <c r="AY177">
        <v>1</v>
      </c>
      <c r="AZ177">
        <v>0</v>
      </c>
      <c r="BA177">
        <v>200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CX177">
        <f>ROUND(Y177*Source!I152,9)</f>
        <v>8.6249999999999993E-2</v>
      </c>
      <c r="CY177">
        <f>AD177</f>
        <v>0</v>
      </c>
      <c r="CZ177">
        <f>AH177</f>
        <v>0</v>
      </c>
      <c r="DA177">
        <f>AL177</f>
        <v>1</v>
      </c>
      <c r="DB177">
        <f>ROUND((ROUND(AT177*CZ177,2)*1.25),2)</f>
        <v>0</v>
      </c>
      <c r="DC177">
        <f>ROUND((ROUND(AT177*AG177,2)*1.25),2)</f>
        <v>0</v>
      </c>
      <c r="DD177" t="s">
        <v>3</v>
      </c>
      <c r="DE177" t="s">
        <v>3</v>
      </c>
      <c r="DF177">
        <f t="shared" si="80"/>
        <v>0</v>
      </c>
      <c r="DG177">
        <f>ROUND(ROUND(AF177,2)*CX177,2)</f>
        <v>0</v>
      </c>
      <c r="DH177">
        <f>ROUND(ROUND(AG177*AK177,2)*CX177,2)</f>
        <v>0</v>
      </c>
      <c r="DI177">
        <f>ROUND(ROUND(AH177,2)*CX177,2)</f>
        <v>0</v>
      </c>
      <c r="DJ177">
        <f>DI177</f>
        <v>0</v>
      </c>
      <c r="DK177">
        <v>0</v>
      </c>
      <c r="DL177" t="s">
        <v>3</v>
      </c>
      <c r="DM177">
        <v>0</v>
      </c>
      <c r="DN177" t="s">
        <v>3</v>
      </c>
      <c r="DO177">
        <v>0</v>
      </c>
    </row>
    <row r="178" spans="1:119" x14ac:dyDescent="0.2">
      <c r="A178">
        <f>ROW(Source!A152)</f>
        <v>152</v>
      </c>
      <c r="B178">
        <v>145026783</v>
      </c>
      <c r="C178">
        <v>145123995</v>
      </c>
      <c r="D178">
        <v>140923885</v>
      </c>
      <c r="E178">
        <v>1</v>
      </c>
      <c r="F178">
        <v>1</v>
      </c>
      <c r="G178">
        <v>1</v>
      </c>
      <c r="H178">
        <v>2</v>
      </c>
      <c r="I178" t="s">
        <v>668</v>
      </c>
      <c r="J178" t="s">
        <v>669</v>
      </c>
      <c r="K178" t="s">
        <v>670</v>
      </c>
      <c r="L178">
        <v>1367</v>
      </c>
      <c r="N178">
        <v>1011</v>
      </c>
      <c r="O178" t="s">
        <v>614</v>
      </c>
      <c r="P178" t="s">
        <v>614</v>
      </c>
      <c r="Q178">
        <v>1</v>
      </c>
      <c r="W178">
        <v>0</v>
      </c>
      <c r="X178">
        <v>509054691</v>
      </c>
      <c r="Y178">
        <f>(AT178*1.25)</f>
        <v>1.2500000000000001E-2</v>
      </c>
      <c r="AA178">
        <v>0</v>
      </c>
      <c r="AB178">
        <v>817.43</v>
      </c>
      <c r="AC178">
        <v>371.32</v>
      </c>
      <c r="AD178">
        <v>0</v>
      </c>
      <c r="AE178">
        <v>0</v>
      </c>
      <c r="AF178">
        <v>65.709999999999994</v>
      </c>
      <c r="AG178">
        <v>11.6</v>
      </c>
      <c r="AH178">
        <v>0</v>
      </c>
      <c r="AI178">
        <v>1</v>
      </c>
      <c r="AJ178">
        <v>12.44</v>
      </c>
      <c r="AK178">
        <v>32.01</v>
      </c>
      <c r="AL178">
        <v>1</v>
      </c>
      <c r="AM178">
        <v>4</v>
      </c>
      <c r="AN178">
        <v>0</v>
      </c>
      <c r="AO178">
        <v>1</v>
      </c>
      <c r="AP178">
        <v>1</v>
      </c>
      <c r="AQ178">
        <v>0</v>
      </c>
      <c r="AR178">
        <v>0</v>
      </c>
      <c r="AS178" t="s">
        <v>3</v>
      </c>
      <c r="AT178">
        <v>0.01</v>
      </c>
      <c r="AU178" t="s">
        <v>148</v>
      </c>
      <c r="AV178">
        <v>0</v>
      </c>
      <c r="AW178">
        <v>2</v>
      </c>
      <c r="AX178">
        <v>145124001</v>
      </c>
      <c r="AY178">
        <v>1</v>
      </c>
      <c r="AZ178">
        <v>0</v>
      </c>
      <c r="BA178">
        <v>201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CX178">
        <f>ROUND(Y178*Source!I152,9)</f>
        <v>8.6249999999999993E-2</v>
      </c>
      <c r="CY178">
        <f>AB178</f>
        <v>817.43</v>
      </c>
      <c r="CZ178">
        <f>AF178</f>
        <v>65.709999999999994</v>
      </c>
      <c r="DA178">
        <f>AJ178</f>
        <v>12.44</v>
      </c>
      <c r="DB178">
        <f>ROUND((ROUND(AT178*CZ178,2)*1.25),2)</f>
        <v>0.83</v>
      </c>
      <c r="DC178">
        <f>ROUND((ROUND(AT178*AG178,2)*1.25),2)</f>
        <v>0.15</v>
      </c>
      <c r="DD178" t="s">
        <v>3</v>
      </c>
      <c r="DE178" t="s">
        <v>3</v>
      </c>
      <c r="DF178">
        <f t="shared" si="80"/>
        <v>0</v>
      </c>
      <c r="DG178">
        <f>ROUND(ROUND(AF178*AJ178,2)*CX178,2)</f>
        <v>70.5</v>
      </c>
      <c r="DH178">
        <f>ROUND(ROUND(AG178*AK178,2)*CX178,2)</f>
        <v>32.03</v>
      </c>
      <c r="DI178">
        <f>ROUND(ROUND(AH178,2)*CX178,2)</f>
        <v>0</v>
      </c>
      <c r="DJ178">
        <f>DG178</f>
        <v>70.5</v>
      </c>
      <c r="DK178">
        <v>0</v>
      </c>
      <c r="DL178" t="s">
        <v>3</v>
      </c>
      <c r="DM178">
        <v>0</v>
      </c>
      <c r="DN178" t="s">
        <v>3</v>
      </c>
      <c r="DO178">
        <v>0</v>
      </c>
    </row>
    <row r="179" spans="1:119" x14ac:dyDescent="0.2">
      <c r="A179">
        <f>ROW(Source!A153)</f>
        <v>153</v>
      </c>
      <c r="B179">
        <v>145026783</v>
      </c>
      <c r="C179">
        <v>145123000</v>
      </c>
      <c r="D179">
        <v>140760031</v>
      </c>
      <c r="E179">
        <v>70</v>
      </c>
      <c r="F179">
        <v>1</v>
      </c>
      <c r="G179">
        <v>1</v>
      </c>
      <c r="H179">
        <v>1</v>
      </c>
      <c r="I179" t="s">
        <v>606</v>
      </c>
      <c r="J179" t="s">
        <v>3</v>
      </c>
      <c r="K179" t="s">
        <v>607</v>
      </c>
      <c r="L179">
        <v>1191</v>
      </c>
      <c r="N179">
        <v>1013</v>
      </c>
      <c r="O179" t="s">
        <v>608</v>
      </c>
      <c r="P179" t="s">
        <v>608</v>
      </c>
      <c r="Q179">
        <v>1</v>
      </c>
      <c r="W179">
        <v>0</v>
      </c>
      <c r="X179">
        <v>-1111239348</v>
      </c>
      <c r="Y179">
        <f>(AT179*1.15)</f>
        <v>57.47699999999999</v>
      </c>
      <c r="AA179">
        <v>0</v>
      </c>
      <c r="AB179">
        <v>0</v>
      </c>
      <c r="AC179">
        <v>0</v>
      </c>
      <c r="AD179">
        <v>307.94</v>
      </c>
      <c r="AE179">
        <v>0</v>
      </c>
      <c r="AF179">
        <v>0</v>
      </c>
      <c r="AG179">
        <v>0</v>
      </c>
      <c r="AH179">
        <v>9.6199999999999992</v>
      </c>
      <c r="AI179">
        <v>1</v>
      </c>
      <c r="AJ179">
        <v>1</v>
      </c>
      <c r="AK179">
        <v>1</v>
      </c>
      <c r="AL179">
        <v>32.01</v>
      </c>
      <c r="AM179">
        <v>4</v>
      </c>
      <c r="AN179">
        <v>0</v>
      </c>
      <c r="AO179">
        <v>1</v>
      </c>
      <c r="AP179">
        <v>1</v>
      </c>
      <c r="AQ179">
        <v>0</v>
      </c>
      <c r="AR179">
        <v>0</v>
      </c>
      <c r="AS179" t="s">
        <v>3</v>
      </c>
      <c r="AT179">
        <v>49.98</v>
      </c>
      <c r="AU179" t="s">
        <v>149</v>
      </c>
      <c r="AV179">
        <v>1</v>
      </c>
      <c r="AW179">
        <v>2</v>
      </c>
      <c r="AX179">
        <v>145123001</v>
      </c>
      <c r="AY179">
        <v>1</v>
      </c>
      <c r="AZ179">
        <v>0</v>
      </c>
      <c r="BA179">
        <v>202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CX179">
        <f>ROUND(Y179*Source!I153,9)</f>
        <v>85.065960000000004</v>
      </c>
      <c r="CY179">
        <f>AD179</f>
        <v>307.94</v>
      </c>
      <c r="CZ179">
        <f>AH179</f>
        <v>9.6199999999999992</v>
      </c>
      <c r="DA179">
        <f>AL179</f>
        <v>32.01</v>
      </c>
      <c r="DB179">
        <f>ROUND((ROUND(AT179*CZ179,2)*1.15),2)</f>
        <v>552.92999999999995</v>
      </c>
      <c r="DC179">
        <f>ROUND((ROUND(AT179*AG179,2)*1.15),2)</f>
        <v>0</v>
      </c>
      <c r="DD179" t="s">
        <v>3</v>
      </c>
      <c r="DE179" t="s">
        <v>3</v>
      </c>
      <c r="DF179">
        <f t="shared" si="80"/>
        <v>0</v>
      </c>
      <c r="DG179">
        <f>ROUND(ROUND(AF179,2)*CX179,2)</f>
        <v>0</v>
      </c>
      <c r="DH179">
        <f>ROUND(ROUND(AG179,2)*CX179,2)</f>
        <v>0</v>
      </c>
      <c r="DI179">
        <f>ROUND(ROUND(AH179*AL179,2)*CX179,2)</f>
        <v>26195.21</v>
      </c>
      <c r="DJ179">
        <f>DI179</f>
        <v>26195.21</v>
      </c>
      <c r="DK179">
        <v>0</v>
      </c>
      <c r="DL179" t="s">
        <v>3</v>
      </c>
      <c r="DM179">
        <v>0</v>
      </c>
      <c r="DN179" t="s">
        <v>3</v>
      </c>
      <c r="DO179">
        <v>0</v>
      </c>
    </row>
    <row r="180" spans="1:119" x14ac:dyDescent="0.2">
      <c r="A180">
        <f>ROW(Source!A153)</f>
        <v>153</v>
      </c>
      <c r="B180">
        <v>145026783</v>
      </c>
      <c r="C180">
        <v>145123000</v>
      </c>
      <c r="D180">
        <v>140760225</v>
      </c>
      <c r="E180">
        <v>70</v>
      </c>
      <c r="F180">
        <v>1</v>
      </c>
      <c r="G180">
        <v>1</v>
      </c>
      <c r="H180">
        <v>1</v>
      </c>
      <c r="I180" t="s">
        <v>609</v>
      </c>
      <c r="J180" t="s">
        <v>3</v>
      </c>
      <c r="K180" t="s">
        <v>610</v>
      </c>
      <c r="L180">
        <v>1191</v>
      </c>
      <c r="N180">
        <v>1013</v>
      </c>
      <c r="O180" t="s">
        <v>608</v>
      </c>
      <c r="P180" t="s">
        <v>608</v>
      </c>
      <c r="Q180">
        <v>1</v>
      </c>
      <c r="W180">
        <v>0</v>
      </c>
      <c r="X180">
        <v>-1417349443</v>
      </c>
      <c r="Y180">
        <f>(AT180*1.25)</f>
        <v>0.5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1</v>
      </c>
      <c r="AJ180">
        <v>1</v>
      </c>
      <c r="AK180">
        <v>32.01</v>
      </c>
      <c r="AL180">
        <v>1</v>
      </c>
      <c r="AM180">
        <v>4</v>
      </c>
      <c r="AN180">
        <v>0</v>
      </c>
      <c r="AO180">
        <v>1</v>
      </c>
      <c r="AP180">
        <v>1</v>
      </c>
      <c r="AQ180">
        <v>0</v>
      </c>
      <c r="AR180">
        <v>0</v>
      </c>
      <c r="AS180" t="s">
        <v>3</v>
      </c>
      <c r="AT180">
        <v>0.4</v>
      </c>
      <c r="AU180" t="s">
        <v>148</v>
      </c>
      <c r="AV180">
        <v>2</v>
      </c>
      <c r="AW180">
        <v>2</v>
      </c>
      <c r="AX180">
        <v>145123002</v>
      </c>
      <c r="AY180">
        <v>1</v>
      </c>
      <c r="AZ180">
        <v>0</v>
      </c>
      <c r="BA180">
        <v>203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CX180">
        <f>ROUND(Y180*Source!I153,9)</f>
        <v>0.74</v>
      </c>
      <c r="CY180">
        <f>AD180</f>
        <v>0</v>
      </c>
      <c r="CZ180">
        <f>AH180</f>
        <v>0</v>
      </c>
      <c r="DA180">
        <f>AL180</f>
        <v>1</v>
      </c>
      <c r="DB180">
        <f>ROUND((ROUND(AT180*CZ180,2)*1.25),2)</f>
        <v>0</v>
      </c>
      <c r="DC180">
        <f>ROUND((ROUND(AT180*AG180,2)*1.25),2)</f>
        <v>0</v>
      </c>
      <c r="DD180" t="s">
        <v>3</v>
      </c>
      <c r="DE180" t="s">
        <v>3</v>
      </c>
      <c r="DF180">
        <f t="shared" si="80"/>
        <v>0</v>
      </c>
      <c r="DG180">
        <f>ROUND(ROUND(AF180,2)*CX180,2)</f>
        <v>0</v>
      </c>
      <c r="DH180">
        <f>ROUND(ROUND(AG180*AK180,2)*CX180,2)</f>
        <v>0</v>
      </c>
      <c r="DI180">
        <f t="shared" ref="DI180:DI185" si="81">ROUND(ROUND(AH180,2)*CX180,2)</f>
        <v>0</v>
      </c>
      <c r="DJ180">
        <f>DI180</f>
        <v>0</v>
      </c>
      <c r="DK180">
        <v>0</v>
      </c>
      <c r="DL180" t="s">
        <v>3</v>
      </c>
      <c r="DM180">
        <v>0</v>
      </c>
      <c r="DN180" t="s">
        <v>3</v>
      </c>
      <c r="DO180">
        <v>0</v>
      </c>
    </row>
    <row r="181" spans="1:119" x14ac:dyDescent="0.2">
      <c r="A181">
        <f>ROW(Source!A153)</f>
        <v>153</v>
      </c>
      <c r="B181">
        <v>145026783</v>
      </c>
      <c r="C181">
        <v>145123000</v>
      </c>
      <c r="D181">
        <v>140922893</v>
      </c>
      <c r="E181">
        <v>1</v>
      </c>
      <c r="F181">
        <v>1</v>
      </c>
      <c r="G181">
        <v>1</v>
      </c>
      <c r="H181">
        <v>2</v>
      </c>
      <c r="I181" t="s">
        <v>757</v>
      </c>
      <c r="J181" t="s">
        <v>758</v>
      </c>
      <c r="K181" t="s">
        <v>759</v>
      </c>
      <c r="L181">
        <v>1367</v>
      </c>
      <c r="N181">
        <v>1011</v>
      </c>
      <c r="O181" t="s">
        <v>614</v>
      </c>
      <c r="P181" t="s">
        <v>614</v>
      </c>
      <c r="Q181">
        <v>1</v>
      </c>
      <c r="W181">
        <v>0</v>
      </c>
      <c r="X181">
        <v>-130837057</v>
      </c>
      <c r="Y181">
        <f>(AT181*1.25)</f>
        <v>0.05</v>
      </c>
      <c r="AA181">
        <v>0</v>
      </c>
      <c r="AB181">
        <v>1074.82</v>
      </c>
      <c r="AC181">
        <v>432.14</v>
      </c>
      <c r="AD181">
        <v>0</v>
      </c>
      <c r="AE181">
        <v>0</v>
      </c>
      <c r="AF181">
        <v>86.4</v>
      </c>
      <c r="AG181">
        <v>13.5</v>
      </c>
      <c r="AH181">
        <v>0</v>
      </c>
      <c r="AI181">
        <v>1</v>
      </c>
      <c r="AJ181">
        <v>12.44</v>
      </c>
      <c r="AK181">
        <v>32.01</v>
      </c>
      <c r="AL181">
        <v>1</v>
      </c>
      <c r="AM181">
        <v>4</v>
      </c>
      <c r="AN181">
        <v>0</v>
      </c>
      <c r="AO181">
        <v>1</v>
      </c>
      <c r="AP181">
        <v>1</v>
      </c>
      <c r="AQ181">
        <v>0</v>
      </c>
      <c r="AR181">
        <v>0</v>
      </c>
      <c r="AS181" t="s">
        <v>3</v>
      </c>
      <c r="AT181">
        <v>0.04</v>
      </c>
      <c r="AU181" t="s">
        <v>148</v>
      </c>
      <c r="AV181">
        <v>0</v>
      </c>
      <c r="AW181">
        <v>2</v>
      </c>
      <c r="AX181">
        <v>145123003</v>
      </c>
      <c r="AY181">
        <v>1</v>
      </c>
      <c r="AZ181">
        <v>0</v>
      </c>
      <c r="BA181">
        <v>204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CX181">
        <f>ROUND(Y181*Source!I153,9)</f>
        <v>7.3999999999999996E-2</v>
      </c>
      <c r="CY181">
        <f>AB181</f>
        <v>1074.82</v>
      </c>
      <c r="CZ181">
        <f>AF181</f>
        <v>86.4</v>
      </c>
      <c r="DA181">
        <f>AJ181</f>
        <v>12.44</v>
      </c>
      <c r="DB181">
        <f>ROUND((ROUND(AT181*CZ181,2)*1.25),2)</f>
        <v>4.33</v>
      </c>
      <c r="DC181">
        <f>ROUND((ROUND(AT181*AG181,2)*1.25),2)</f>
        <v>0.68</v>
      </c>
      <c r="DD181" t="s">
        <v>3</v>
      </c>
      <c r="DE181" t="s">
        <v>3</v>
      </c>
      <c r="DF181">
        <f t="shared" si="80"/>
        <v>0</v>
      </c>
      <c r="DG181">
        <f>ROUND(ROUND(AF181*AJ181,2)*CX181,2)</f>
        <v>79.540000000000006</v>
      </c>
      <c r="DH181">
        <f>ROUND(ROUND(AG181*AK181,2)*CX181,2)</f>
        <v>31.98</v>
      </c>
      <c r="DI181">
        <f t="shared" si="81"/>
        <v>0</v>
      </c>
      <c r="DJ181">
        <f>DG181</f>
        <v>79.540000000000006</v>
      </c>
      <c r="DK181">
        <v>0</v>
      </c>
      <c r="DL181" t="s">
        <v>3</v>
      </c>
      <c r="DM181">
        <v>0</v>
      </c>
      <c r="DN181" t="s">
        <v>3</v>
      </c>
      <c r="DO181">
        <v>0</v>
      </c>
    </row>
    <row r="182" spans="1:119" x14ac:dyDescent="0.2">
      <c r="A182">
        <f>ROW(Source!A153)</f>
        <v>153</v>
      </c>
      <c r="B182">
        <v>145026783</v>
      </c>
      <c r="C182">
        <v>145123000</v>
      </c>
      <c r="D182">
        <v>140923885</v>
      </c>
      <c r="E182">
        <v>1</v>
      </c>
      <c r="F182">
        <v>1</v>
      </c>
      <c r="G182">
        <v>1</v>
      </c>
      <c r="H182">
        <v>2</v>
      </c>
      <c r="I182" t="s">
        <v>668</v>
      </c>
      <c r="J182" t="s">
        <v>669</v>
      </c>
      <c r="K182" t="s">
        <v>670</v>
      </c>
      <c r="L182">
        <v>1367</v>
      </c>
      <c r="N182">
        <v>1011</v>
      </c>
      <c r="O182" t="s">
        <v>614</v>
      </c>
      <c r="P182" t="s">
        <v>614</v>
      </c>
      <c r="Q182">
        <v>1</v>
      </c>
      <c r="W182">
        <v>0</v>
      </c>
      <c r="X182">
        <v>509054691</v>
      </c>
      <c r="Y182">
        <f>(AT182*1.25)</f>
        <v>0.45124999999999998</v>
      </c>
      <c r="AA182">
        <v>0</v>
      </c>
      <c r="AB182">
        <v>817.43</v>
      </c>
      <c r="AC182">
        <v>371.32</v>
      </c>
      <c r="AD182">
        <v>0</v>
      </c>
      <c r="AE182">
        <v>0</v>
      </c>
      <c r="AF182">
        <v>65.709999999999994</v>
      </c>
      <c r="AG182">
        <v>11.6</v>
      </c>
      <c r="AH182">
        <v>0</v>
      </c>
      <c r="AI182">
        <v>1</v>
      </c>
      <c r="AJ182">
        <v>12.44</v>
      </c>
      <c r="AK182">
        <v>32.01</v>
      </c>
      <c r="AL182">
        <v>1</v>
      </c>
      <c r="AM182">
        <v>4</v>
      </c>
      <c r="AN182">
        <v>0</v>
      </c>
      <c r="AO182">
        <v>1</v>
      </c>
      <c r="AP182">
        <v>1</v>
      </c>
      <c r="AQ182">
        <v>0</v>
      </c>
      <c r="AR182">
        <v>0</v>
      </c>
      <c r="AS182" t="s">
        <v>3</v>
      </c>
      <c r="AT182">
        <v>0.36099999999999999</v>
      </c>
      <c r="AU182" t="s">
        <v>148</v>
      </c>
      <c r="AV182">
        <v>0</v>
      </c>
      <c r="AW182">
        <v>2</v>
      </c>
      <c r="AX182">
        <v>145123004</v>
      </c>
      <c r="AY182">
        <v>1</v>
      </c>
      <c r="AZ182">
        <v>0</v>
      </c>
      <c r="BA182">
        <v>205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CX182">
        <f>ROUND(Y182*Source!I153,9)</f>
        <v>0.66785000000000005</v>
      </c>
      <c r="CY182">
        <f>AB182</f>
        <v>817.43</v>
      </c>
      <c r="CZ182">
        <f>AF182</f>
        <v>65.709999999999994</v>
      </c>
      <c r="DA182">
        <f>AJ182</f>
        <v>12.44</v>
      </c>
      <c r="DB182">
        <f>ROUND((ROUND(AT182*CZ182,2)*1.25),2)</f>
        <v>29.65</v>
      </c>
      <c r="DC182">
        <f>ROUND((ROUND(AT182*AG182,2)*1.25),2)</f>
        <v>5.24</v>
      </c>
      <c r="DD182" t="s">
        <v>3</v>
      </c>
      <c r="DE182" t="s">
        <v>3</v>
      </c>
      <c r="DF182">
        <f t="shared" si="80"/>
        <v>0</v>
      </c>
      <c r="DG182">
        <f>ROUND(ROUND(AF182*AJ182,2)*CX182,2)</f>
        <v>545.91999999999996</v>
      </c>
      <c r="DH182">
        <f>ROUND(ROUND(AG182*AK182,2)*CX182,2)</f>
        <v>247.99</v>
      </c>
      <c r="DI182">
        <f t="shared" si="81"/>
        <v>0</v>
      </c>
      <c r="DJ182">
        <f>DG182</f>
        <v>545.91999999999996</v>
      </c>
      <c r="DK182">
        <v>0</v>
      </c>
      <c r="DL182" t="s">
        <v>3</v>
      </c>
      <c r="DM182">
        <v>0</v>
      </c>
      <c r="DN182" t="s">
        <v>3</v>
      </c>
      <c r="DO182">
        <v>0</v>
      </c>
    </row>
    <row r="183" spans="1:119" x14ac:dyDescent="0.2">
      <c r="A183">
        <f>ROW(Source!A153)</f>
        <v>153</v>
      </c>
      <c r="B183">
        <v>145026783</v>
      </c>
      <c r="C183">
        <v>145123000</v>
      </c>
      <c r="D183">
        <v>140772680</v>
      </c>
      <c r="E183">
        <v>1</v>
      </c>
      <c r="F183">
        <v>1</v>
      </c>
      <c r="G183">
        <v>1</v>
      </c>
      <c r="H183">
        <v>3</v>
      </c>
      <c r="I183" t="s">
        <v>635</v>
      </c>
      <c r="J183" t="s">
        <v>636</v>
      </c>
      <c r="K183" t="s">
        <v>637</v>
      </c>
      <c r="L183">
        <v>1339</v>
      </c>
      <c r="N183">
        <v>1007</v>
      </c>
      <c r="O183" t="s">
        <v>638</v>
      </c>
      <c r="P183" t="s">
        <v>638</v>
      </c>
      <c r="Q183">
        <v>1</v>
      </c>
      <c r="W183">
        <v>0</v>
      </c>
      <c r="X183">
        <v>-143474561</v>
      </c>
      <c r="Y183">
        <f>AT183</f>
        <v>0.8</v>
      </c>
      <c r="AA183">
        <v>21.72</v>
      </c>
      <c r="AB183">
        <v>0</v>
      </c>
      <c r="AC183">
        <v>0</v>
      </c>
      <c r="AD183">
        <v>0</v>
      </c>
      <c r="AE183">
        <v>2.44</v>
      </c>
      <c r="AF183">
        <v>0</v>
      </c>
      <c r="AG183">
        <v>0</v>
      </c>
      <c r="AH183">
        <v>0</v>
      </c>
      <c r="AI183">
        <v>8.9</v>
      </c>
      <c r="AJ183">
        <v>1</v>
      </c>
      <c r="AK183">
        <v>1</v>
      </c>
      <c r="AL183">
        <v>1</v>
      </c>
      <c r="AM183">
        <v>4</v>
      </c>
      <c r="AN183">
        <v>0</v>
      </c>
      <c r="AO183">
        <v>1</v>
      </c>
      <c r="AP183">
        <v>1</v>
      </c>
      <c r="AQ183">
        <v>0</v>
      </c>
      <c r="AR183">
        <v>0</v>
      </c>
      <c r="AS183" t="s">
        <v>3</v>
      </c>
      <c r="AT183">
        <v>0.8</v>
      </c>
      <c r="AU183" t="s">
        <v>3</v>
      </c>
      <c r="AV183">
        <v>0</v>
      </c>
      <c r="AW183">
        <v>2</v>
      </c>
      <c r="AX183">
        <v>145123005</v>
      </c>
      <c r="AY183">
        <v>1</v>
      </c>
      <c r="AZ183">
        <v>0</v>
      </c>
      <c r="BA183">
        <v>206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CX183">
        <f>ROUND(Y183*Source!I153,9)</f>
        <v>1.1839999999999999</v>
      </c>
      <c r="CY183">
        <f>AA183</f>
        <v>21.72</v>
      </c>
      <c r="CZ183">
        <f>AE183</f>
        <v>2.44</v>
      </c>
      <c r="DA183">
        <f>AI183</f>
        <v>8.9</v>
      </c>
      <c r="DB183">
        <f>ROUND(ROUND(AT183*CZ183,2),2)</f>
        <v>1.95</v>
      </c>
      <c r="DC183">
        <f>ROUND(ROUND(AT183*AG183,2),2)</f>
        <v>0</v>
      </c>
      <c r="DD183" t="s">
        <v>3</v>
      </c>
      <c r="DE183" t="s">
        <v>3</v>
      </c>
      <c r="DF183">
        <f>ROUND(ROUND(AE183*AI183,2)*CX183,2)</f>
        <v>25.72</v>
      </c>
      <c r="DG183">
        <f>ROUND(ROUND(AF183,2)*CX183,2)</f>
        <v>0</v>
      </c>
      <c r="DH183">
        <f>ROUND(ROUND(AG183,2)*CX183,2)</f>
        <v>0</v>
      </c>
      <c r="DI183">
        <f t="shared" si="81"/>
        <v>0</v>
      </c>
      <c r="DJ183">
        <f>DF183</f>
        <v>25.72</v>
      </c>
      <c r="DK183">
        <v>0</v>
      </c>
      <c r="DL183" t="s">
        <v>3</v>
      </c>
      <c r="DM183">
        <v>0</v>
      </c>
      <c r="DN183" t="s">
        <v>3</v>
      </c>
      <c r="DO183">
        <v>0</v>
      </c>
    </row>
    <row r="184" spans="1:119" x14ac:dyDescent="0.2">
      <c r="A184">
        <f>ROW(Source!A153)</f>
        <v>153</v>
      </c>
      <c r="B184">
        <v>145026783</v>
      </c>
      <c r="C184">
        <v>145123000</v>
      </c>
      <c r="D184">
        <v>140777281</v>
      </c>
      <c r="E184">
        <v>1</v>
      </c>
      <c r="F184">
        <v>1</v>
      </c>
      <c r="G184">
        <v>1</v>
      </c>
      <c r="H184">
        <v>3</v>
      </c>
      <c r="I184" t="s">
        <v>760</v>
      </c>
      <c r="J184" t="s">
        <v>761</v>
      </c>
      <c r="K184" t="s">
        <v>762</v>
      </c>
      <c r="L184">
        <v>1346</v>
      </c>
      <c r="N184">
        <v>1009</v>
      </c>
      <c r="O184" t="s">
        <v>154</v>
      </c>
      <c r="P184" t="s">
        <v>154</v>
      </c>
      <c r="Q184">
        <v>1</v>
      </c>
      <c r="W184">
        <v>0</v>
      </c>
      <c r="X184">
        <v>30735328</v>
      </c>
      <c r="Y184">
        <f>AT184</f>
        <v>2.8E-3</v>
      </c>
      <c r="AA184">
        <v>19.14</v>
      </c>
      <c r="AB184">
        <v>0</v>
      </c>
      <c r="AC184">
        <v>0</v>
      </c>
      <c r="AD184">
        <v>0</v>
      </c>
      <c r="AE184">
        <v>2.15</v>
      </c>
      <c r="AF184">
        <v>0</v>
      </c>
      <c r="AG184">
        <v>0</v>
      </c>
      <c r="AH184">
        <v>0</v>
      </c>
      <c r="AI184">
        <v>8.9</v>
      </c>
      <c r="AJ184">
        <v>1</v>
      </c>
      <c r="AK184">
        <v>1</v>
      </c>
      <c r="AL184">
        <v>1</v>
      </c>
      <c r="AM184">
        <v>4</v>
      </c>
      <c r="AN184">
        <v>0</v>
      </c>
      <c r="AO184">
        <v>1</v>
      </c>
      <c r="AP184">
        <v>1</v>
      </c>
      <c r="AQ184">
        <v>0</v>
      </c>
      <c r="AR184">
        <v>0</v>
      </c>
      <c r="AS184" t="s">
        <v>3</v>
      </c>
      <c r="AT184">
        <v>2.8E-3</v>
      </c>
      <c r="AU184" t="s">
        <v>3</v>
      </c>
      <c r="AV184">
        <v>0</v>
      </c>
      <c r="AW184">
        <v>2</v>
      </c>
      <c r="AX184">
        <v>145123006</v>
      </c>
      <c r="AY184">
        <v>1</v>
      </c>
      <c r="AZ184">
        <v>0</v>
      </c>
      <c r="BA184">
        <v>207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CX184">
        <f>ROUND(Y184*Source!I153,9)</f>
        <v>4.1440000000000001E-3</v>
      </c>
      <c r="CY184">
        <f>AA184</f>
        <v>19.14</v>
      </c>
      <c r="CZ184">
        <f>AE184</f>
        <v>2.15</v>
      </c>
      <c r="DA184">
        <f>AI184</f>
        <v>8.9</v>
      </c>
      <c r="DB184">
        <f>ROUND(ROUND(AT184*CZ184,2),2)</f>
        <v>0.01</v>
      </c>
      <c r="DC184">
        <f>ROUND(ROUND(AT184*AG184,2),2)</f>
        <v>0</v>
      </c>
      <c r="DD184" t="s">
        <v>3</v>
      </c>
      <c r="DE184" t="s">
        <v>3</v>
      </c>
      <c r="DF184">
        <f>ROUND(ROUND(AE184*AI184,2)*CX184,2)</f>
        <v>0.08</v>
      </c>
      <c r="DG184">
        <f>ROUND(ROUND(AF184,2)*CX184,2)</f>
        <v>0</v>
      </c>
      <c r="DH184">
        <f>ROUND(ROUND(AG184,2)*CX184,2)</f>
        <v>0</v>
      </c>
      <c r="DI184">
        <f t="shared" si="81"/>
        <v>0</v>
      </c>
      <c r="DJ184">
        <f>DF184</f>
        <v>0.08</v>
      </c>
      <c r="DK184">
        <v>0</v>
      </c>
      <c r="DL184" t="s">
        <v>3</v>
      </c>
      <c r="DM184">
        <v>0</v>
      </c>
      <c r="DN184" t="s">
        <v>3</v>
      </c>
      <c r="DO184">
        <v>0</v>
      </c>
    </row>
    <row r="185" spans="1:119" x14ac:dyDescent="0.2">
      <c r="A185">
        <f>ROW(Source!A153)</f>
        <v>153</v>
      </c>
      <c r="B185">
        <v>145026783</v>
      </c>
      <c r="C185">
        <v>145123000</v>
      </c>
      <c r="D185">
        <v>140813341</v>
      </c>
      <c r="E185">
        <v>1</v>
      </c>
      <c r="F185">
        <v>1</v>
      </c>
      <c r="G185">
        <v>1</v>
      </c>
      <c r="H185">
        <v>3</v>
      </c>
      <c r="I185" t="s">
        <v>763</v>
      </c>
      <c r="J185" t="s">
        <v>764</v>
      </c>
      <c r="K185" t="s">
        <v>765</v>
      </c>
      <c r="L185">
        <v>1301</v>
      </c>
      <c r="N185">
        <v>1003</v>
      </c>
      <c r="O185" t="s">
        <v>191</v>
      </c>
      <c r="P185" t="s">
        <v>191</v>
      </c>
      <c r="Q185">
        <v>1</v>
      </c>
      <c r="W185">
        <v>0</v>
      </c>
      <c r="X185">
        <v>1126017541</v>
      </c>
      <c r="Y185">
        <f>AT185</f>
        <v>8.25</v>
      </c>
      <c r="AA185">
        <v>84.55</v>
      </c>
      <c r="AB185">
        <v>0</v>
      </c>
      <c r="AC185">
        <v>0</v>
      </c>
      <c r="AD185">
        <v>0</v>
      </c>
      <c r="AE185">
        <v>9.5</v>
      </c>
      <c r="AF185">
        <v>0</v>
      </c>
      <c r="AG185">
        <v>0</v>
      </c>
      <c r="AH185">
        <v>0</v>
      </c>
      <c r="AI185">
        <v>8.9</v>
      </c>
      <c r="AJ185">
        <v>1</v>
      </c>
      <c r="AK185">
        <v>1</v>
      </c>
      <c r="AL185">
        <v>1</v>
      </c>
      <c r="AM185">
        <v>4</v>
      </c>
      <c r="AN185">
        <v>0</v>
      </c>
      <c r="AO185">
        <v>1</v>
      </c>
      <c r="AP185">
        <v>1</v>
      </c>
      <c r="AQ185">
        <v>0</v>
      </c>
      <c r="AR185">
        <v>0</v>
      </c>
      <c r="AS185" t="s">
        <v>3</v>
      </c>
      <c r="AT185">
        <v>8.25</v>
      </c>
      <c r="AU185" t="s">
        <v>3</v>
      </c>
      <c r="AV185">
        <v>0</v>
      </c>
      <c r="AW185">
        <v>2</v>
      </c>
      <c r="AX185">
        <v>145123008</v>
      </c>
      <c r="AY185">
        <v>1</v>
      </c>
      <c r="AZ185">
        <v>0</v>
      </c>
      <c r="BA185">
        <v>209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CX185">
        <f>ROUND(Y185*Source!I153,9)</f>
        <v>12.21</v>
      </c>
      <c r="CY185">
        <f>AA185</f>
        <v>84.55</v>
      </c>
      <c r="CZ185">
        <f>AE185</f>
        <v>9.5</v>
      </c>
      <c r="DA185">
        <f>AI185</f>
        <v>8.9</v>
      </c>
      <c r="DB185">
        <f>ROUND(ROUND(AT185*CZ185,2),2)</f>
        <v>78.38</v>
      </c>
      <c r="DC185">
        <f>ROUND(ROUND(AT185*AG185,2),2)</f>
        <v>0</v>
      </c>
      <c r="DD185" t="s">
        <v>3</v>
      </c>
      <c r="DE185" t="s">
        <v>3</v>
      </c>
      <c r="DF185">
        <f>ROUND(ROUND(AE185*AI185,2)*CX185,2)</f>
        <v>1032.3599999999999</v>
      </c>
      <c r="DG185">
        <f>ROUND(ROUND(AF185,2)*CX185,2)</f>
        <v>0</v>
      </c>
      <c r="DH185">
        <f>ROUND(ROUND(AG185,2)*CX185,2)</f>
        <v>0</v>
      </c>
      <c r="DI185">
        <f t="shared" si="81"/>
        <v>0</v>
      </c>
      <c r="DJ185">
        <f>DF185</f>
        <v>1032.3599999999999</v>
      </c>
      <c r="DK185">
        <v>0</v>
      </c>
      <c r="DL185" t="s">
        <v>3</v>
      </c>
      <c r="DM185">
        <v>0</v>
      </c>
      <c r="DN185" t="s">
        <v>3</v>
      </c>
      <c r="DO185">
        <v>0</v>
      </c>
    </row>
    <row r="186" spans="1:119" x14ac:dyDescent="0.2">
      <c r="A186">
        <f>ROW(Source!A154)</f>
        <v>154</v>
      </c>
      <c r="B186">
        <v>145026783</v>
      </c>
      <c r="C186">
        <v>145123993</v>
      </c>
      <c r="D186">
        <v>140760051</v>
      </c>
      <c r="E186">
        <v>70</v>
      </c>
      <c r="F186">
        <v>1</v>
      </c>
      <c r="G186">
        <v>1</v>
      </c>
      <c r="H186">
        <v>1</v>
      </c>
      <c r="I186" t="s">
        <v>766</v>
      </c>
      <c r="J186" t="s">
        <v>3</v>
      </c>
      <c r="K186" t="s">
        <v>767</v>
      </c>
      <c r="L186">
        <v>1191</v>
      </c>
      <c r="N186">
        <v>1013</v>
      </c>
      <c r="O186" t="s">
        <v>608</v>
      </c>
      <c r="P186" t="s">
        <v>608</v>
      </c>
      <c r="Q186">
        <v>1</v>
      </c>
      <c r="W186">
        <v>0</v>
      </c>
      <c r="X186">
        <v>-632984526</v>
      </c>
      <c r="Y186">
        <f>(AT186*1.15)</f>
        <v>3.2889999999999997</v>
      </c>
      <c r="AA186">
        <v>0</v>
      </c>
      <c r="AB186">
        <v>0</v>
      </c>
      <c r="AC186">
        <v>0</v>
      </c>
      <c r="AD186">
        <v>326.82</v>
      </c>
      <c r="AE186">
        <v>0</v>
      </c>
      <c r="AF186">
        <v>0</v>
      </c>
      <c r="AG186">
        <v>0</v>
      </c>
      <c r="AH186">
        <v>10.210000000000001</v>
      </c>
      <c r="AI186">
        <v>1</v>
      </c>
      <c r="AJ186">
        <v>1</v>
      </c>
      <c r="AK186">
        <v>1</v>
      </c>
      <c r="AL186">
        <v>32.01</v>
      </c>
      <c r="AM186">
        <v>4</v>
      </c>
      <c r="AN186">
        <v>0</v>
      </c>
      <c r="AO186">
        <v>1</v>
      </c>
      <c r="AP186">
        <v>1</v>
      </c>
      <c r="AQ186">
        <v>0</v>
      </c>
      <c r="AR186">
        <v>0</v>
      </c>
      <c r="AS186" t="s">
        <v>3</v>
      </c>
      <c r="AT186">
        <v>2.86</v>
      </c>
      <c r="AU186" t="s">
        <v>149</v>
      </c>
      <c r="AV186">
        <v>1</v>
      </c>
      <c r="AW186">
        <v>2</v>
      </c>
      <c r="AX186">
        <v>145123994</v>
      </c>
      <c r="AY186">
        <v>1</v>
      </c>
      <c r="AZ186">
        <v>0</v>
      </c>
      <c r="BA186">
        <v>213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CX186">
        <f>ROUND(Y186*Source!I154,9)</f>
        <v>19.339320000000001</v>
      </c>
      <c r="CY186">
        <f>AD186</f>
        <v>326.82</v>
      </c>
      <c r="CZ186">
        <f>AH186</f>
        <v>10.210000000000001</v>
      </c>
      <c r="DA186">
        <f>AL186</f>
        <v>32.01</v>
      </c>
      <c r="DB186">
        <f>ROUND((ROUND(AT186*CZ186,2)*1.15),2)</f>
        <v>33.58</v>
      </c>
      <c r="DC186">
        <f>ROUND((ROUND(AT186*AG186,2)*1.15),2)</f>
        <v>0</v>
      </c>
      <c r="DD186" t="s">
        <v>3</v>
      </c>
      <c r="DE186" t="s">
        <v>3</v>
      </c>
      <c r="DF186">
        <f>ROUND(ROUND(AE186,2)*CX186,2)</f>
        <v>0</v>
      </c>
      <c r="DG186">
        <f>ROUND(ROUND(AF186,2)*CX186,2)</f>
        <v>0</v>
      </c>
      <c r="DH186">
        <f>ROUND(ROUND(AG186,2)*CX186,2)</f>
        <v>0</v>
      </c>
      <c r="DI186">
        <f>ROUND(ROUND(AH186*AL186,2)*CX186,2)</f>
        <v>6320.48</v>
      </c>
      <c r="DJ186">
        <f>DI186</f>
        <v>6320.48</v>
      </c>
      <c r="DK186">
        <v>0</v>
      </c>
      <c r="DL186" t="s">
        <v>3</v>
      </c>
      <c r="DM186">
        <v>0</v>
      </c>
      <c r="DN186" t="s">
        <v>3</v>
      </c>
      <c r="DO186">
        <v>0</v>
      </c>
    </row>
    <row r="187" spans="1:119" x14ac:dyDescent="0.2">
      <c r="A187">
        <f>ROW(Source!A159)</f>
        <v>159</v>
      </c>
      <c r="B187">
        <v>145026783</v>
      </c>
      <c r="C187">
        <v>145123254</v>
      </c>
      <c r="D187">
        <v>140755456</v>
      </c>
      <c r="E187">
        <v>70</v>
      </c>
      <c r="F187">
        <v>1</v>
      </c>
      <c r="G187">
        <v>1</v>
      </c>
      <c r="H187">
        <v>1</v>
      </c>
      <c r="I187" t="s">
        <v>768</v>
      </c>
      <c r="J187" t="s">
        <v>3</v>
      </c>
      <c r="K187" t="s">
        <v>769</v>
      </c>
      <c r="L187">
        <v>1191</v>
      </c>
      <c r="N187">
        <v>1013</v>
      </c>
      <c r="O187" t="s">
        <v>608</v>
      </c>
      <c r="P187" t="s">
        <v>608</v>
      </c>
      <c r="Q187">
        <v>1</v>
      </c>
      <c r="W187">
        <v>0</v>
      </c>
      <c r="X187">
        <v>496079349</v>
      </c>
      <c r="Y187">
        <f>(AT187*1.15)</f>
        <v>5.761499999999999</v>
      </c>
      <c r="AA187">
        <v>0</v>
      </c>
      <c r="AB187">
        <v>0</v>
      </c>
      <c r="AC187">
        <v>0</v>
      </c>
      <c r="AD187">
        <v>372.6</v>
      </c>
      <c r="AE187">
        <v>0</v>
      </c>
      <c r="AF187">
        <v>0</v>
      </c>
      <c r="AG187">
        <v>0</v>
      </c>
      <c r="AH187">
        <v>11.64</v>
      </c>
      <c r="AI187">
        <v>1</v>
      </c>
      <c r="AJ187">
        <v>1</v>
      </c>
      <c r="AK187">
        <v>1</v>
      </c>
      <c r="AL187">
        <v>32.01</v>
      </c>
      <c r="AM187">
        <v>4</v>
      </c>
      <c r="AN187">
        <v>0</v>
      </c>
      <c r="AO187">
        <v>1</v>
      </c>
      <c r="AP187">
        <v>1</v>
      </c>
      <c r="AQ187">
        <v>0</v>
      </c>
      <c r="AR187">
        <v>0</v>
      </c>
      <c r="AS187" t="s">
        <v>3</v>
      </c>
      <c r="AT187">
        <v>5.01</v>
      </c>
      <c r="AU187" t="s">
        <v>149</v>
      </c>
      <c r="AV187">
        <v>1</v>
      </c>
      <c r="AW187">
        <v>2</v>
      </c>
      <c r="AX187">
        <v>145123261</v>
      </c>
      <c r="AY187">
        <v>1</v>
      </c>
      <c r="AZ187">
        <v>0</v>
      </c>
      <c r="BA187">
        <v>214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CX187">
        <f>ROUND(Y187*Source!I159,9)</f>
        <v>41.943719999999999</v>
      </c>
      <c r="CY187">
        <f>AD187</f>
        <v>372.6</v>
      </c>
      <c r="CZ187">
        <f>AH187</f>
        <v>11.64</v>
      </c>
      <c r="DA187">
        <f>AL187</f>
        <v>32.01</v>
      </c>
      <c r="DB187">
        <f>ROUND((ROUND(AT187*CZ187,2)*1.15),2)</f>
        <v>67.069999999999993</v>
      </c>
      <c r="DC187">
        <f>ROUND((ROUND(AT187*AG187,2)*1.15),2)</f>
        <v>0</v>
      </c>
      <c r="DD187" t="s">
        <v>3</v>
      </c>
      <c r="DE187" t="s">
        <v>3</v>
      </c>
      <c r="DF187">
        <f>ROUND(ROUND(AE187,2)*CX187,2)</f>
        <v>0</v>
      </c>
      <c r="DG187">
        <f>ROUND(ROUND(AF187,2)*CX187,2)</f>
        <v>0</v>
      </c>
      <c r="DH187">
        <f>ROUND(ROUND(AG187,2)*CX187,2)</f>
        <v>0</v>
      </c>
      <c r="DI187">
        <f>ROUND(ROUND(AH187*AL187,2)*CX187,2)</f>
        <v>15628.23</v>
      </c>
      <c r="DJ187">
        <f>DI187</f>
        <v>15628.23</v>
      </c>
      <c r="DK187">
        <v>0</v>
      </c>
      <c r="DL187" t="s">
        <v>3</v>
      </c>
      <c r="DM187">
        <v>0</v>
      </c>
      <c r="DN187" t="s">
        <v>3</v>
      </c>
      <c r="DO187">
        <v>0</v>
      </c>
    </row>
    <row r="188" spans="1:119" x14ac:dyDescent="0.2">
      <c r="A188">
        <f>ROW(Source!A159)</f>
        <v>159</v>
      </c>
      <c r="B188">
        <v>145026783</v>
      </c>
      <c r="C188">
        <v>145123254</v>
      </c>
      <c r="D188">
        <v>140923689</v>
      </c>
      <c r="E188">
        <v>1</v>
      </c>
      <c r="F188">
        <v>1</v>
      </c>
      <c r="G188">
        <v>1</v>
      </c>
      <c r="H188">
        <v>2</v>
      </c>
      <c r="I188" t="s">
        <v>770</v>
      </c>
      <c r="J188" t="s">
        <v>771</v>
      </c>
      <c r="K188" t="s">
        <v>772</v>
      </c>
      <c r="L188">
        <v>1367</v>
      </c>
      <c r="N188">
        <v>1011</v>
      </c>
      <c r="O188" t="s">
        <v>614</v>
      </c>
      <c r="P188" t="s">
        <v>614</v>
      </c>
      <c r="Q188">
        <v>1</v>
      </c>
      <c r="W188">
        <v>0</v>
      </c>
      <c r="X188">
        <v>-1049284970</v>
      </c>
      <c r="Y188">
        <f>(AT188*1.25)</f>
        <v>1.875</v>
      </c>
      <c r="AA188">
        <v>0</v>
      </c>
      <c r="AB188">
        <v>369.09</v>
      </c>
      <c r="AC188">
        <v>0</v>
      </c>
      <c r="AD188">
        <v>0</v>
      </c>
      <c r="AE188">
        <v>0</v>
      </c>
      <c r="AF188">
        <v>29.67</v>
      </c>
      <c r="AG188">
        <v>0</v>
      </c>
      <c r="AH188">
        <v>0</v>
      </c>
      <c r="AI188">
        <v>1</v>
      </c>
      <c r="AJ188">
        <v>12.44</v>
      </c>
      <c r="AK188">
        <v>32.01</v>
      </c>
      <c r="AL188">
        <v>1</v>
      </c>
      <c r="AM188">
        <v>4</v>
      </c>
      <c r="AN188">
        <v>0</v>
      </c>
      <c r="AO188">
        <v>1</v>
      </c>
      <c r="AP188">
        <v>1</v>
      </c>
      <c r="AQ188">
        <v>0</v>
      </c>
      <c r="AR188">
        <v>0</v>
      </c>
      <c r="AS188" t="s">
        <v>3</v>
      </c>
      <c r="AT188">
        <v>1.5</v>
      </c>
      <c r="AU188" t="s">
        <v>148</v>
      </c>
      <c r="AV188">
        <v>0</v>
      </c>
      <c r="AW188">
        <v>2</v>
      </c>
      <c r="AX188">
        <v>145123262</v>
      </c>
      <c r="AY188">
        <v>1</v>
      </c>
      <c r="AZ188">
        <v>0</v>
      </c>
      <c r="BA188">
        <v>215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CX188">
        <f>ROUND(Y188*Source!I159,9)</f>
        <v>13.65</v>
      </c>
      <c r="CY188">
        <f>AB188</f>
        <v>369.09</v>
      </c>
      <c r="CZ188">
        <f>AF188</f>
        <v>29.67</v>
      </c>
      <c r="DA188">
        <f>AJ188</f>
        <v>12.44</v>
      </c>
      <c r="DB188">
        <f>ROUND((ROUND(AT188*CZ188,2)*1.25),2)</f>
        <v>55.64</v>
      </c>
      <c r="DC188">
        <f>ROUND((ROUND(AT188*AG188,2)*1.25),2)</f>
        <v>0</v>
      </c>
      <c r="DD188" t="s">
        <v>3</v>
      </c>
      <c r="DE188" t="s">
        <v>3</v>
      </c>
      <c r="DF188">
        <f>ROUND(ROUND(AE188,2)*CX188,2)</f>
        <v>0</v>
      </c>
      <c r="DG188">
        <f>ROUND(ROUND(AF188*AJ188,2)*CX188,2)</f>
        <v>5038.08</v>
      </c>
      <c r="DH188">
        <f>ROUND(ROUND(AG188*AK188,2)*CX188,2)</f>
        <v>0</v>
      </c>
      <c r="DI188">
        <f>ROUND(ROUND(AH188,2)*CX188,2)</f>
        <v>0</v>
      </c>
      <c r="DJ188">
        <f>DG188</f>
        <v>5038.08</v>
      </c>
      <c r="DK188">
        <v>0</v>
      </c>
      <c r="DL188" t="s">
        <v>3</v>
      </c>
      <c r="DM188">
        <v>0</v>
      </c>
      <c r="DN188" t="s">
        <v>3</v>
      </c>
      <c r="DO188">
        <v>0</v>
      </c>
    </row>
    <row r="189" spans="1:119" x14ac:dyDescent="0.2">
      <c r="A189">
        <f>ROW(Source!A159)</f>
        <v>159</v>
      </c>
      <c r="B189">
        <v>145026783</v>
      </c>
      <c r="C189">
        <v>145123254</v>
      </c>
      <c r="D189">
        <v>140772680</v>
      </c>
      <c r="E189">
        <v>1</v>
      </c>
      <c r="F189">
        <v>1</v>
      </c>
      <c r="G189">
        <v>1</v>
      </c>
      <c r="H189">
        <v>3</v>
      </c>
      <c r="I189" t="s">
        <v>635</v>
      </c>
      <c r="J189" t="s">
        <v>636</v>
      </c>
      <c r="K189" t="s">
        <v>637</v>
      </c>
      <c r="L189">
        <v>1339</v>
      </c>
      <c r="N189">
        <v>1007</v>
      </c>
      <c r="O189" t="s">
        <v>638</v>
      </c>
      <c r="P189" t="s">
        <v>638</v>
      </c>
      <c r="Q189">
        <v>1</v>
      </c>
      <c r="W189">
        <v>0</v>
      </c>
      <c r="X189">
        <v>-143474561</v>
      </c>
      <c r="Y189">
        <f>AT189</f>
        <v>1</v>
      </c>
      <c r="AA189">
        <v>21.72</v>
      </c>
      <c r="AB189">
        <v>0</v>
      </c>
      <c r="AC189">
        <v>0</v>
      </c>
      <c r="AD189">
        <v>0</v>
      </c>
      <c r="AE189">
        <v>2.44</v>
      </c>
      <c r="AF189">
        <v>0</v>
      </c>
      <c r="AG189">
        <v>0</v>
      </c>
      <c r="AH189">
        <v>0</v>
      </c>
      <c r="AI189">
        <v>8.9</v>
      </c>
      <c r="AJ189">
        <v>1</v>
      </c>
      <c r="AK189">
        <v>1</v>
      </c>
      <c r="AL189">
        <v>1</v>
      </c>
      <c r="AM189">
        <v>4</v>
      </c>
      <c r="AN189">
        <v>0</v>
      </c>
      <c r="AO189">
        <v>1</v>
      </c>
      <c r="AP189">
        <v>1</v>
      </c>
      <c r="AQ189">
        <v>0</v>
      </c>
      <c r="AR189">
        <v>0</v>
      </c>
      <c r="AS189" t="s">
        <v>3</v>
      </c>
      <c r="AT189">
        <v>1</v>
      </c>
      <c r="AU189" t="s">
        <v>3</v>
      </c>
      <c r="AV189">
        <v>0</v>
      </c>
      <c r="AW189">
        <v>2</v>
      </c>
      <c r="AX189">
        <v>145123263</v>
      </c>
      <c r="AY189">
        <v>1</v>
      </c>
      <c r="AZ189">
        <v>0</v>
      </c>
      <c r="BA189">
        <v>216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CX189">
        <f>ROUND(Y189*Source!I159,9)</f>
        <v>7.28</v>
      </c>
      <c r="CY189">
        <f>AA189</f>
        <v>21.72</v>
      </c>
      <c r="CZ189">
        <f>AE189</f>
        <v>2.44</v>
      </c>
      <c r="DA189">
        <f>AI189</f>
        <v>8.9</v>
      </c>
      <c r="DB189">
        <f>ROUND(ROUND(AT189*CZ189,2),2)</f>
        <v>2.44</v>
      </c>
      <c r="DC189">
        <f>ROUND(ROUND(AT189*AG189,2),2)</f>
        <v>0</v>
      </c>
      <c r="DD189" t="s">
        <v>3</v>
      </c>
      <c r="DE189" t="s">
        <v>3</v>
      </c>
      <c r="DF189">
        <f>ROUND(ROUND(AE189*AI189,2)*CX189,2)</f>
        <v>158.12</v>
      </c>
      <c r="DG189">
        <f t="shared" ref="DG189:DG194" si="82">ROUND(ROUND(AF189,2)*CX189,2)</f>
        <v>0</v>
      </c>
      <c r="DH189">
        <f>ROUND(ROUND(AG189,2)*CX189,2)</f>
        <v>0</v>
      </c>
      <c r="DI189">
        <f>ROUND(ROUND(AH189,2)*CX189,2)</f>
        <v>0</v>
      </c>
      <c r="DJ189">
        <f>DF189</f>
        <v>158.12</v>
      </c>
      <c r="DK189">
        <v>0</v>
      </c>
      <c r="DL189" t="s">
        <v>3</v>
      </c>
      <c r="DM189">
        <v>0</v>
      </c>
      <c r="DN189" t="s">
        <v>3</v>
      </c>
      <c r="DO189">
        <v>0</v>
      </c>
    </row>
    <row r="190" spans="1:119" x14ac:dyDescent="0.2">
      <c r="A190">
        <f>ROW(Source!A159)</f>
        <v>159</v>
      </c>
      <c r="B190">
        <v>145026783</v>
      </c>
      <c r="C190">
        <v>145123254</v>
      </c>
      <c r="D190">
        <v>140773335</v>
      </c>
      <c r="E190">
        <v>1</v>
      </c>
      <c r="F190">
        <v>1</v>
      </c>
      <c r="G190">
        <v>1</v>
      </c>
      <c r="H190">
        <v>3</v>
      </c>
      <c r="I190" t="s">
        <v>773</v>
      </c>
      <c r="J190" t="s">
        <v>774</v>
      </c>
      <c r="K190" t="s">
        <v>775</v>
      </c>
      <c r="L190">
        <v>1346</v>
      </c>
      <c r="N190">
        <v>1009</v>
      </c>
      <c r="O190" t="s">
        <v>154</v>
      </c>
      <c r="P190" t="s">
        <v>154</v>
      </c>
      <c r="Q190">
        <v>1</v>
      </c>
      <c r="W190">
        <v>0</v>
      </c>
      <c r="X190">
        <v>-617477323</v>
      </c>
      <c r="Y190">
        <f>AT190</f>
        <v>0.02</v>
      </c>
      <c r="AA190">
        <v>331.88</v>
      </c>
      <c r="AB190">
        <v>0</v>
      </c>
      <c r="AC190">
        <v>0</v>
      </c>
      <c r="AD190">
        <v>0</v>
      </c>
      <c r="AE190">
        <v>37.29</v>
      </c>
      <c r="AF190">
        <v>0</v>
      </c>
      <c r="AG190">
        <v>0</v>
      </c>
      <c r="AH190">
        <v>0</v>
      </c>
      <c r="AI190">
        <v>8.9</v>
      </c>
      <c r="AJ190">
        <v>1</v>
      </c>
      <c r="AK190">
        <v>1</v>
      </c>
      <c r="AL190">
        <v>1</v>
      </c>
      <c r="AM190">
        <v>4</v>
      </c>
      <c r="AN190">
        <v>0</v>
      </c>
      <c r="AO190">
        <v>1</v>
      </c>
      <c r="AP190">
        <v>1</v>
      </c>
      <c r="AQ190">
        <v>0</v>
      </c>
      <c r="AR190">
        <v>0</v>
      </c>
      <c r="AS190" t="s">
        <v>3</v>
      </c>
      <c r="AT190">
        <v>0.02</v>
      </c>
      <c r="AU190" t="s">
        <v>3</v>
      </c>
      <c r="AV190">
        <v>0</v>
      </c>
      <c r="AW190">
        <v>2</v>
      </c>
      <c r="AX190">
        <v>145123264</v>
      </c>
      <c r="AY190">
        <v>1</v>
      </c>
      <c r="AZ190">
        <v>0</v>
      </c>
      <c r="BA190">
        <v>217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CX190">
        <f>ROUND(Y190*Source!I159,9)</f>
        <v>0.14560000000000001</v>
      </c>
      <c r="CY190">
        <f>AA190</f>
        <v>331.88</v>
      </c>
      <c r="CZ190">
        <f>AE190</f>
        <v>37.29</v>
      </c>
      <c r="DA190">
        <f>AI190</f>
        <v>8.9</v>
      </c>
      <c r="DB190">
        <f>ROUND(ROUND(AT190*CZ190,2),2)</f>
        <v>0.75</v>
      </c>
      <c r="DC190">
        <f>ROUND(ROUND(AT190*AG190,2),2)</f>
        <v>0</v>
      </c>
      <c r="DD190" t="s">
        <v>3</v>
      </c>
      <c r="DE190" t="s">
        <v>3</v>
      </c>
      <c r="DF190">
        <f>ROUND(ROUND(AE190*AI190,2)*CX190,2)</f>
        <v>48.32</v>
      </c>
      <c r="DG190">
        <f t="shared" si="82"/>
        <v>0</v>
      </c>
      <c r="DH190">
        <f>ROUND(ROUND(AG190,2)*CX190,2)</f>
        <v>0</v>
      </c>
      <c r="DI190">
        <f>ROUND(ROUND(AH190,2)*CX190,2)</f>
        <v>0</v>
      </c>
      <c r="DJ190">
        <f>DF190</f>
        <v>48.32</v>
      </c>
      <c r="DK190">
        <v>0</v>
      </c>
      <c r="DL190" t="s">
        <v>3</v>
      </c>
      <c r="DM190">
        <v>0</v>
      </c>
      <c r="DN190" t="s">
        <v>3</v>
      </c>
      <c r="DO190">
        <v>0</v>
      </c>
    </row>
    <row r="191" spans="1:119" x14ac:dyDescent="0.2">
      <c r="A191">
        <f>ROW(Source!A159)</f>
        <v>159</v>
      </c>
      <c r="B191">
        <v>145026783</v>
      </c>
      <c r="C191">
        <v>145123254</v>
      </c>
      <c r="D191">
        <v>140804314</v>
      </c>
      <c r="E191">
        <v>1</v>
      </c>
      <c r="F191">
        <v>1</v>
      </c>
      <c r="G191">
        <v>1</v>
      </c>
      <c r="H191">
        <v>3</v>
      </c>
      <c r="I191" t="s">
        <v>776</v>
      </c>
      <c r="J191" t="s">
        <v>777</v>
      </c>
      <c r="K191" t="s">
        <v>778</v>
      </c>
      <c r="L191">
        <v>1346</v>
      </c>
      <c r="N191">
        <v>1009</v>
      </c>
      <c r="O191" t="s">
        <v>154</v>
      </c>
      <c r="P191" t="s">
        <v>154</v>
      </c>
      <c r="Q191">
        <v>1</v>
      </c>
      <c r="W191">
        <v>0</v>
      </c>
      <c r="X191">
        <v>639726700</v>
      </c>
      <c r="Y191">
        <f>AT191</f>
        <v>0.05</v>
      </c>
      <c r="AA191">
        <v>134.57</v>
      </c>
      <c r="AB191">
        <v>0</v>
      </c>
      <c r="AC191">
        <v>0</v>
      </c>
      <c r="AD191">
        <v>0</v>
      </c>
      <c r="AE191">
        <v>15.12</v>
      </c>
      <c r="AF191">
        <v>0</v>
      </c>
      <c r="AG191">
        <v>0</v>
      </c>
      <c r="AH191">
        <v>0</v>
      </c>
      <c r="AI191">
        <v>8.9</v>
      </c>
      <c r="AJ191">
        <v>1</v>
      </c>
      <c r="AK191">
        <v>1</v>
      </c>
      <c r="AL191">
        <v>1</v>
      </c>
      <c r="AM191">
        <v>4</v>
      </c>
      <c r="AN191">
        <v>0</v>
      </c>
      <c r="AO191">
        <v>1</v>
      </c>
      <c r="AP191">
        <v>1</v>
      </c>
      <c r="AQ191">
        <v>0</v>
      </c>
      <c r="AR191">
        <v>0</v>
      </c>
      <c r="AS191" t="s">
        <v>3</v>
      </c>
      <c r="AT191">
        <v>0.05</v>
      </c>
      <c r="AU191" t="s">
        <v>3</v>
      </c>
      <c r="AV191">
        <v>0</v>
      </c>
      <c r="AW191">
        <v>2</v>
      </c>
      <c r="AX191">
        <v>145123265</v>
      </c>
      <c r="AY191">
        <v>1</v>
      </c>
      <c r="AZ191">
        <v>0</v>
      </c>
      <c r="BA191">
        <v>218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CX191">
        <f>ROUND(Y191*Source!I159,9)</f>
        <v>0.36399999999999999</v>
      </c>
      <c r="CY191">
        <f>AA191</f>
        <v>134.57</v>
      </c>
      <c r="CZ191">
        <f>AE191</f>
        <v>15.12</v>
      </c>
      <c r="DA191">
        <f>AI191</f>
        <v>8.9</v>
      </c>
      <c r="DB191">
        <f>ROUND(ROUND(AT191*CZ191,2),2)</f>
        <v>0.76</v>
      </c>
      <c r="DC191">
        <f>ROUND(ROUND(AT191*AG191,2),2)</f>
        <v>0</v>
      </c>
      <c r="DD191" t="s">
        <v>3</v>
      </c>
      <c r="DE191" t="s">
        <v>3</v>
      </c>
      <c r="DF191">
        <f>ROUND(ROUND(AE191*AI191,2)*CX191,2)</f>
        <v>48.98</v>
      </c>
      <c r="DG191">
        <f t="shared" si="82"/>
        <v>0</v>
      </c>
      <c r="DH191">
        <f>ROUND(ROUND(AG191,2)*CX191,2)</f>
        <v>0</v>
      </c>
      <c r="DI191">
        <f>ROUND(ROUND(AH191,2)*CX191,2)</f>
        <v>0</v>
      </c>
      <c r="DJ191">
        <f>DF191</f>
        <v>48.98</v>
      </c>
      <c r="DK191">
        <v>0</v>
      </c>
      <c r="DL191" t="s">
        <v>3</v>
      </c>
      <c r="DM191">
        <v>0</v>
      </c>
      <c r="DN191" t="s">
        <v>3</v>
      </c>
      <c r="DO191">
        <v>0</v>
      </c>
    </row>
    <row r="192" spans="1:119" x14ac:dyDescent="0.2">
      <c r="A192">
        <f>ROW(Source!A159)</f>
        <v>159</v>
      </c>
      <c r="B192">
        <v>145026783</v>
      </c>
      <c r="C192">
        <v>145123254</v>
      </c>
      <c r="D192">
        <v>140805008</v>
      </c>
      <c r="E192">
        <v>1</v>
      </c>
      <c r="F192">
        <v>1</v>
      </c>
      <c r="G192">
        <v>1</v>
      </c>
      <c r="H192">
        <v>3</v>
      </c>
      <c r="I192" t="s">
        <v>779</v>
      </c>
      <c r="J192" t="s">
        <v>780</v>
      </c>
      <c r="K192" t="s">
        <v>781</v>
      </c>
      <c r="L192">
        <v>1348</v>
      </c>
      <c r="N192">
        <v>1009</v>
      </c>
      <c r="O192" t="s">
        <v>49</v>
      </c>
      <c r="P192" t="s">
        <v>49</v>
      </c>
      <c r="Q192">
        <v>1000</v>
      </c>
      <c r="W192">
        <v>0</v>
      </c>
      <c r="X192">
        <v>859929720</v>
      </c>
      <c r="Y192">
        <f>AT192</f>
        <v>2.0000000000000002E-5</v>
      </c>
      <c r="AA192">
        <v>150855</v>
      </c>
      <c r="AB192">
        <v>0</v>
      </c>
      <c r="AC192">
        <v>0</v>
      </c>
      <c r="AD192">
        <v>0</v>
      </c>
      <c r="AE192">
        <v>16950</v>
      </c>
      <c r="AF192">
        <v>0</v>
      </c>
      <c r="AG192">
        <v>0</v>
      </c>
      <c r="AH192">
        <v>0</v>
      </c>
      <c r="AI192">
        <v>8.9</v>
      </c>
      <c r="AJ192">
        <v>1</v>
      </c>
      <c r="AK192">
        <v>1</v>
      </c>
      <c r="AL192">
        <v>1</v>
      </c>
      <c r="AM192">
        <v>4</v>
      </c>
      <c r="AN192">
        <v>0</v>
      </c>
      <c r="AO192">
        <v>1</v>
      </c>
      <c r="AP192">
        <v>1</v>
      </c>
      <c r="AQ192">
        <v>0</v>
      </c>
      <c r="AR192">
        <v>0</v>
      </c>
      <c r="AS192" t="s">
        <v>3</v>
      </c>
      <c r="AT192">
        <v>2.0000000000000002E-5</v>
      </c>
      <c r="AU192" t="s">
        <v>3</v>
      </c>
      <c r="AV192">
        <v>0</v>
      </c>
      <c r="AW192">
        <v>2</v>
      </c>
      <c r="AX192">
        <v>145123266</v>
      </c>
      <c r="AY192">
        <v>1</v>
      </c>
      <c r="AZ192">
        <v>0</v>
      </c>
      <c r="BA192">
        <v>219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CX192">
        <f>ROUND(Y192*Source!I159,9)</f>
        <v>1.4559999999999999E-4</v>
      </c>
      <c r="CY192">
        <f>AA192</f>
        <v>150855</v>
      </c>
      <c r="CZ192">
        <f>AE192</f>
        <v>16950</v>
      </c>
      <c r="DA192">
        <f>AI192</f>
        <v>8.9</v>
      </c>
      <c r="DB192">
        <f>ROUND(ROUND(AT192*CZ192,2),2)</f>
        <v>0.34</v>
      </c>
      <c r="DC192">
        <f>ROUND(ROUND(AT192*AG192,2),2)</f>
        <v>0</v>
      </c>
      <c r="DD192" t="s">
        <v>3</v>
      </c>
      <c r="DE192" t="s">
        <v>3</v>
      </c>
      <c r="DF192">
        <f>ROUND(ROUND(AE192*AI192,2)*CX192,2)</f>
        <v>21.96</v>
      </c>
      <c r="DG192">
        <f t="shared" si="82"/>
        <v>0</v>
      </c>
      <c r="DH192">
        <f>ROUND(ROUND(AG192,2)*CX192,2)</f>
        <v>0</v>
      </c>
      <c r="DI192">
        <f>ROUND(ROUND(AH192,2)*CX192,2)</f>
        <v>0</v>
      </c>
      <c r="DJ192">
        <f>DF192</f>
        <v>21.96</v>
      </c>
      <c r="DK192">
        <v>0</v>
      </c>
      <c r="DL192" t="s">
        <v>3</v>
      </c>
      <c r="DM192">
        <v>0</v>
      </c>
      <c r="DN192" t="s">
        <v>3</v>
      </c>
      <c r="DO192">
        <v>0</v>
      </c>
    </row>
    <row r="193" spans="1:119" x14ac:dyDescent="0.2">
      <c r="A193">
        <f>ROW(Source!A160)</f>
        <v>160</v>
      </c>
      <c r="B193">
        <v>145026783</v>
      </c>
      <c r="C193">
        <v>145027492</v>
      </c>
      <c r="D193">
        <v>140759991</v>
      </c>
      <c r="E193">
        <v>70</v>
      </c>
      <c r="F193">
        <v>1</v>
      </c>
      <c r="G193">
        <v>1</v>
      </c>
      <c r="H193">
        <v>1</v>
      </c>
      <c r="I193" t="s">
        <v>630</v>
      </c>
      <c r="J193" t="s">
        <v>3</v>
      </c>
      <c r="K193" t="s">
        <v>631</v>
      </c>
      <c r="L193">
        <v>1191</v>
      </c>
      <c r="N193">
        <v>1013</v>
      </c>
      <c r="O193" t="s">
        <v>608</v>
      </c>
      <c r="P193" t="s">
        <v>608</v>
      </c>
      <c r="Q193">
        <v>1</v>
      </c>
      <c r="W193">
        <v>0</v>
      </c>
      <c r="X193">
        <v>-112797078</v>
      </c>
      <c r="Y193">
        <f>((AT193*1.15)*1.03)</f>
        <v>70.003950000000003</v>
      </c>
      <c r="AA193">
        <v>0</v>
      </c>
      <c r="AB193">
        <v>0</v>
      </c>
      <c r="AC193">
        <v>0</v>
      </c>
      <c r="AD193">
        <v>287.13</v>
      </c>
      <c r="AE193">
        <v>0</v>
      </c>
      <c r="AF193">
        <v>0</v>
      </c>
      <c r="AG193">
        <v>0</v>
      </c>
      <c r="AH193">
        <v>8.9700000000000006</v>
      </c>
      <c r="AI193">
        <v>1</v>
      </c>
      <c r="AJ193">
        <v>1</v>
      </c>
      <c r="AK193">
        <v>1</v>
      </c>
      <c r="AL193">
        <v>32.01</v>
      </c>
      <c r="AM193">
        <v>4</v>
      </c>
      <c r="AN193">
        <v>0</v>
      </c>
      <c r="AO193">
        <v>1</v>
      </c>
      <c r="AP193">
        <v>1</v>
      </c>
      <c r="AQ193">
        <v>0</v>
      </c>
      <c r="AR193">
        <v>0</v>
      </c>
      <c r="AS193" t="s">
        <v>3</v>
      </c>
      <c r="AT193">
        <v>59.1</v>
      </c>
      <c r="AU193" t="s">
        <v>453</v>
      </c>
      <c r="AV193">
        <v>1</v>
      </c>
      <c r="AW193">
        <v>2</v>
      </c>
      <c r="AX193">
        <v>145110658</v>
      </c>
      <c r="AY193">
        <v>1</v>
      </c>
      <c r="AZ193">
        <v>0</v>
      </c>
      <c r="BA193">
        <v>220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CX193">
        <f>ROUND(Y193*Source!I160,9)</f>
        <v>42.53440002</v>
      </c>
      <c r="CY193">
        <f>AD193</f>
        <v>287.13</v>
      </c>
      <c r="CZ193">
        <f>AH193</f>
        <v>8.9700000000000006</v>
      </c>
      <c r="DA193">
        <f>AL193</f>
        <v>32.01</v>
      </c>
      <c r="DB193">
        <f>ROUND(((ROUND(AT193*CZ193,2)*1.15)*1.03),2)</f>
        <v>627.94000000000005</v>
      </c>
      <c r="DC193">
        <f>ROUND(((ROUND(AT193*AG193,2)*1.15)*1.03),2)</f>
        <v>0</v>
      </c>
      <c r="DD193" t="s">
        <v>3</v>
      </c>
      <c r="DE193" t="s">
        <v>3</v>
      </c>
      <c r="DF193">
        <f t="shared" ref="DF193:DF198" si="83">ROUND(ROUND(AE193,2)*CX193,2)</f>
        <v>0</v>
      </c>
      <c r="DG193">
        <f t="shared" si="82"/>
        <v>0</v>
      </c>
      <c r="DH193">
        <f>ROUND(ROUND(AG193,2)*CX193,2)</f>
        <v>0</v>
      </c>
      <c r="DI193">
        <f>ROUND(ROUND(AH193*AL193,2)*CX193,2)</f>
        <v>12212.9</v>
      </c>
      <c r="DJ193">
        <f>DI193</f>
        <v>12212.9</v>
      </c>
      <c r="DK193">
        <v>0</v>
      </c>
      <c r="DL193" t="s">
        <v>3</v>
      </c>
      <c r="DM193">
        <v>0</v>
      </c>
      <c r="DN193" t="s">
        <v>3</v>
      </c>
      <c r="DO193">
        <v>0</v>
      </c>
    </row>
    <row r="194" spans="1:119" x14ac:dyDescent="0.2">
      <c r="A194">
        <f>ROW(Source!A160)</f>
        <v>160</v>
      </c>
      <c r="B194">
        <v>145026783</v>
      </c>
      <c r="C194">
        <v>145027492</v>
      </c>
      <c r="D194">
        <v>140760225</v>
      </c>
      <c r="E194">
        <v>70</v>
      </c>
      <c r="F194">
        <v>1</v>
      </c>
      <c r="G194">
        <v>1</v>
      </c>
      <c r="H194">
        <v>1</v>
      </c>
      <c r="I194" t="s">
        <v>609</v>
      </c>
      <c r="J194" t="s">
        <v>3</v>
      </c>
      <c r="K194" t="s">
        <v>610</v>
      </c>
      <c r="L194">
        <v>1191</v>
      </c>
      <c r="N194">
        <v>1013</v>
      </c>
      <c r="O194" t="s">
        <v>608</v>
      </c>
      <c r="P194" t="s">
        <v>608</v>
      </c>
      <c r="Q194">
        <v>1</v>
      </c>
      <c r="W194">
        <v>0</v>
      </c>
      <c r="X194">
        <v>-1417349443</v>
      </c>
      <c r="Y194">
        <f>((AT194*1.25)*1.03)</f>
        <v>4.0298749999999997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1</v>
      </c>
      <c r="AJ194">
        <v>1</v>
      </c>
      <c r="AK194">
        <v>32.01</v>
      </c>
      <c r="AL194">
        <v>1</v>
      </c>
      <c r="AM194">
        <v>4</v>
      </c>
      <c r="AN194">
        <v>0</v>
      </c>
      <c r="AO194">
        <v>1</v>
      </c>
      <c r="AP194">
        <v>1</v>
      </c>
      <c r="AQ194">
        <v>0</v>
      </c>
      <c r="AR194">
        <v>0</v>
      </c>
      <c r="AS194" t="s">
        <v>3</v>
      </c>
      <c r="AT194">
        <v>3.13</v>
      </c>
      <c r="AU194" t="s">
        <v>452</v>
      </c>
      <c r="AV194">
        <v>2</v>
      </c>
      <c r="AW194">
        <v>2</v>
      </c>
      <c r="AX194">
        <v>145110659</v>
      </c>
      <c r="AY194">
        <v>1</v>
      </c>
      <c r="AZ194">
        <v>0</v>
      </c>
      <c r="BA194">
        <v>221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CX194">
        <f>ROUND(Y194*Source!I160,9)</f>
        <v>2.44855205</v>
      </c>
      <c r="CY194">
        <f>AD194</f>
        <v>0</v>
      </c>
      <c r="CZ194">
        <f>AH194</f>
        <v>0</v>
      </c>
      <c r="DA194">
        <f>AL194</f>
        <v>1</v>
      </c>
      <c r="DB194">
        <f>ROUND(((ROUND(AT194*CZ194,2)*1.25)*1.03),2)</f>
        <v>0</v>
      </c>
      <c r="DC194">
        <f>ROUND(((ROUND(AT194*AG194,2)*1.25)*1.03),2)</f>
        <v>0</v>
      </c>
      <c r="DD194" t="s">
        <v>3</v>
      </c>
      <c r="DE194" t="s">
        <v>3</v>
      </c>
      <c r="DF194">
        <f t="shared" si="83"/>
        <v>0</v>
      </c>
      <c r="DG194">
        <f t="shared" si="82"/>
        <v>0</v>
      </c>
      <c r="DH194">
        <f>ROUND(ROUND(AG194*AK194,2)*CX194,2)</f>
        <v>0</v>
      </c>
      <c r="DI194">
        <f t="shared" ref="DI194:DI203" si="84">ROUND(ROUND(AH194,2)*CX194,2)</f>
        <v>0</v>
      </c>
      <c r="DJ194">
        <f>DI194</f>
        <v>0</v>
      </c>
      <c r="DK194">
        <v>0</v>
      </c>
      <c r="DL194" t="s">
        <v>3</v>
      </c>
      <c r="DM194">
        <v>0</v>
      </c>
      <c r="DN194" t="s">
        <v>3</v>
      </c>
      <c r="DO194">
        <v>0</v>
      </c>
    </row>
    <row r="195" spans="1:119" x14ac:dyDescent="0.2">
      <c r="A195">
        <f>ROW(Source!A160)</f>
        <v>160</v>
      </c>
      <c r="B195">
        <v>145026783</v>
      </c>
      <c r="C195">
        <v>145027492</v>
      </c>
      <c r="D195">
        <v>140922951</v>
      </c>
      <c r="E195">
        <v>1</v>
      </c>
      <c r="F195">
        <v>1</v>
      </c>
      <c r="G195">
        <v>1</v>
      </c>
      <c r="H195">
        <v>2</v>
      </c>
      <c r="I195" t="s">
        <v>732</v>
      </c>
      <c r="J195" t="s">
        <v>733</v>
      </c>
      <c r="K195" t="s">
        <v>734</v>
      </c>
      <c r="L195">
        <v>1367</v>
      </c>
      <c r="N195">
        <v>1011</v>
      </c>
      <c r="O195" t="s">
        <v>614</v>
      </c>
      <c r="P195" t="s">
        <v>614</v>
      </c>
      <c r="Q195">
        <v>1</v>
      </c>
      <c r="W195">
        <v>0</v>
      </c>
      <c r="X195">
        <v>-430484415</v>
      </c>
      <c r="Y195">
        <f>((AT195*1.25)*1.03)</f>
        <v>0.11587499999999999</v>
      </c>
      <c r="AA195">
        <v>0</v>
      </c>
      <c r="AB195">
        <v>1435.58</v>
      </c>
      <c r="AC195">
        <v>432.14</v>
      </c>
      <c r="AD195">
        <v>0</v>
      </c>
      <c r="AE195">
        <v>0</v>
      </c>
      <c r="AF195">
        <v>115.4</v>
      </c>
      <c r="AG195">
        <v>13.5</v>
      </c>
      <c r="AH195">
        <v>0</v>
      </c>
      <c r="AI195">
        <v>1</v>
      </c>
      <c r="AJ195">
        <v>12.44</v>
      </c>
      <c r="AK195">
        <v>32.01</v>
      </c>
      <c r="AL195">
        <v>1</v>
      </c>
      <c r="AM195">
        <v>4</v>
      </c>
      <c r="AN195">
        <v>0</v>
      </c>
      <c r="AO195">
        <v>1</v>
      </c>
      <c r="AP195">
        <v>1</v>
      </c>
      <c r="AQ195">
        <v>0</v>
      </c>
      <c r="AR195">
        <v>0</v>
      </c>
      <c r="AS195" t="s">
        <v>3</v>
      </c>
      <c r="AT195">
        <v>0.09</v>
      </c>
      <c r="AU195" t="s">
        <v>452</v>
      </c>
      <c r="AV195">
        <v>0</v>
      </c>
      <c r="AW195">
        <v>2</v>
      </c>
      <c r="AX195">
        <v>145110660</v>
      </c>
      <c r="AY195">
        <v>1</v>
      </c>
      <c r="AZ195">
        <v>0</v>
      </c>
      <c r="BA195">
        <v>222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CX195">
        <f>ROUND(Y195*Source!I160,9)</f>
        <v>7.040565E-2</v>
      </c>
      <c r="CY195">
        <f>AB195</f>
        <v>1435.58</v>
      </c>
      <c r="CZ195">
        <f>AF195</f>
        <v>115.4</v>
      </c>
      <c r="DA195">
        <f>AJ195</f>
        <v>12.44</v>
      </c>
      <c r="DB195">
        <f>ROUND(((ROUND(AT195*CZ195,2)*1.25)*1.03),2)</f>
        <v>13.38</v>
      </c>
      <c r="DC195">
        <f>ROUND(((ROUND(AT195*AG195,2)*1.25)*1.03),2)</f>
        <v>1.57</v>
      </c>
      <c r="DD195" t="s">
        <v>3</v>
      </c>
      <c r="DE195" t="s">
        <v>3</v>
      </c>
      <c r="DF195">
        <f t="shared" si="83"/>
        <v>0</v>
      </c>
      <c r="DG195">
        <f>ROUND(ROUND(AF195*AJ195,2)*CX195,2)</f>
        <v>101.07</v>
      </c>
      <c r="DH195">
        <f>ROUND(ROUND(AG195*AK195,2)*CX195,2)</f>
        <v>30.43</v>
      </c>
      <c r="DI195">
        <f t="shared" si="84"/>
        <v>0</v>
      </c>
      <c r="DJ195">
        <f>DG195</f>
        <v>101.07</v>
      </c>
      <c r="DK195">
        <v>0</v>
      </c>
      <c r="DL195" t="s">
        <v>3</v>
      </c>
      <c r="DM195">
        <v>0</v>
      </c>
      <c r="DN195" t="s">
        <v>3</v>
      </c>
      <c r="DO195">
        <v>0</v>
      </c>
    </row>
    <row r="196" spans="1:119" x14ac:dyDescent="0.2">
      <c r="A196">
        <f>ROW(Source!A160)</f>
        <v>160</v>
      </c>
      <c r="B196">
        <v>145026783</v>
      </c>
      <c r="C196">
        <v>145027492</v>
      </c>
      <c r="D196">
        <v>140923145</v>
      </c>
      <c r="E196">
        <v>1</v>
      </c>
      <c r="F196">
        <v>1</v>
      </c>
      <c r="G196">
        <v>1</v>
      </c>
      <c r="H196">
        <v>2</v>
      </c>
      <c r="I196" t="s">
        <v>611</v>
      </c>
      <c r="J196" t="s">
        <v>612</v>
      </c>
      <c r="K196" t="s">
        <v>613</v>
      </c>
      <c r="L196">
        <v>1367</v>
      </c>
      <c r="N196">
        <v>1011</v>
      </c>
      <c r="O196" t="s">
        <v>614</v>
      </c>
      <c r="P196" t="s">
        <v>614</v>
      </c>
      <c r="Q196">
        <v>1</v>
      </c>
      <c r="W196">
        <v>0</v>
      </c>
      <c r="X196">
        <v>1232162608</v>
      </c>
      <c r="Y196">
        <f>((AT196*1.25)*1.03)</f>
        <v>1.532125</v>
      </c>
      <c r="AA196">
        <v>0</v>
      </c>
      <c r="AB196">
        <v>388.87</v>
      </c>
      <c r="AC196">
        <v>432.14</v>
      </c>
      <c r="AD196">
        <v>0</v>
      </c>
      <c r="AE196">
        <v>0</v>
      </c>
      <c r="AF196">
        <v>31.26</v>
      </c>
      <c r="AG196">
        <v>13.5</v>
      </c>
      <c r="AH196">
        <v>0</v>
      </c>
      <c r="AI196">
        <v>1</v>
      </c>
      <c r="AJ196">
        <v>12.44</v>
      </c>
      <c r="AK196">
        <v>32.01</v>
      </c>
      <c r="AL196">
        <v>1</v>
      </c>
      <c r="AM196">
        <v>4</v>
      </c>
      <c r="AN196">
        <v>0</v>
      </c>
      <c r="AO196">
        <v>1</v>
      </c>
      <c r="AP196">
        <v>1</v>
      </c>
      <c r="AQ196">
        <v>0</v>
      </c>
      <c r="AR196">
        <v>0</v>
      </c>
      <c r="AS196" t="s">
        <v>3</v>
      </c>
      <c r="AT196">
        <v>1.19</v>
      </c>
      <c r="AU196" t="s">
        <v>452</v>
      </c>
      <c r="AV196">
        <v>0</v>
      </c>
      <c r="AW196">
        <v>2</v>
      </c>
      <c r="AX196">
        <v>145110661</v>
      </c>
      <c r="AY196">
        <v>1</v>
      </c>
      <c r="AZ196">
        <v>0</v>
      </c>
      <c r="BA196">
        <v>223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CX196">
        <f>ROUND(Y196*Source!I160,9)</f>
        <v>0.93091915000000003</v>
      </c>
      <c r="CY196">
        <f>AB196</f>
        <v>388.87</v>
      </c>
      <c r="CZ196">
        <f>AF196</f>
        <v>31.26</v>
      </c>
      <c r="DA196">
        <f>AJ196</f>
        <v>12.44</v>
      </c>
      <c r="DB196">
        <f>ROUND(((ROUND(AT196*CZ196,2)*1.25)*1.03),2)</f>
        <v>47.9</v>
      </c>
      <c r="DC196">
        <f>ROUND(((ROUND(AT196*AG196,2)*1.25)*1.03),2)</f>
        <v>20.69</v>
      </c>
      <c r="DD196" t="s">
        <v>3</v>
      </c>
      <c r="DE196" t="s">
        <v>3</v>
      </c>
      <c r="DF196">
        <f t="shared" si="83"/>
        <v>0</v>
      </c>
      <c r="DG196">
        <f>ROUND(ROUND(AF196*AJ196,2)*CX196,2)</f>
        <v>362.01</v>
      </c>
      <c r="DH196">
        <f>ROUND(ROUND(AG196*AK196,2)*CX196,2)</f>
        <v>402.29</v>
      </c>
      <c r="DI196">
        <f t="shared" si="84"/>
        <v>0</v>
      </c>
      <c r="DJ196">
        <f>DG196</f>
        <v>362.01</v>
      </c>
      <c r="DK196">
        <v>0</v>
      </c>
      <c r="DL196" t="s">
        <v>3</v>
      </c>
      <c r="DM196">
        <v>0</v>
      </c>
      <c r="DN196" t="s">
        <v>3</v>
      </c>
      <c r="DO196">
        <v>0</v>
      </c>
    </row>
    <row r="197" spans="1:119" x14ac:dyDescent="0.2">
      <c r="A197">
        <f>ROW(Source!A160)</f>
        <v>160</v>
      </c>
      <c r="B197">
        <v>145026783</v>
      </c>
      <c r="C197">
        <v>145027492</v>
      </c>
      <c r="D197">
        <v>140923689</v>
      </c>
      <c r="E197">
        <v>1</v>
      </c>
      <c r="F197">
        <v>1</v>
      </c>
      <c r="G197">
        <v>1</v>
      </c>
      <c r="H197">
        <v>2</v>
      </c>
      <c r="I197" t="s">
        <v>770</v>
      </c>
      <c r="J197" t="s">
        <v>771</v>
      </c>
      <c r="K197" t="s">
        <v>772</v>
      </c>
      <c r="L197">
        <v>1367</v>
      </c>
      <c r="N197">
        <v>1011</v>
      </c>
      <c r="O197" t="s">
        <v>614</v>
      </c>
      <c r="P197" t="s">
        <v>614</v>
      </c>
      <c r="Q197">
        <v>1</v>
      </c>
      <c r="W197">
        <v>0</v>
      </c>
      <c r="X197">
        <v>-1049284970</v>
      </c>
      <c r="Y197">
        <f>((AT197*1.25)*1.03)</f>
        <v>1.03</v>
      </c>
      <c r="AA197">
        <v>0</v>
      </c>
      <c r="AB197">
        <v>369.09</v>
      </c>
      <c r="AC197">
        <v>0</v>
      </c>
      <c r="AD197">
        <v>0</v>
      </c>
      <c r="AE197">
        <v>0</v>
      </c>
      <c r="AF197">
        <v>29.67</v>
      </c>
      <c r="AG197">
        <v>0</v>
      </c>
      <c r="AH197">
        <v>0</v>
      </c>
      <c r="AI197">
        <v>1</v>
      </c>
      <c r="AJ197">
        <v>12.44</v>
      </c>
      <c r="AK197">
        <v>32.01</v>
      </c>
      <c r="AL197">
        <v>1</v>
      </c>
      <c r="AM197">
        <v>4</v>
      </c>
      <c r="AN197">
        <v>0</v>
      </c>
      <c r="AO197">
        <v>1</v>
      </c>
      <c r="AP197">
        <v>1</v>
      </c>
      <c r="AQ197">
        <v>0</v>
      </c>
      <c r="AR197">
        <v>0</v>
      </c>
      <c r="AS197" t="s">
        <v>3</v>
      </c>
      <c r="AT197">
        <v>0.8</v>
      </c>
      <c r="AU197" t="s">
        <v>452</v>
      </c>
      <c r="AV197">
        <v>0</v>
      </c>
      <c r="AW197">
        <v>2</v>
      </c>
      <c r="AX197">
        <v>145110662</v>
      </c>
      <c r="AY197">
        <v>1</v>
      </c>
      <c r="AZ197">
        <v>0</v>
      </c>
      <c r="BA197">
        <v>224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CX197">
        <f>ROUND(Y197*Source!I160,9)</f>
        <v>0.62582800000000005</v>
      </c>
      <c r="CY197">
        <f>AB197</f>
        <v>369.09</v>
      </c>
      <c r="CZ197">
        <f>AF197</f>
        <v>29.67</v>
      </c>
      <c r="DA197">
        <f>AJ197</f>
        <v>12.44</v>
      </c>
      <c r="DB197">
        <f>ROUND(((ROUND(AT197*CZ197,2)*1.25)*1.03),2)</f>
        <v>30.57</v>
      </c>
      <c r="DC197">
        <f>ROUND(((ROUND(AT197*AG197,2)*1.25)*1.03),2)</f>
        <v>0</v>
      </c>
      <c r="DD197" t="s">
        <v>3</v>
      </c>
      <c r="DE197" t="s">
        <v>3</v>
      </c>
      <c r="DF197">
        <f t="shared" si="83"/>
        <v>0</v>
      </c>
      <c r="DG197">
        <f>ROUND(ROUND(AF197*AJ197,2)*CX197,2)</f>
        <v>230.99</v>
      </c>
      <c r="DH197">
        <f>ROUND(ROUND(AG197*AK197,2)*CX197,2)</f>
        <v>0</v>
      </c>
      <c r="DI197">
        <f t="shared" si="84"/>
        <v>0</v>
      </c>
      <c r="DJ197">
        <f>DG197</f>
        <v>230.99</v>
      </c>
      <c r="DK197">
        <v>0</v>
      </c>
      <c r="DL197" t="s">
        <v>3</v>
      </c>
      <c r="DM197">
        <v>0</v>
      </c>
      <c r="DN197" t="s">
        <v>3</v>
      </c>
      <c r="DO197">
        <v>0</v>
      </c>
    </row>
    <row r="198" spans="1:119" x14ac:dyDescent="0.2">
      <c r="A198">
        <f>ROW(Source!A160)</f>
        <v>160</v>
      </c>
      <c r="B198">
        <v>145026783</v>
      </c>
      <c r="C198">
        <v>145027492</v>
      </c>
      <c r="D198">
        <v>140923885</v>
      </c>
      <c r="E198">
        <v>1</v>
      </c>
      <c r="F198">
        <v>1</v>
      </c>
      <c r="G198">
        <v>1</v>
      </c>
      <c r="H198">
        <v>2</v>
      </c>
      <c r="I198" t="s">
        <v>668</v>
      </c>
      <c r="J198" t="s">
        <v>669</v>
      </c>
      <c r="K198" t="s">
        <v>670</v>
      </c>
      <c r="L198">
        <v>1367</v>
      </c>
      <c r="N198">
        <v>1011</v>
      </c>
      <c r="O198" t="s">
        <v>614</v>
      </c>
      <c r="P198" t="s">
        <v>614</v>
      </c>
      <c r="Q198">
        <v>1</v>
      </c>
      <c r="W198">
        <v>0</v>
      </c>
      <c r="X198">
        <v>509054691</v>
      </c>
      <c r="Y198">
        <f>((AT198*1.25)*1.03)</f>
        <v>2.381875</v>
      </c>
      <c r="AA198">
        <v>0</v>
      </c>
      <c r="AB198">
        <v>817.43</v>
      </c>
      <c r="AC198">
        <v>371.32</v>
      </c>
      <c r="AD198">
        <v>0</v>
      </c>
      <c r="AE198">
        <v>0</v>
      </c>
      <c r="AF198">
        <v>65.709999999999994</v>
      </c>
      <c r="AG198">
        <v>11.6</v>
      </c>
      <c r="AH198">
        <v>0</v>
      </c>
      <c r="AI198">
        <v>1</v>
      </c>
      <c r="AJ198">
        <v>12.44</v>
      </c>
      <c r="AK198">
        <v>32.01</v>
      </c>
      <c r="AL198">
        <v>1</v>
      </c>
      <c r="AM198">
        <v>4</v>
      </c>
      <c r="AN198">
        <v>0</v>
      </c>
      <c r="AO198">
        <v>1</v>
      </c>
      <c r="AP198">
        <v>1</v>
      </c>
      <c r="AQ198">
        <v>0</v>
      </c>
      <c r="AR198">
        <v>0</v>
      </c>
      <c r="AS198" t="s">
        <v>3</v>
      </c>
      <c r="AT198">
        <v>1.85</v>
      </c>
      <c r="AU198" t="s">
        <v>452</v>
      </c>
      <c r="AV198">
        <v>0</v>
      </c>
      <c r="AW198">
        <v>2</v>
      </c>
      <c r="AX198">
        <v>145110663</v>
      </c>
      <c r="AY198">
        <v>1</v>
      </c>
      <c r="AZ198">
        <v>0</v>
      </c>
      <c r="BA198">
        <v>225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CX198">
        <f>ROUND(Y198*Source!I160,9)</f>
        <v>1.4472272500000001</v>
      </c>
      <c r="CY198">
        <f>AB198</f>
        <v>817.43</v>
      </c>
      <c r="CZ198">
        <f>AF198</f>
        <v>65.709999999999994</v>
      </c>
      <c r="DA198">
        <f>AJ198</f>
        <v>12.44</v>
      </c>
      <c r="DB198">
        <f>ROUND(((ROUND(AT198*CZ198,2)*1.25)*1.03),2)</f>
        <v>156.51</v>
      </c>
      <c r="DC198">
        <f>ROUND(((ROUND(AT198*AG198,2)*1.25)*1.03),2)</f>
        <v>27.63</v>
      </c>
      <c r="DD198" t="s">
        <v>3</v>
      </c>
      <c r="DE198" t="s">
        <v>3</v>
      </c>
      <c r="DF198">
        <f t="shared" si="83"/>
        <v>0</v>
      </c>
      <c r="DG198">
        <f>ROUND(ROUND(AF198*AJ198,2)*CX198,2)</f>
        <v>1183.01</v>
      </c>
      <c r="DH198">
        <f>ROUND(ROUND(AG198*AK198,2)*CX198,2)</f>
        <v>537.38</v>
      </c>
      <c r="DI198">
        <f t="shared" si="84"/>
        <v>0</v>
      </c>
      <c r="DJ198">
        <f>DG198</f>
        <v>1183.01</v>
      </c>
      <c r="DK198">
        <v>0</v>
      </c>
      <c r="DL198" t="s">
        <v>3</v>
      </c>
      <c r="DM198">
        <v>0</v>
      </c>
      <c r="DN198" t="s">
        <v>3</v>
      </c>
      <c r="DO198">
        <v>0</v>
      </c>
    </row>
    <row r="199" spans="1:119" x14ac:dyDescent="0.2">
      <c r="A199">
        <f>ROW(Source!A160)</f>
        <v>160</v>
      </c>
      <c r="B199">
        <v>145026783</v>
      </c>
      <c r="C199">
        <v>145027492</v>
      </c>
      <c r="D199">
        <v>140771385</v>
      </c>
      <c r="E199">
        <v>1</v>
      </c>
      <c r="F199">
        <v>1</v>
      </c>
      <c r="G199">
        <v>1</v>
      </c>
      <c r="H199">
        <v>3</v>
      </c>
      <c r="I199" t="s">
        <v>782</v>
      </c>
      <c r="J199" t="s">
        <v>783</v>
      </c>
      <c r="K199" t="s">
        <v>784</v>
      </c>
      <c r="L199">
        <v>1339</v>
      </c>
      <c r="N199">
        <v>1007</v>
      </c>
      <c r="O199" t="s">
        <v>638</v>
      </c>
      <c r="P199" t="s">
        <v>638</v>
      </c>
      <c r="Q199">
        <v>1</v>
      </c>
      <c r="W199">
        <v>0</v>
      </c>
      <c r="X199">
        <v>625729932</v>
      </c>
      <c r="Y199">
        <f>AT199</f>
        <v>0.67</v>
      </c>
      <c r="AA199">
        <v>407.89</v>
      </c>
      <c r="AB199">
        <v>0</v>
      </c>
      <c r="AC199">
        <v>0</v>
      </c>
      <c r="AD199">
        <v>0</v>
      </c>
      <c r="AE199">
        <v>45.83</v>
      </c>
      <c r="AF199">
        <v>0</v>
      </c>
      <c r="AG199">
        <v>0</v>
      </c>
      <c r="AH199">
        <v>0</v>
      </c>
      <c r="AI199">
        <v>8.9</v>
      </c>
      <c r="AJ199">
        <v>1</v>
      </c>
      <c r="AK199">
        <v>1</v>
      </c>
      <c r="AL199">
        <v>1</v>
      </c>
      <c r="AM199">
        <v>4</v>
      </c>
      <c r="AN199">
        <v>0</v>
      </c>
      <c r="AO199">
        <v>1</v>
      </c>
      <c r="AP199">
        <v>1</v>
      </c>
      <c r="AQ199">
        <v>0</v>
      </c>
      <c r="AR199">
        <v>0</v>
      </c>
      <c r="AS199" t="s">
        <v>3</v>
      </c>
      <c r="AT199">
        <v>0.67</v>
      </c>
      <c r="AU199" t="s">
        <v>3</v>
      </c>
      <c r="AV199">
        <v>0</v>
      </c>
      <c r="AW199">
        <v>2</v>
      </c>
      <c r="AX199">
        <v>145110664</v>
      </c>
      <c r="AY199">
        <v>1</v>
      </c>
      <c r="AZ199">
        <v>0</v>
      </c>
      <c r="BA199">
        <v>226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CX199">
        <f>ROUND(Y199*Source!I160,9)</f>
        <v>0.40709200000000001</v>
      </c>
      <c r="CY199">
        <f>AA199</f>
        <v>407.89</v>
      </c>
      <c r="CZ199">
        <f>AE199</f>
        <v>45.83</v>
      </c>
      <c r="DA199">
        <f>AI199</f>
        <v>8.9</v>
      </c>
      <c r="DB199">
        <f>ROUND(ROUND(AT199*CZ199,2),2)</f>
        <v>30.71</v>
      </c>
      <c r="DC199">
        <f>ROUND(ROUND(AT199*AG199,2),2)</f>
        <v>0</v>
      </c>
      <c r="DD199" t="s">
        <v>3</v>
      </c>
      <c r="DE199" t="s">
        <v>3</v>
      </c>
      <c r="DF199">
        <f>ROUND(ROUND(AE199*AI199,2)*CX199,2)</f>
        <v>166.05</v>
      </c>
      <c r="DG199">
        <f t="shared" ref="DG199:DG205" si="85">ROUND(ROUND(AF199,2)*CX199,2)</f>
        <v>0</v>
      </c>
      <c r="DH199">
        <f t="shared" ref="DH199:DH204" si="86">ROUND(ROUND(AG199,2)*CX199,2)</f>
        <v>0</v>
      </c>
      <c r="DI199">
        <f t="shared" si="84"/>
        <v>0</v>
      </c>
      <c r="DJ199">
        <f>DF199</f>
        <v>166.05</v>
      </c>
      <c r="DK199">
        <v>0</v>
      </c>
      <c r="DL199" t="s">
        <v>3</v>
      </c>
      <c r="DM199">
        <v>0</v>
      </c>
      <c r="DN199" t="s">
        <v>3</v>
      </c>
      <c r="DO199">
        <v>0</v>
      </c>
    </row>
    <row r="200" spans="1:119" x14ac:dyDescent="0.2">
      <c r="A200">
        <f>ROW(Source!A160)</f>
        <v>160</v>
      </c>
      <c r="B200">
        <v>145026783</v>
      </c>
      <c r="C200">
        <v>145027492</v>
      </c>
      <c r="D200">
        <v>140772680</v>
      </c>
      <c r="E200">
        <v>1</v>
      </c>
      <c r="F200">
        <v>1</v>
      </c>
      <c r="G200">
        <v>1</v>
      </c>
      <c r="H200">
        <v>3</v>
      </c>
      <c r="I200" t="s">
        <v>635</v>
      </c>
      <c r="J200" t="s">
        <v>636</v>
      </c>
      <c r="K200" t="s">
        <v>637</v>
      </c>
      <c r="L200">
        <v>1339</v>
      </c>
      <c r="N200">
        <v>1007</v>
      </c>
      <c r="O200" t="s">
        <v>638</v>
      </c>
      <c r="P200" t="s">
        <v>638</v>
      </c>
      <c r="Q200">
        <v>1</v>
      </c>
      <c r="W200">
        <v>0</v>
      </c>
      <c r="X200">
        <v>-143474561</v>
      </c>
      <c r="Y200">
        <f>AT200</f>
        <v>15</v>
      </c>
      <c r="AA200">
        <v>21.72</v>
      </c>
      <c r="AB200">
        <v>0</v>
      </c>
      <c r="AC200">
        <v>0</v>
      </c>
      <c r="AD200">
        <v>0</v>
      </c>
      <c r="AE200">
        <v>2.44</v>
      </c>
      <c r="AF200">
        <v>0</v>
      </c>
      <c r="AG200">
        <v>0</v>
      </c>
      <c r="AH200">
        <v>0</v>
      </c>
      <c r="AI200">
        <v>8.9</v>
      </c>
      <c r="AJ200">
        <v>1</v>
      </c>
      <c r="AK200">
        <v>1</v>
      </c>
      <c r="AL200">
        <v>1</v>
      </c>
      <c r="AM200">
        <v>4</v>
      </c>
      <c r="AN200">
        <v>0</v>
      </c>
      <c r="AO200">
        <v>1</v>
      </c>
      <c r="AP200">
        <v>1</v>
      </c>
      <c r="AQ200">
        <v>0</v>
      </c>
      <c r="AR200">
        <v>0</v>
      </c>
      <c r="AS200" t="s">
        <v>3</v>
      </c>
      <c r="AT200">
        <v>15</v>
      </c>
      <c r="AU200" t="s">
        <v>3</v>
      </c>
      <c r="AV200">
        <v>0</v>
      </c>
      <c r="AW200">
        <v>2</v>
      </c>
      <c r="AX200">
        <v>145110665</v>
      </c>
      <c r="AY200">
        <v>1</v>
      </c>
      <c r="AZ200">
        <v>0</v>
      </c>
      <c r="BA200">
        <v>227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CX200">
        <f>ROUND(Y200*Source!I160,9)</f>
        <v>9.1140000000000008</v>
      </c>
      <c r="CY200">
        <f>AA200</f>
        <v>21.72</v>
      </c>
      <c r="CZ200">
        <f>AE200</f>
        <v>2.44</v>
      </c>
      <c r="DA200">
        <f>AI200</f>
        <v>8.9</v>
      </c>
      <c r="DB200">
        <f>ROUND(ROUND(AT200*CZ200,2),2)</f>
        <v>36.6</v>
      </c>
      <c r="DC200">
        <f>ROUND(ROUND(AT200*AG200,2),2)</f>
        <v>0</v>
      </c>
      <c r="DD200" t="s">
        <v>3</v>
      </c>
      <c r="DE200" t="s">
        <v>3</v>
      </c>
      <c r="DF200">
        <f>ROUND(ROUND(AE200*AI200,2)*CX200,2)</f>
        <v>197.96</v>
      </c>
      <c r="DG200">
        <f t="shared" si="85"/>
        <v>0</v>
      </c>
      <c r="DH200">
        <f t="shared" si="86"/>
        <v>0</v>
      </c>
      <c r="DI200">
        <f t="shared" si="84"/>
        <v>0</v>
      </c>
      <c r="DJ200">
        <f>DF200</f>
        <v>197.96</v>
      </c>
      <c r="DK200">
        <v>0</v>
      </c>
      <c r="DL200" t="s">
        <v>3</v>
      </c>
      <c r="DM200">
        <v>0</v>
      </c>
      <c r="DN200" t="s">
        <v>3</v>
      </c>
      <c r="DO200">
        <v>0</v>
      </c>
    </row>
    <row r="201" spans="1:119" x14ac:dyDescent="0.2">
      <c r="A201">
        <f>ROW(Source!A160)</f>
        <v>160</v>
      </c>
      <c r="B201">
        <v>145026783</v>
      </c>
      <c r="C201">
        <v>145027492</v>
      </c>
      <c r="D201">
        <v>140775155</v>
      </c>
      <c r="E201">
        <v>1</v>
      </c>
      <c r="F201">
        <v>1</v>
      </c>
      <c r="G201">
        <v>1</v>
      </c>
      <c r="H201">
        <v>3</v>
      </c>
      <c r="I201" t="s">
        <v>785</v>
      </c>
      <c r="J201" t="s">
        <v>786</v>
      </c>
      <c r="K201" t="s">
        <v>787</v>
      </c>
      <c r="L201">
        <v>1407</v>
      </c>
      <c r="N201">
        <v>1013</v>
      </c>
      <c r="O201" t="s">
        <v>731</v>
      </c>
      <c r="P201" t="s">
        <v>731</v>
      </c>
      <c r="Q201">
        <v>1</v>
      </c>
      <c r="W201">
        <v>0</v>
      </c>
      <c r="X201">
        <v>1912910798</v>
      </c>
      <c r="Y201">
        <f>AT201</f>
        <v>8.8999999999999996E-2</v>
      </c>
      <c r="AA201">
        <v>1780</v>
      </c>
      <c r="AB201">
        <v>0</v>
      </c>
      <c r="AC201">
        <v>0</v>
      </c>
      <c r="AD201">
        <v>0</v>
      </c>
      <c r="AE201">
        <v>200</v>
      </c>
      <c r="AF201">
        <v>0</v>
      </c>
      <c r="AG201">
        <v>0</v>
      </c>
      <c r="AH201">
        <v>0</v>
      </c>
      <c r="AI201">
        <v>8.9</v>
      </c>
      <c r="AJ201">
        <v>1</v>
      </c>
      <c r="AK201">
        <v>1</v>
      </c>
      <c r="AL201">
        <v>1</v>
      </c>
      <c r="AM201">
        <v>4</v>
      </c>
      <c r="AN201">
        <v>0</v>
      </c>
      <c r="AO201">
        <v>1</v>
      </c>
      <c r="AP201">
        <v>1</v>
      </c>
      <c r="AQ201">
        <v>0</v>
      </c>
      <c r="AR201">
        <v>0</v>
      </c>
      <c r="AS201" t="s">
        <v>3</v>
      </c>
      <c r="AT201">
        <v>8.8999999999999996E-2</v>
      </c>
      <c r="AU201" t="s">
        <v>3</v>
      </c>
      <c r="AV201">
        <v>0</v>
      </c>
      <c r="AW201">
        <v>2</v>
      </c>
      <c r="AX201">
        <v>145110666</v>
      </c>
      <c r="AY201">
        <v>1</v>
      </c>
      <c r="AZ201">
        <v>0</v>
      </c>
      <c r="BA201">
        <v>228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CX201">
        <f>ROUND(Y201*Source!I160,9)</f>
        <v>5.4076399999999997E-2</v>
      </c>
      <c r="CY201">
        <f>AA201</f>
        <v>1780</v>
      </c>
      <c r="CZ201">
        <f>AE201</f>
        <v>200</v>
      </c>
      <c r="DA201">
        <f>AI201</f>
        <v>8.9</v>
      </c>
      <c r="DB201">
        <f>ROUND(ROUND(AT201*CZ201,2),2)</f>
        <v>17.8</v>
      </c>
      <c r="DC201">
        <f>ROUND(ROUND(AT201*AG201,2),2)</f>
        <v>0</v>
      </c>
      <c r="DD201" t="s">
        <v>3</v>
      </c>
      <c r="DE201" t="s">
        <v>3</v>
      </c>
      <c r="DF201">
        <f>ROUND(ROUND(AE201*AI201,2)*CX201,2)</f>
        <v>96.26</v>
      </c>
      <c r="DG201">
        <f t="shared" si="85"/>
        <v>0</v>
      </c>
      <c r="DH201">
        <f t="shared" si="86"/>
        <v>0</v>
      </c>
      <c r="DI201">
        <f t="shared" si="84"/>
        <v>0</v>
      </c>
      <c r="DJ201">
        <f>DF201</f>
        <v>96.26</v>
      </c>
      <c r="DK201">
        <v>0</v>
      </c>
      <c r="DL201" t="s">
        <v>3</v>
      </c>
      <c r="DM201">
        <v>0</v>
      </c>
      <c r="DN201" t="s">
        <v>3</v>
      </c>
      <c r="DO201">
        <v>0</v>
      </c>
    </row>
    <row r="202" spans="1:119" x14ac:dyDescent="0.2">
      <c r="A202">
        <f>ROW(Source!A160)</f>
        <v>160</v>
      </c>
      <c r="B202">
        <v>145026783</v>
      </c>
      <c r="C202">
        <v>145027492</v>
      </c>
      <c r="D202">
        <v>140775546</v>
      </c>
      <c r="E202">
        <v>1</v>
      </c>
      <c r="F202">
        <v>1</v>
      </c>
      <c r="G202">
        <v>1</v>
      </c>
      <c r="H202">
        <v>3</v>
      </c>
      <c r="I202" t="s">
        <v>788</v>
      </c>
      <c r="J202" t="s">
        <v>789</v>
      </c>
      <c r="K202" t="s">
        <v>790</v>
      </c>
      <c r="L202">
        <v>1348</v>
      </c>
      <c r="N202">
        <v>1009</v>
      </c>
      <c r="O202" t="s">
        <v>49</v>
      </c>
      <c r="P202" t="s">
        <v>49</v>
      </c>
      <c r="Q202">
        <v>1000</v>
      </c>
      <c r="W202">
        <v>0</v>
      </c>
      <c r="X202">
        <v>-2117162609</v>
      </c>
      <c r="Y202">
        <f>AT202</f>
        <v>4.4999999999999997E-3</v>
      </c>
      <c r="AA202">
        <v>85689.2</v>
      </c>
      <c r="AB202">
        <v>0</v>
      </c>
      <c r="AC202">
        <v>0</v>
      </c>
      <c r="AD202">
        <v>0</v>
      </c>
      <c r="AE202">
        <v>9628</v>
      </c>
      <c r="AF202">
        <v>0</v>
      </c>
      <c r="AG202">
        <v>0</v>
      </c>
      <c r="AH202">
        <v>0</v>
      </c>
      <c r="AI202">
        <v>8.9</v>
      </c>
      <c r="AJ202">
        <v>1</v>
      </c>
      <c r="AK202">
        <v>1</v>
      </c>
      <c r="AL202">
        <v>1</v>
      </c>
      <c r="AM202">
        <v>4</v>
      </c>
      <c r="AN202">
        <v>0</v>
      </c>
      <c r="AO202">
        <v>1</v>
      </c>
      <c r="AP202">
        <v>1</v>
      </c>
      <c r="AQ202">
        <v>0</v>
      </c>
      <c r="AR202">
        <v>0</v>
      </c>
      <c r="AS202" t="s">
        <v>3</v>
      </c>
      <c r="AT202">
        <v>4.4999999999999997E-3</v>
      </c>
      <c r="AU202" t="s">
        <v>3</v>
      </c>
      <c r="AV202">
        <v>0</v>
      </c>
      <c r="AW202">
        <v>2</v>
      </c>
      <c r="AX202">
        <v>145110667</v>
      </c>
      <c r="AY202">
        <v>1</v>
      </c>
      <c r="AZ202">
        <v>0</v>
      </c>
      <c r="BA202">
        <v>229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CX202">
        <f>ROUND(Y202*Source!I160,9)</f>
        <v>2.7342E-3</v>
      </c>
      <c r="CY202">
        <f>AA202</f>
        <v>85689.2</v>
      </c>
      <c r="CZ202">
        <f>AE202</f>
        <v>9628</v>
      </c>
      <c r="DA202">
        <f>AI202</f>
        <v>8.9</v>
      </c>
      <c r="DB202">
        <f>ROUND(ROUND(AT202*CZ202,2),2)</f>
        <v>43.33</v>
      </c>
      <c r="DC202">
        <f>ROUND(ROUND(AT202*AG202,2),2)</f>
        <v>0</v>
      </c>
      <c r="DD202" t="s">
        <v>3</v>
      </c>
      <c r="DE202" t="s">
        <v>3</v>
      </c>
      <c r="DF202">
        <f>ROUND(ROUND(AE202*AI202,2)*CX202,2)</f>
        <v>234.29</v>
      </c>
      <c r="DG202">
        <f t="shared" si="85"/>
        <v>0</v>
      </c>
      <c r="DH202">
        <f t="shared" si="86"/>
        <v>0</v>
      </c>
      <c r="DI202">
        <f t="shared" si="84"/>
        <v>0</v>
      </c>
      <c r="DJ202">
        <f>DF202</f>
        <v>234.29</v>
      </c>
      <c r="DK202">
        <v>0</v>
      </c>
      <c r="DL202" t="s">
        <v>3</v>
      </c>
      <c r="DM202">
        <v>0</v>
      </c>
      <c r="DN202" t="s">
        <v>3</v>
      </c>
      <c r="DO202">
        <v>0</v>
      </c>
    </row>
    <row r="203" spans="1:119" x14ac:dyDescent="0.2">
      <c r="A203">
        <f>ROW(Source!A160)</f>
        <v>160</v>
      </c>
      <c r="B203">
        <v>145026783</v>
      </c>
      <c r="C203">
        <v>145027492</v>
      </c>
      <c r="D203">
        <v>140813281</v>
      </c>
      <c r="E203">
        <v>1</v>
      </c>
      <c r="F203">
        <v>1</v>
      </c>
      <c r="G203">
        <v>1</v>
      </c>
      <c r="H203">
        <v>3</v>
      </c>
      <c r="I203" t="s">
        <v>791</v>
      </c>
      <c r="J203" t="s">
        <v>792</v>
      </c>
      <c r="K203" t="s">
        <v>793</v>
      </c>
      <c r="L203">
        <v>1377</v>
      </c>
      <c r="N203">
        <v>1013</v>
      </c>
      <c r="O203" t="s">
        <v>794</v>
      </c>
      <c r="P203" t="s">
        <v>794</v>
      </c>
      <c r="Q203">
        <v>1</v>
      </c>
      <c r="W203">
        <v>0</v>
      </c>
      <c r="X203">
        <v>-185539463</v>
      </c>
      <c r="Y203">
        <f>AT203</f>
        <v>44.2</v>
      </c>
      <c r="AA203">
        <v>220.28</v>
      </c>
      <c r="AB203">
        <v>0</v>
      </c>
      <c r="AC203">
        <v>0</v>
      </c>
      <c r="AD203">
        <v>0</v>
      </c>
      <c r="AE203">
        <v>24.75</v>
      </c>
      <c r="AF203">
        <v>0</v>
      </c>
      <c r="AG203">
        <v>0</v>
      </c>
      <c r="AH203">
        <v>0</v>
      </c>
      <c r="AI203">
        <v>8.9</v>
      </c>
      <c r="AJ203">
        <v>1</v>
      </c>
      <c r="AK203">
        <v>1</v>
      </c>
      <c r="AL203">
        <v>1</v>
      </c>
      <c r="AM203">
        <v>4</v>
      </c>
      <c r="AN203">
        <v>0</v>
      </c>
      <c r="AO203">
        <v>1</v>
      </c>
      <c r="AP203">
        <v>1</v>
      </c>
      <c r="AQ203">
        <v>0</v>
      </c>
      <c r="AR203">
        <v>0</v>
      </c>
      <c r="AS203" t="s">
        <v>3</v>
      </c>
      <c r="AT203">
        <v>44.2</v>
      </c>
      <c r="AU203" t="s">
        <v>3</v>
      </c>
      <c r="AV203">
        <v>0</v>
      </c>
      <c r="AW203">
        <v>2</v>
      </c>
      <c r="AX203">
        <v>145110668</v>
      </c>
      <c r="AY203">
        <v>1</v>
      </c>
      <c r="AZ203">
        <v>0</v>
      </c>
      <c r="BA203">
        <v>230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CX203">
        <f>ROUND(Y203*Source!I160,9)</f>
        <v>26.855920000000001</v>
      </c>
      <c r="CY203">
        <f>AA203</f>
        <v>220.28</v>
      </c>
      <c r="CZ203">
        <f>AE203</f>
        <v>24.75</v>
      </c>
      <c r="DA203">
        <f>AI203</f>
        <v>8.9</v>
      </c>
      <c r="DB203">
        <f>ROUND(ROUND(AT203*CZ203,2),2)</f>
        <v>1093.95</v>
      </c>
      <c r="DC203">
        <f>ROUND(ROUND(AT203*AG203,2),2)</f>
        <v>0</v>
      </c>
      <c r="DD203" t="s">
        <v>3</v>
      </c>
      <c r="DE203" t="s">
        <v>3</v>
      </c>
      <c r="DF203">
        <f>ROUND(ROUND(AE203*AI203,2)*CX203,2)</f>
        <v>5915.82</v>
      </c>
      <c r="DG203">
        <f t="shared" si="85"/>
        <v>0</v>
      </c>
      <c r="DH203">
        <f t="shared" si="86"/>
        <v>0</v>
      </c>
      <c r="DI203">
        <f t="shared" si="84"/>
        <v>0</v>
      </c>
      <c r="DJ203">
        <f>DF203</f>
        <v>5915.82</v>
      </c>
      <c r="DK203">
        <v>0</v>
      </c>
      <c r="DL203" t="s">
        <v>3</v>
      </c>
      <c r="DM203">
        <v>0</v>
      </c>
      <c r="DN203" t="s">
        <v>3</v>
      </c>
      <c r="DO203">
        <v>0</v>
      </c>
    </row>
    <row r="204" spans="1:119" x14ac:dyDescent="0.2">
      <c r="A204">
        <f>ROW(Source!A163)</f>
        <v>163</v>
      </c>
      <c r="B204">
        <v>145026783</v>
      </c>
      <c r="C204">
        <v>145080836</v>
      </c>
      <c r="D204">
        <v>140759950</v>
      </c>
      <c r="E204">
        <v>70</v>
      </c>
      <c r="F204">
        <v>1</v>
      </c>
      <c r="G204">
        <v>1</v>
      </c>
      <c r="H204">
        <v>1</v>
      </c>
      <c r="I204" t="s">
        <v>617</v>
      </c>
      <c r="J204" t="s">
        <v>3</v>
      </c>
      <c r="K204" t="s">
        <v>618</v>
      </c>
      <c r="L204">
        <v>1191</v>
      </c>
      <c r="N204">
        <v>1013</v>
      </c>
      <c r="O204" t="s">
        <v>608</v>
      </c>
      <c r="P204" t="s">
        <v>608</v>
      </c>
      <c r="Q204">
        <v>1</v>
      </c>
      <c r="W204">
        <v>0</v>
      </c>
      <c r="X204">
        <v>1903864200</v>
      </c>
      <c r="Y204">
        <f>(AT204*1.15)</f>
        <v>77.855000000000004</v>
      </c>
      <c r="AA204">
        <v>0</v>
      </c>
      <c r="AB204">
        <v>0</v>
      </c>
      <c r="AC204">
        <v>0</v>
      </c>
      <c r="AD204">
        <v>256.72000000000003</v>
      </c>
      <c r="AE204">
        <v>0</v>
      </c>
      <c r="AF204">
        <v>0</v>
      </c>
      <c r="AG204">
        <v>0</v>
      </c>
      <c r="AH204">
        <v>8.02</v>
      </c>
      <c r="AI204">
        <v>1</v>
      </c>
      <c r="AJ204">
        <v>1</v>
      </c>
      <c r="AK204">
        <v>1</v>
      </c>
      <c r="AL204">
        <v>32.01</v>
      </c>
      <c r="AM204">
        <v>4</v>
      </c>
      <c r="AN204">
        <v>0</v>
      </c>
      <c r="AO204">
        <v>1</v>
      </c>
      <c r="AP204">
        <v>1</v>
      </c>
      <c r="AQ204">
        <v>0</v>
      </c>
      <c r="AR204">
        <v>0</v>
      </c>
      <c r="AS204" t="s">
        <v>3</v>
      </c>
      <c r="AT204">
        <v>67.7</v>
      </c>
      <c r="AU204" t="s">
        <v>149</v>
      </c>
      <c r="AV204">
        <v>1</v>
      </c>
      <c r="AW204">
        <v>2</v>
      </c>
      <c r="AX204">
        <v>145080847</v>
      </c>
      <c r="AY204">
        <v>1</v>
      </c>
      <c r="AZ204">
        <v>0</v>
      </c>
      <c r="BA204">
        <v>232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CX204">
        <f>ROUND(Y204*Source!I163,9)</f>
        <v>33.477649999999997</v>
      </c>
      <c r="CY204">
        <f>AD204</f>
        <v>256.72000000000003</v>
      </c>
      <c r="CZ204">
        <f>AH204</f>
        <v>8.02</v>
      </c>
      <c r="DA204">
        <f>AL204</f>
        <v>32.01</v>
      </c>
      <c r="DB204">
        <f>ROUND((ROUND(AT204*CZ204,2)*1.15),2)</f>
        <v>624.39</v>
      </c>
      <c r="DC204">
        <f>ROUND((ROUND(AT204*AG204,2)*1.15),2)</f>
        <v>0</v>
      </c>
      <c r="DD204" t="s">
        <v>3</v>
      </c>
      <c r="DE204" t="s">
        <v>3</v>
      </c>
      <c r="DF204">
        <f>ROUND(ROUND(AE204,2)*CX204,2)</f>
        <v>0</v>
      </c>
      <c r="DG204">
        <f t="shared" si="85"/>
        <v>0</v>
      </c>
      <c r="DH204">
        <f t="shared" si="86"/>
        <v>0</v>
      </c>
      <c r="DI204">
        <f>ROUND(ROUND(AH204*AL204,2)*CX204,2)</f>
        <v>8594.3799999999992</v>
      </c>
      <c r="DJ204">
        <f>DI204</f>
        <v>8594.3799999999992</v>
      </c>
      <c r="DK204">
        <v>0</v>
      </c>
      <c r="DL204" t="s">
        <v>3</v>
      </c>
      <c r="DM204">
        <v>0</v>
      </c>
      <c r="DN204" t="s">
        <v>3</v>
      </c>
      <c r="DO204">
        <v>0</v>
      </c>
    </row>
    <row r="205" spans="1:119" x14ac:dyDescent="0.2">
      <c r="A205">
        <f>ROW(Source!A163)</f>
        <v>163</v>
      </c>
      <c r="B205">
        <v>145026783</v>
      </c>
      <c r="C205">
        <v>145080836</v>
      </c>
      <c r="D205">
        <v>140760225</v>
      </c>
      <c r="E205">
        <v>70</v>
      </c>
      <c r="F205">
        <v>1</v>
      </c>
      <c r="G205">
        <v>1</v>
      </c>
      <c r="H205">
        <v>1</v>
      </c>
      <c r="I205" t="s">
        <v>609</v>
      </c>
      <c r="J205" t="s">
        <v>3</v>
      </c>
      <c r="K205" t="s">
        <v>610</v>
      </c>
      <c r="L205">
        <v>1191</v>
      </c>
      <c r="N205">
        <v>1013</v>
      </c>
      <c r="O205" t="s">
        <v>608</v>
      </c>
      <c r="P205" t="s">
        <v>608</v>
      </c>
      <c r="Q205">
        <v>1</v>
      </c>
      <c r="W205">
        <v>0</v>
      </c>
      <c r="X205">
        <v>-1417349443</v>
      </c>
      <c r="Y205">
        <f>(AT205*1.25)</f>
        <v>5.25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1</v>
      </c>
      <c r="AJ205">
        <v>1</v>
      </c>
      <c r="AK205">
        <v>32.01</v>
      </c>
      <c r="AL205">
        <v>1</v>
      </c>
      <c r="AM205">
        <v>4</v>
      </c>
      <c r="AN205">
        <v>0</v>
      </c>
      <c r="AO205">
        <v>1</v>
      </c>
      <c r="AP205">
        <v>1</v>
      </c>
      <c r="AQ205">
        <v>0</v>
      </c>
      <c r="AR205">
        <v>0</v>
      </c>
      <c r="AS205" t="s">
        <v>3</v>
      </c>
      <c r="AT205">
        <v>4.2</v>
      </c>
      <c r="AU205" t="s">
        <v>148</v>
      </c>
      <c r="AV205">
        <v>2</v>
      </c>
      <c r="AW205">
        <v>2</v>
      </c>
      <c r="AX205">
        <v>145080848</v>
      </c>
      <c r="AY205">
        <v>1</v>
      </c>
      <c r="AZ205">
        <v>0</v>
      </c>
      <c r="BA205">
        <v>233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CX205">
        <f>ROUND(Y205*Source!I163,9)</f>
        <v>2.2574999999999998</v>
      </c>
      <c r="CY205">
        <f>AD205</f>
        <v>0</v>
      </c>
      <c r="CZ205">
        <f>AH205</f>
        <v>0</v>
      </c>
      <c r="DA205">
        <f>AL205</f>
        <v>1</v>
      </c>
      <c r="DB205">
        <f>ROUND((ROUND(AT205*CZ205,2)*1.25),2)</f>
        <v>0</v>
      </c>
      <c r="DC205">
        <f>ROUND((ROUND(AT205*AG205,2)*1.25),2)</f>
        <v>0</v>
      </c>
      <c r="DD205" t="s">
        <v>3</v>
      </c>
      <c r="DE205" t="s">
        <v>3</v>
      </c>
      <c r="DF205">
        <f>ROUND(ROUND(AE205,2)*CX205,2)</f>
        <v>0</v>
      </c>
      <c r="DG205">
        <f t="shared" si="85"/>
        <v>0</v>
      </c>
      <c r="DH205">
        <f>ROUND(ROUND(AG205*AK205,2)*CX205,2)</f>
        <v>0</v>
      </c>
      <c r="DI205">
        <f t="shared" ref="DI205:DI210" si="87">ROUND(ROUND(AH205,2)*CX205,2)</f>
        <v>0</v>
      </c>
      <c r="DJ205">
        <f>DI205</f>
        <v>0</v>
      </c>
      <c r="DK205">
        <v>0</v>
      </c>
      <c r="DL205" t="s">
        <v>3</v>
      </c>
      <c r="DM205">
        <v>0</v>
      </c>
      <c r="DN205" t="s">
        <v>3</v>
      </c>
      <c r="DO205">
        <v>0</v>
      </c>
    </row>
    <row r="206" spans="1:119" x14ac:dyDescent="0.2">
      <c r="A206">
        <f>ROW(Source!A163)</f>
        <v>163</v>
      </c>
      <c r="B206">
        <v>145026783</v>
      </c>
      <c r="C206">
        <v>145080836</v>
      </c>
      <c r="D206">
        <v>140923145</v>
      </c>
      <c r="E206">
        <v>1</v>
      </c>
      <c r="F206">
        <v>1</v>
      </c>
      <c r="G206">
        <v>1</v>
      </c>
      <c r="H206">
        <v>2</v>
      </c>
      <c r="I206" t="s">
        <v>611</v>
      </c>
      <c r="J206" t="s">
        <v>612</v>
      </c>
      <c r="K206" t="s">
        <v>613</v>
      </c>
      <c r="L206">
        <v>1367</v>
      </c>
      <c r="N206">
        <v>1011</v>
      </c>
      <c r="O206" t="s">
        <v>614</v>
      </c>
      <c r="P206" t="s">
        <v>614</v>
      </c>
      <c r="Q206">
        <v>1</v>
      </c>
      <c r="W206">
        <v>0</v>
      </c>
      <c r="X206">
        <v>1232162608</v>
      </c>
      <c r="Y206">
        <f>(AT206*1.25)</f>
        <v>2.1625000000000001</v>
      </c>
      <c r="AA206">
        <v>0</v>
      </c>
      <c r="AB206">
        <v>388.87</v>
      </c>
      <c r="AC206">
        <v>432.14</v>
      </c>
      <c r="AD206">
        <v>0</v>
      </c>
      <c r="AE206">
        <v>0</v>
      </c>
      <c r="AF206">
        <v>31.26</v>
      </c>
      <c r="AG206">
        <v>13.5</v>
      </c>
      <c r="AH206">
        <v>0</v>
      </c>
      <c r="AI206">
        <v>1</v>
      </c>
      <c r="AJ206">
        <v>12.44</v>
      </c>
      <c r="AK206">
        <v>32.01</v>
      </c>
      <c r="AL206">
        <v>1</v>
      </c>
      <c r="AM206">
        <v>4</v>
      </c>
      <c r="AN206">
        <v>0</v>
      </c>
      <c r="AO206">
        <v>1</v>
      </c>
      <c r="AP206">
        <v>1</v>
      </c>
      <c r="AQ206">
        <v>0</v>
      </c>
      <c r="AR206">
        <v>0</v>
      </c>
      <c r="AS206" t="s">
        <v>3</v>
      </c>
      <c r="AT206">
        <v>1.73</v>
      </c>
      <c r="AU206" t="s">
        <v>148</v>
      </c>
      <c r="AV206">
        <v>0</v>
      </c>
      <c r="AW206">
        <v>2</v>
      </c>
      <c r="AX206">
        <v>145080849</v>
      </c>
      <c r="AY206">
        <v>1</v>
      </c>
      <c r="AZ206">
        <v>0</v>
      </c>
      <c r="BA206">
        <v>234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CX206">
        <f>ROUND(Y206*Source!I163,9)</f>
        <v>0.92987500000000001</v>
      </c>
      <c r="CY206">
        <f>AB206</f>
        <v>388.87</v>
      </c>
      <c r="CZ206">
        <f>AF206</f>
        <v>31.26</v>
      </c>
      <c r="DA206">
        <f>AJ206</f>
        <v>12.44</v>
      </c>
      <c r="DB206">
        <f>ROUND((ROUND(AT206*CZ206,2)*1.25),2)</f>
        <v>67.599999999999994</v>
      </c>
      <c r="DC206">
        <f>ROUND((ROUND(AT206*AG206,2)*1.25),2)</f>
        <v>29.2</v>
      </c>
      <c r="DD206" t="s">
        <v>3</v>
      </c>
      <c r="DE206" t="s">
        <v>3</v>
      </c>
      <c r="DF206">
        <f>ROUND(ROUND(AE206,2)*CX206,2)</f>
        <v>0</v>
      </c>
      <c r="DG206">
        <f>ROUND(ROUND(AF206*AJ206,2)*CX206,2)</f>
        <v>361.6</v>
      </c>
      <c r="DH206">
        <f>ROUND(ROUND(AG206*AK206,2)*CX206,2)</f>
        <v>401.84</v>
      </c>
      <c r="DI206">
        <f t="shared" si="87"/>
        <v>0</v>
      </c>
      <c r="DJ206">
        <f>DG206</f>
        <v>361.6</v>
      </c>
      <c r="DK206">
        <v>0</v>
      </c>
      <c r="DL206" t="s">
        <v>3</v>
      </c>
      <c r="DM206">
        <v>0</v>
      </c>
      <c r="DN206" t="s">
        <v>3</v>
      </c>
      <c r="DO206">
        <v>0</v>
      </c>
    </row>
    <row r="207" spans="1:119" x14ac:dyDescent="0.2">
      <c r="A207">
        <f>ROW(Source!A163)</f>
        <v>163</v>
      </c>
      <c r="B207">
        <v>145026783</v>
      </c>
      <c r="C207">
        <v>145080836</v>
      </c>
      <c r="D207">
        <v>140923885</v>
      </c>
      <c r="E207">
        <v>1</v>
      </c>
      <c r="F207">
        <v>1</v>
      </c>
      <c r="G207">
        <v>1</v>
      </c>
      <c r="H207">
        <v>2</v>
      </c>
      <c r="I207" t="s">
        <v>668</v>
      </c>
      <c r="J207" t="s">
        <v>669</v>
      </c>
      <c r="K207" t="s">
        <v>670</v>
      </c>
      <c r="L207">
        <v>1367</v>
      </c>
      <c r="N207">
        <v>1011</v>
      </c>
      <c r="O207" t="s">
        <v>614</v>
      </c>
      <c r="P207" t="s">
        <v>614</v>
      </c>
      <c r="Q207">
        <v>1</v>
      </c>
      <c r="W207">
        <v>0</v>
      </c>
      <c r="X207">
        <v>509054691</v>
      </c>
      <c r="Y207">
        <f>(AT207*1.25)</f>
        <v>3.0875000000000004</v>
      </c>
      <c r="AA207">
        <v>0</v>
      </c>
      <c r="AB207">
        <v>817.43</v>
      </c>
      <c r="AC207">
        <v>371.32</v>
      </c>
      <c r="AD207">
        <v>0</v>
      </c>
      <c r="AE207">
        <v>0</v>
      </c>
      <c r="AF207">
        <v>65.709999999999994</v>
      </c>
      <c r="AG207">
        <v>11.6</v>
      </c>
      <c r="AH207">
        <v>0</v>
      </c>
      <c r="AI207">
        <v>1</v>
      </c>
      <c r="AJ207">
        <v>12.44</v>
      </c>
      <c r="AK207">
        <v>32.01</v>
      </c>
      <c r="AL207">
        <v>1</v>
      </c>
      <c r="AM207">
        <v>4</v>
      </c>
      <c r="AN207">
        <v>0</v>
      </c>
      <c r="AO207">
        <v>1</v>
      </c>
      <c r="AP207">
        <v>1</v>
      </c>
      <c r="AQ207">
        <v>0</v>
      </c>
      <c r="AR207">
        <v>0</v>
      </c>
      <c r="AS207" t="s">
        <v>3</v>
      </c>
      <c r="AT207">
        <v>2.4700000000000002</v>
      </c>
      <c r="AU207" t="s">
        <v>148</v>
      </c>
      <c r="AV207">
        <v>0</v>
      </c>
      <c r="AW207">
        <v>2</v>
      </c>
      <c r="AX207">
        <v>145080850</v>
      </c>
      <c r="AY207">
        <v>1</v>
      </c>
      <c r="AZ207">
        <v>0</v>
      </c>
      <c r="BA207">
        <v>235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CX207">
        <f>ROUND(Y207*Source!I163,9)</f>
        <v>1.3276250000000001</v>
      </c>
      <c r="CY207">
        <f>AB207</f>
        <v>817.43</v>
      </c>
      <c r="CZ207">
        <f>AF207</f>
        <v>65.709999999999994</v>
      </c>
      <c r="DA207">
        <f>AJ207</f>
        <v>12.44</v>
      </c>
      <c r="DB207">
        <f>ROUND((ROUND(AT207*CZ207,2)*1.25),2)</f>
        <v>202.88</v>
      </c>
      <c r="DC207">
        <f>ROUND((ROUND(AT207*AG207,2)*1.25),2)</f>
        <v>35.81</v>
      </c>
      <c r="DD207" t="s">
        <v>3</v>
      </c>
      <c r="DE207" t="s">
        <v>3</v>
      </c>
      <c r="DF207">
        <f>ROUND(ROUND(AE207,2)*CX207,2)</f>
        <v>0</v>
      </c>
      <c r="DG207">
        <f>ROUND(ROUND(AF207*AJ207,2)*CX207,2)</f>
        <v>1085.24</v>
      </c>
      <c r="DH207">
        <f>ROUND(ROUND(AG207*AK207,2)*CX207,2)</f>
        <v>492.97</v>
      </c>
      <c r="DI207">
        <f t="shared" si="87"/>
        <v>0</v>
      </c>
      <c r="DJ207">
        <f>DG207</f>
        <v>1085.24</v>
      </c>
      <c r="DK207">
        <v>0</v>
      </c>
      <c r="DL207" t="s">
        <v>3</v>
      </c>
      <c r="DM207">
        <v>0</v>
      </c>
      <c r="DN207" t="s">
        <v>3</v>
      </c>
      <c r="DO207">
        <v>0</v>
      </c>
    </row>
    <row r="208" spans="1:119" x14ac:dyDescent="0.2">
      <c r="A208">
        <f>ROW(Source!A163)</f>
        <v>163</v>
      </c>
      <c r="B208">
        <v>145026783</v>
      </c>
      <c r="C208">
        <v>145080836</v>
      </c>
      <c r="D208">
        <v>140775118</v>
      </c>
      <c r="E208">
        <v>1</v>
      </c>
      <c r="F208">
        <v>1</v>
      </c>
      <c r="G208">
        <v>1</v>
      </c>
      <c r="H208">
        <v>3</v>
      </c>
      <c r="I208" t="s">
        <v>671</v>
      </c>
      <c r="J208" t="s">
        <v>672</v>
      </c>
      <c r="K208" t="s">
        <v>673</v>
      </c>
      <c r="L208">
        <v>1348</v>
      </c>
      <c r="N208">
        <v>1009</v>
      </c>
      <c r="O208" t="s">
        <v>49</v>
      </c>
      <c r="P208" t="s">
        <v>49</v>
      </c>
      <c r="Q208">
        <v>1000</v>
      </c>
      <c r="W208">
        <v>0</v>
      </c>
      <c r="X208">
        <v>-45966985</v>
      </c>
      <c r="Y208">
        <f t="shared" ref="Y208:Y214" si="88">AT208</f>
        <v>1.2E-2</v>
      </c>
      <c r="AA208">
        <v>106604.2</v>
      </c>
      <c r="AB208">
        <v>0</v>
      </c>
      <c r="AC208">
        <v>0</v>
      </c>
      <c r="AD208">
        <v>0</v>
      </c>
      <c r="AE208">
        <v>11978</v>
      </c>
      <c r="AF208">
        <v>0</v>
      </c>
      <c r="AG208">
        <v>0</v>
      </c>
      <c r="AH208">
        <v>0</v>
      </c>
      <c r="AI208">
        <v>8.9</v>
      </c>
      <c r="AJ208">
        <v>1</v>
      </c>
      <c r="AK208">
        <v>1</v>
      </c>
      <c r="AL208">
        <v>1</v>
      </c>
      <c r="AM208">
        <v>4</v>
      </c>
      <c r="AN208">
        <v>0</v>
      </c>
      <c r="AO208">
        <v>1</v>
      </c>
      <c r="AP208">
        <v>1</v>
      </c>
      <c r="AQ208">
        <v>0</v>
      </c>
      <c r="AR208">
        <v>0</v>
      </c>
      <c r="AS208" t="s">
        <v>3</v>
      </c>
      <c r="AT208">
        <v>1.2E-2</v>
      </c>
      <c r="AU208" t="s">
        <v>3</v>
      </c>
      <c r="AV208">
        <v>0</v>
      </c>
      <c r="AW208">
        <v>2</v>
      </c>
      <c r="AX208">
        <v>145080851</v>
      </c>
      <c r="AY208">
        <v>1</v>
      </c>
      <c r="AZ208">
        <v>0</v>
      </c>
      <c r="BA208">
        <v>236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CX208">
        <f>ROUND(Y208*Source!I163,9)</f>
        <v>5.1599999999999997E-3</v>
      </c>
      <c r="CY208">
        <f>AA208</f>
        <v>106604.2</v>
      </c>
      <c r="CZ208">
        <f>AE208</f>
        <v>11978</v>
      </c>
      <c r="DA208">
        <f>AI208</f>
        <v>8.9</v>
      </c>
      <c r="DB208">
        <f t="shared" ref="DB208:DB214" si="89">ROUND(ROUND(AT208*CZ208,2),2)</f>
        <v>143.74</v>
      </c>
      <c r="DC208">
        <f t="shared" ref="DC208:DC214" si="90">ROUND(ROUND(AT208*AG208,2),2)</f>
        <v>0</v>
      </c>
      <c r="DD208" t="s">
        <v>3</v>
      </c>
      <c r="DE208" t="s">
        <v>3</v>
      </c>
      <c r="DF208">
        <f>ROUND(ROUND(AE208*AI208,2)*CX208,2)</f>
        <v>550.08000000000004</v>
      </c>
      <c r="DG208">
        <f>ROUND(ROUND(AF208,2)*CX208,2)</f>
        <v>0</v>
      </c>
      <c r="DH208">
        <f>ROUND(ROUND(AG208,2)*CX208,2)</f>
        <v>0</v>
      </c>
      <c r="DI208">
        <f t="shared" si="87"/>
        <v>0</v>
      </c>
      <c r="DJ208">
        <f>DF208</f>
        <v>550.08000000000004</v>
      </c>
      <c r="DK208">
        <v>0</v>
      </c>
      <c r="DL208" t="s">
        <v>3</v>
      </c>
      <c r="DM208">
        <v>0</v>
      </c>
      <c r="DN208" t="s">
        <v>3</v>
      </c>
      <c r="DO208">
        <v>0</v>
      </c>
    </row>
    <row r="209" spans="1:119" x14ac:dyDescent="0.2">
      <c r="A209">
        <f>ROW(Source!A163)</f>
        <v>163</v>
      </c>
      <c r="B209">
        <v>145026783</v>
      </c>
      <c r="C209">
        <v>145080836</v>
      </c>
      <c r="D209">
        <v>140790834</v>
      </c>
      <c r="E209">
        <v>1</v>
      </c>
      <c r="F209">
        <v>1</v>
      </c>
      <c r="G209">
        <v>1</v>
      </c>
      <c r="H209">
        <v>3</v>
      </c>
      <c r="I209" t="s">
        <v>795</v>
      </c>
      <c r="J209" t="s">
        <v>796</v>
      </c>
      <c r="K209" t="s">
        <v>797</v>
      </c>
      <c r="L209">
        <v>1348</v>
      </c>
      <c r="N209">
        <v>1009</v>
      </c>
      <c r="O209" t="s">
        <v>49</v>
      </c>
      <c r="P209" t="s">
        <v>49</v>
      </c>
      <c r="Q209">
        <v>1000</v>
      </c>
      <c r="W209">
        <v>0</v>
      </c>
      <c r="X209">
        <v>-807853778</v>
      </c>
      <c r="Y209">
        <f t="shared" si="88"/>
        <v>3.5000000000000003E-2</v>
      </c>
      <c r="AA209">
        <v>53302.1</v>
      </c>
      <c r="AB209">
        <v>0</v>
      </c>
      <c r="AC209">
        <v>0</v>
      </c>
      <c r="AD209">
        <v>0</v>
      </c>
      <c r="AE209">
        <v>5989</v>
      </c>
      <c r="AF209">
        <v>0</v>
      </c>
      <c r="AG209">
        <v>0</v>
      </c>
      <c r="AH209">
        <v>0</v>
      </c>
      <c r="AI209">
        <v>8.9</v>
      </c>
      <c r="AJ209">
        <v>1</v>
      </c>
      <c r="AK209">
        <v>1</v>
      </c>
      <c r="AL209">
        <v>1</v>
      </c>
      <c r="AM209">
        <v>4</v>
      </c>
      <c r="AN209">
        <v>0</v>
      </c>
      <c r="AO209">
        <v>1</v>
      </c>
      <c r="AP209">
        <v>1</v>
      </c>
      <c r="AQ209">
        <v>0</v>
      </c>
      <c r="AR209">
        <v>0</v>
      </c>
      <c r="AS209" t="s">
        <v>3</v>
      </c>
      <c r="AT209">
        <v>3.5000000000000003E-2</v>
      </c>
      <c r="AU209" t="s">
        <v>3</v>
      </c>
      <c r="AV209">
        <v>0</v>
      </c>
      <c r="AW209">
        <v>2</v>
      </c>
      <c r="AX209">
        <v>145080852</v>
      </c>
      <c r="AY209">
        <v>1</v>
      </c>
      <c r="AZ209">
        <v>0</v>
      </c>
      <c r="BA209">
        <v>237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CX209">
        <f>ROUND(Y209*Source!I163,9)</f>
        <v>1.5049999999999999E-2</v>
      </c>
      <c r="CY209">
        <f>AA209</f>
        <v>53302.1</v>
      </c>
      <c r="CZ209">
        <f>AE209</f>
        <v>5989</v>
      </c>
      <c r="DA209">
        <f>AI209</f>
        <v>8.9</v>
      </c>
      <c r="DB209">
        <f t="shared" si="89"/>
        <v>209.62</v>
      </c>
      <c r="DC209">
        <f t="shared" si="90"/>
        <v>0</v>
      </c>
      <c r="DD209" t="s">
        <v>3</v>
      </c>
      <c r="DE209" t="s">
        <v>3</v>
      </c>
      <c r="DF209">
        <f>ROUND(ROUND(AE209*AI209,2)*CX209,2)</f>
        <v>802.2</v>
      </c>
      <c r="DG209">
        <f>ROUND(ROUND(AF209,2)*CX209,2)</f>
        <v>0</v>
      </c>
      <c r="DH209">
        <f>ROUND(ROUND(AG209,2)*CX209,2)</f>
        <v>0</v>
      </c>
      <c r="DI209">
        <f t="shared" si="87"/>
        <v>0</v>
      </c>
      <c r="DJ209">
        <f>DF209</f>
        <v>802.2</v>
      </c>
      <c r="DK209">
        <v>0</v>
      </c>
      <c r="DL209" t="s">
        <v>3</v>
      </c>
      <c r="DM209">
        <v>0</v>
      </c>
      <c r="DN209" t="s">
        <v>3</v>
      </c>
      <c r="DO209">
        <v>0</v>
      </c>
    </row>
    <row r="210" spans="1:119" x14ac:dyDescent="0.2">
      <c r="A210">
        <f>ROW(Source!A163)</f>
        <v>163</v>
      </c>
      <c r="B210">
        <v>145026783</v>
      </c>
      <c r="C210">
        <v>145080836</v>
      </c>
      <c r="D210">
        <v>140797270</v>
      </c>
      <c r="E210">
        <v>1</v>
      </c>
      <c r="F210">
        <v>1</v>
      </c>
      <c r="G210">
        <v>1</v>
      </c>
      <c r="H210">
        <v>3</v>
      </c>
      <c r="I210" t="s">
        <v>468</v>
      </c>
      <c r="J210" t="s">
        <v>470</v>
      </c>
      <c r="K210" t="s">
        <v>469</v>
      </c>
      <c r="L210">
        <v>1301</v>
      </c>
      <c r="N210">
        <v>1003</v>
      </c>
      <c r="O210" t="s">
        <v>191</v>
      </c>
      <c r="P210" t="s">
        <v>191</v>
      </c>
      <c r="Q210">
        <v>1</v>
      </c>
      <c r="W210">
        <v>1</v>
      </c>
      <c r="X210">
        <v>1217145207</v>
      </c>
      <c r="Y210">
        <f t="shared" si="88"/>
        <v>-400</v>
      </c>
      <c r="AA210">
        <v>28.48</v>
      </c>
      <c r="AB210">
        <v>0</v>
      </c>
      <c r="AC210">
        <v>0</v>
      </c>
      <c r="AD210">
        <v>0</v>
      </c>
      <c r="AE210">
        <v>3.2</v>
      </c>
      <c r="AF210">
        <v>0</v>
      </c>
      <c r="AG210">
        <v>0</v>
      </c>
      <c r="AH210">
        <v>0</v>
      </c>
      <c r="AI210">
        <v>8.9</v>
      </c>
      <c r="AJ210">
        <v>1</v>
      </c>
      <c r="AK210">
        <v>1</v>
      </c>
      <c r="AL210">
        <v>1</v>
      </c>
      <c r="AM210">
        <v>4</v>
      </c>
      <c r="AN210">
        <v>0</v>
      </c>
      <c r="AO210">
        <v>1</v>
      </c>
      <c r="AP210">
        <v>1</v>
      </c>
      <c r="AQ210">
        <v>0</v>
      </c>
      <c r="AR210">
        <v>0</v>
      </c>
      <c r="AS210" t="s">
        <v>3</v>
      </c>
      <c r="AT210">
        <v>-400</v>
      </c>
      <c r="AU210" t="s">
        <v>3</v>
      </c>
      <c r="AV210">
        <v>0</v>
      </c>
      <c r="AW210">
        <v>2</v>
      </c>
      <c r="AX210">
        <v>145080854</v>
      </c>
      <c r="AY210">
        <v>1</v>
      </c>
      <c r="AZ210">
        <v>6144</v>
      </c>
      <c r="BA210">
        <v>239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CX210">
        <f>ROUND(Y210*Source!I163,9)</f>
        <v>-172</v>
      </c>
      <c r="CY210">
        <f>AA210</f>
        <v>28.48</v>
      </c>
      <c r="CZ210">
        <f>AE210</f>
        <v>3.2</v>
      </c>
      <c r="DA210">
        <f>AI210</f>
        <v>8.9</v>
      </c>
      <c r="DB210">
        <f t="shared" si="89"/>
        <v>-1280</v>
      </c>
      <c r="DC210">
        <f t="shared" si="90"/>
        <v>0</v>
      </c>
      <c r="DD210" t="s">
        <v>3</v>
      </c>
      <c r="DE210" t="s">
        <v>3</v>
      </c>
      <c r="DF210">
        <f>ROUND(ROUND(AE210*AI210,2)*CX210,2)</f>
        <v>-4898.5600000000004</v>
      </c>
      <c r="DG210">
        <f>ROUND(ROUND(AF210,2)*CX210,2)</f>
        <v>0</v>
      </c>
      <c r="DH210">
        <f>ROUND(ROUND(AG210,2)*CX210,2)</f>
        <v>0</v>
      </c>
      <c r="DI210">
        <f t="shared" si="87"/>
        <v>0</v>
      </c>
      <c r="DJ210">
        <f>DF210</f>
        <v>-4898.5600000000004</v>
      </c>
      <c r="DK210">
        <v>0</v>
      </c>
      <c r="DL210" t="s">
        <v>3</v>
      </c>
      <c r="DM210">
        <v>0</v>
      </c>
      <c r="DN210" t="s">
        <v>3</v>
      </c>
      <c r="DO210">
        <v>0</v>
      </c>
    </row>
    <row r="211" spans="1:119" x14ac:dyDescent="0.2">
      <c r="A211">
        <f>ROW(Source!A201)</f>
        <v>201</v>
      </c>
      <c r="B211">
        <v>145026783</v>
      </c>
      <c r="C211">
        <v>145027532</v>
      </c>
      <c r="D211">
        <v>140759979</v>
      </c>
      <c r="E211">
        <v>70</v>
      </c>
      <c r="F211">
        <v>1</v>
      </c>
      <c r="G211">
        <v>1</v>
      </c>
      <c r="H211">
        <v>1</v>
      </c>
      <c r="I211" t="s">
        <v>698</v>
      </c>
      <c r="J211" t="s">
        <v>3</v>
      </c>
      <c r="K211" t="s">
        <v>699</v>
      </c>
      <c r="L211">
        <v>1191</v>
      </c>
      <c r="N211">
        <v>1013</v>
      </c>
      <c r="O211" t="s">
        <v>608</v>
      </c>
      <c r="P211" t="s">
        <v>608</v>
      </c>
      <c r="Q211">
        <v>1</v>
      </c>
      <c r="W211">
        <v>0</v>
      </c>
      <c r="X211">
        <v>1049124552</v>
      </c>
      <c r="Y211">
        <f t="shared" si="88"/>
        <v>69.87</v>
      </c>
      <c r="AA211">
        <v>0</v>
      </c>
      <c r="AB211">
        <v>0</v>
      </c>
      <c r="AC211">
        <v>0</v>
      </c>
      <c r="AD211">
        <v>273.05</v>
      </c>
      <c r="AE211">
        <v>0</v>
      </c>
      <c r="AF211">
        <v>0</v>
      </c>
      <c r="AG211">
        <v>0</v>
      </c>
      <c r="AH211">
        <v>8.5299999999999994</v>
      </c>
      <c r="AI211">
        <v>1</v>
      </c>
      <c r="AJ211">
        <v>1</v>
      </c>
      <c r="AK211">
        <v>1</v>
      </c>
      <c r="AL211">
        <v>32.01</v>
      </c>
      <c r="AM211">
        <v>4</v>
      </c>
      <c r="AN211">
        <v>0</v>
      </c>
      <c r="AO211">
        <v>1</v>
      </c>
      <c r="AP211">
        <v>1</v>
      </c>
      <c r="AQ211">
        <v>0</v>
      </c>
      <c r="AR211">
        <v>0</v>
      </c>
      <c r="AS211" t="s">
        <v>3</v>
      </c>
      <c r="AT211">
        <v>69.87</v>
      </c>
      <c r="AU211" t="s">
        <v>3</v>
      </c>
      <c r="AV211">
        <v>1</v>
      </c>
      <c r="AW211">
        <v>2</v>
      </c>
      <c r="AX211">
        <v>145027537</v>
      </c>
      <c r="AY211">
        <v>1</v>
      </c>
      <c r="AZ211">
        <v>0</v>
      </c>
      <c r="BA211">
        <v>240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CX211">
        <f>ROUND(Y211*Source!I201,9)</f>
        <v>12.576599999999999</v>
      </c>
      <c r="CY211">
        <f>AD211</f>
        <v>273.05</v>
      </c>
      <c r="CZ211">
        <f>AH211</f>
        <v>8.5299999999999994</v>
      </c>
      <c r="DA211">
        <f>AL211</f>
        <v>32.01</v>
      </c>
      <c r="DB211">
        <f t="shared" si="89"/>
        <v>595.99</v>
      </c>
      <c r="DC211">
        <f t="shared" si="90"/>
        <v>0</v>
      </c>
      <c r="DD211" t="s">
        <v>3</v>
      </c>
      <c r="DE211" t="s">
        <v>3</v>
      </c>
      <c r="DF211">
        <f>ROUND(ROUND(AE211,2)*CX211,2)</f>
        <v>0</v>
      </c>
      <c r="DG211">
        <f>ROUND(ROUND(AF211,2)*CX211,2)</f>
        <v>0</v>
      </c>
      <c r="DH211">
        <f>ROUND(ROUND(AG211,2)*CX211,2)</f>
        <v>0</v>
      </c>
      <c r="DI211">
        <f>ROUND(ROUND(AH211*AL211,2)*CX211,2)</f>
        <v>3434.04</v>
      </c>
      <c r="DJ211">
        <f>DI211</f>
        <v>3434.04</v>
      </c>
      <c r="DK211">
        <v>0</v>
      </c>
      <c r="DL211" t="s">
        <v>3</v>
      </c>
      <c r="DM211">
        <v>0</v>
      </c>
      <c r="DN211" t="s">
        <v>3</v>
      </c>
      <c r="DO211">
        <v>0</v>
      </c>
    </row>
    <row r="212" spans="1:119" x14ac:dyDescent="0.2">
      <c r="A212">
        <f>ROW(Source!A201)</f>
        <v>201</v>
      </c>
      <c r="B212">
        <v>145026783</v>
      </c>
      <c r="C212">
        <v>145027532</v>
      </c>
      <c r="D212">
        <v>140760225</v>
      </c>
      <c r="E212">
        <v>70</v>
      </c>
      <c r="F212">
        <v>1</v>
      </c>
      <c r="G212">
        <v>1</v>
      </c>
      <c r="H212">
        <v>1</v>
      </c>
      <c r="I212" t="s">
        <v>609</v>
      </c>
      <c r="J212" t="s">
        <v>3</v>
      </c>
      <c r="K212" t="s">
        <v>610</v>
      </c>
      <c r="L212">
        <v>1191</v>
      </c>
      <c r="N212">
        <v>1013</v>
      </c>
      <c r="O212" t="s">
        <v>608</v>
      </c>
      <c r="P212" t="s">
        <v>608</v>
      </c>
      <c r="Q212">
        <v>1</v>
      </c>
      <c r="W212">
        <v>0</v>
      </c>
      <c r="X212">
        <v>-1417349443</v>
      </c>
      <c r="Y212">
        <f t="shared" si="88"/>
        <v>1.44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1</v>
      </c>
      <c r="AJ212">
        <v>1</v>
      </c>
      <c r="AK212">
        <v>32.01</v>
      </c>
      <c r="AL212">
        <v>1</v>
      </c>
      <c r="AM212">
        <v>4</v>
      </c>
      <c r="AN212">
        <v>0</v>
      </c>
      <c r="AO212">
        <v>1</v>
      </c>
      <c r="AP212">
        <v>1</v>
      </c>
      <c r="AQ212">
        <v>0</v>
      </c>
      <c r="AR212">
        <v>0</v>
      </c>
      <c r="AS212" t="s">
        <v>3</v>
      </c>
      <c r="AT212">
        <v>1.44</v>
      </c>
      <c r="AU212" t="s">
        <v>3</v>
      </c>
      <c r="AV212">
        <v>2</v>
      </c>
      <c r="AW212">
        <v>2</v>
      </c>
      <c r="AX212">
        <v>145027538</v>
      </c>
      <c r="AY212">
        <v>1</v>
      </c>
      <c r="AZ212">
        <v>0</v>
      </c>
      <c r="BA212">
        <v>241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CX212">
        <f>ROUND(Y212*Source!I201,9)</f>
        <v>0.25919999999999999</v>
      </c>
      <c r="CY212">
        <f>AD212</f>
        <v>0</v>
      </c>
      <c r="CZ212">
        <f>AH212</f>
        <v>0</v>
      </c>
      <c r="DA212">
        <f>AL212</f>
        <v>1</v>
      </c>
      <c r="DB212">
        <f t="shared" si="89"/>
        <v>0</v>
      </c>
      <c r="DC212">
        <f t="shared" si="90"/>
        <v>0</v>
      </c>
      <c r="DD212" t="s">
        <v>3</v>
      </c>
      <c r="DE212" t="s">
        <v>3</v>
      </c>
      <c r="DF212">
        <f>ROUND(ROUND(AE212,2)*CX212,2)</f>
        <v>0</v>
      </c>
      <c r="DG212">
        <f>ROUND(ROUND(AF212,2)*CX212,2)</f>
        <v>0</v>
      </c>
      <c r="DH212">
        <f>ROUND(ROUND(AG212*AK212,2)*CX212,2)</f>
        <v>0</v>
      </c>
      <c r="DI212">
        <f>ROUND(ROUND(AH212,2)*CX212,2)</f>
        <v>0</v>
      </c>
      <c r="DJ212">
        <f>DI212</f>
        <v>0</v>
      </c>
      <c r="DK212">
        <v>0</v>
      </c>
      <c r="DL212" t="s">
        <v>3</v>
      </c>
      <c r="DM212">
        <v>0</v>
      </c>
      <c r="DN212" t="s">
        <v>3</v>
      </c>
      <c r="DO212">
        <v>0</v>
      </c>
    </row>
    <row r="213" spans="1:119" x14ac:dyDescent="0.2">
      <c r="A213">
        <f>ROW(Source!A201)</f>
        <v>201</v>
      </c>
      <c r="B213">
        <v>145026783</v>
      </c>
      <c r="C213">
        <v>145027532</v>
      </c>
      <c r="D213">
        <v>140923145</v>
      </c>
      <c r="E213">
        <v>1</v>
      </c>
      <c r="F213">
        <v>1</v>
      </c>
      <c r="G213">
        <v>1</v>
      </c>
      <c r="H213">
        <v>2</v>
      </c>
      <c r="I213" t="s">
        <v>611</v>
      </c>
      <c r="J213" t="s">
        <v>612</v>
      </c>
      <c r="K213" t="s">
        <v>613</v>
      </c>
      <c r="L213">
        <v>1367</v>
      </c>
      <c r="N213">
        <v>1011</v>
      </c>
      <c r="O213" t="s">
        <v>614</v>
      </c>
      <c r="P213" t="s">
        <v>614</v>
      </c>
      <c r="Q213">
        <v>1</v>
      </c>
      <c r="W213">
        <v>0</v>
      </c>
      <c r="X213">
        <v>1232162608</v>
      </c>
      <c r="Y213">
        <f t="shared" si="88"/>
        <v>1.44</v>
      </c>
      <c r="AA213">
        <v>0</v>
      </c>
      <c r="AB213">
        <v>388.87</v>
      </c>
      <c r="AC213">
        <v>432.14</v>
      </c>
      <c r="AD213">
        <v>0</v>
      </c>
      <c r="AE213">
        <v>0</v>
      </c>
      <c r="AF213">
        <v>31.26</v>
      </c>
      <c r="AG213">
        <v>13.5</v>
      </c>
      <c r="AH213">
        <v>0</v>
      </c>
      <c r="AI213">
        <v>1</v>
      </c>
      <c r="AJ213">
        <v>12.44</v>
      </c>
      <c r="AK213">
        <v>32.01</v>
      </c>
      <c r="AL213">
        <v>1</v>
      </c>
      <c r="AM213">
        <v>4</v>
      </c>
      <c r="AN213">
        <v>0</v>
      </c>
      <c r="AO213">
        <v>1</v>
      </c>
      <c r="AP213">
        <v>1</v>
      </c>
      <c r="AQ213">
        <v>0</v>
      </c>
      <c r="AR213">
        <v>0</v>
      </c>
      <c r="AS213" t="s">
        <v>3</v>
      </c>
      <c r="AT213">
        <v>1.44</v>
      </c>
      <c r="AU213" t="s">
        <v>3</v>
      </c>
      <c r="AV213">
        <v>0</v>
      </c>
      <c r="AW213">
        <v>2</v>
      </c>
      <c r="AX213">
        <v>145027539</v>
      </c>
      <c r="AY213">
        <v>1</v>
      </c>
      <c r="AZ213">
        <v>0</v>
      </c>
      <c r="BA213">
        <v>242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CX213">
        <f>ROUND(Y213*Source!I201,9)</f>
        <v>0.25919999999999999</v>
      </c>
      <c r="CY213">
        <f>AB213</f>
        <v>388.87</v>
      </c>
      <c r="CZ213">
        <f>AF213</f>
        <v>31.26</v>
      </c>
      <c r="DA213">
        <f>AJ213</f>
        <v>12.44</v>
      </c>
      <c r="DB213">
        <f t="shared" si="89"/>
        <v>45.01</v>
      </c>
      <c r="DC213">
        <f t="shared" si="90"/>
        <v>19.440000000000001</v>
      </c>
      <c r="DD213" t="s">
        <v>3</v>
      </c>
      <c r="DE213" t="s">
        <v>3</v>
      </c>
      <c r="DF213">
        <f>ROUND(ROUND(AE213,2)*CX213,2)</f>
        <v>0</v>
      </c>
      <c r="DG213">
        <f>ROUND(ROUND(AF213*AJ213,2)*CX213,2)</f>
        <v>100.8</v>
      </c>
      <c r="DH213">
        <f>ROUND(ROUND(AG213*AK213,2)*CX213,2)</f>
        <v>112.01</v>
      </c>
      <c r="DI213">
        <f>ROUND(ROUND(AH213,2)*CX213,2)</f>
        <v>0</v>
      </c>
      <c r="DJ213">
        <f>DG213</f>
        <v>100.8</v>
      </c>
      <c r="DK213">
        <v>0</v>
      </c>
      <c r="DL213" t="s">
        <v>3</v>
      </c>
      <c r="DM213">
        <v>0</v>
      </c>
      <c r="DN213" t="s">
        <v>3</v>
      </c>
      <c r="DO213">
        <v>0</v>
      </c>
    </row>
    <row r="214" spans="1:119" x14ac:dyDescent="0.2">
      <c r="A214">
        <f>ROW(Source!A201)</f>
        <v>201</v>
      </c>
      <c r="B214">
        <v>145026783</v>
      </c>
      <c r="C214">
        <v>145027532</v>
      </c>
      <c r="D214">
        <v>140765020</v>
      </c>
      <c r="E214">
        <v>70</v>
      </c>
      <c r="F214">
        <v>1</v>
      </c>
      <c r="G214">
        <v>1</v>
      </c>
      <c r="H214">
        <v>3</v>
      </c>
      <c r="I214" t="s">
        <v>47</v>
      </c>
      <c r="J214" t="s">
        <v>3</v>
      </c>
      <c r="K214" t="s">
        <v>48</v>
      </c>
      <c r="L214">
        <v>1348</v>
      </c>
      <c r="N214">
        <v>1009</v>
      </c>
      <c r="O214" t="s">
        <v>49</v>
      </c>
      <c r="P214" t="s">
        <v>49</v>
      </c>
      <c r="Q214">
        <v>1000</v>
      </c>
      <c r="W214">
        <v>0</v>
      </c>
      <c r="X214">
        <v>2102561428</v>
      </c>
      <c r="Y214">
        <f t="shared" si="88"/>
        <v>5.2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8.9</v>
      </c>
      <c r="AJ214">
        <v>1</v>
      </c>
      <c r="AK214">
        <v>1</v>
      </c>
      <c r="AL214">
        <v>1</v>
      </c>
      <c r="AM214">
        <v>0</v>
      </c>
      <c r="AN214">
        <v>0</v>
      </c>
      <c r="AO214">
        <v>0</v>
      </c>
      <c r="AP214">
        <v>1</v>
      </c>
      <c r="AQ214">
        <v>0</v>
      </c>
      <c r="AR214">
        <v>0</v>
      </c>
      <c r="AS214" t="s">
        <v>3</v>
      </c>
      <c r="AT214">
        <v>5.2</v>
      </c>
      <c r="AU214" t="s">
        <v>3</v>
      </c>
      <c r="AV214">
        <v>0</v>
      </c>
      <c r="AW214">
        <v>2</v>
      </c>
      <c r="AX214">
        <v>145027540</v>
      </c>
      <c r="AY214">
        <v>1</v>
      </c>
      <c r="AZ214">
        <v>0</v>
      </c>
      <c r="BA214">
        <v>243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CX214">
        <f>ROUND(Y214*Source!I201,9)</f>
        <v>0.93600000000000005</v>
      </c>
      <c r="CY214">
        <f>AA214</f>
        <v>0</v>
      </c>
      <c r="CZ214">
        <f>AE214</f>
        <v>0</v>
      </c>
      <c r="DA214">
        <f>AI214</f>
        <v>8.9</v>
      </c>
      <c r="DB214">
        <f t="shared" si="89"/>
        <v>0</v>
      </c>
      <c r="DC214">
        <f t="shared" si="90"/>
        <v>0</v>
      </c>
      <c r="DD214" t="s">
        <v>3</v>
      </c>
      <c r="DE214" t="s">
        <v>3</v>
      </c>
      <c r="DF214">
        <f>ROUND(ROUND(AE214*AI214,2)*CX214,2)</f>
        <v>0</v>
      </c>
      <c r="DG214">
        <f>ROUND(ROUND(AF214,2)*CX214,2)</f>
        <v>0</v>
      </c>
      <c r="DH214">
        <f>ROUND(ROUND(AG214,2)*CX214,2)</f>
        <v>0</v>
      </c>
      <c r="DI214">
        <f>ROUND(ROUND(AH214,2)*CX214,2)</f>
        <v>0</v>
      </c>
      <c r="DJ214">
        <f>DF214</f>
        <v>0</v>
      </c>
      <c r="DK214">
        <v>0</v>
      </c>
      <c r="DL214" t="s">
        <v>3</v>
      </c>
      <c r="DM214">
        <v>0</v>
      </c>
      <c r="DN214" t="s">
        <v>3</v>
      </c>
      <c r="DO214">
        <v>0</v>
      </c>
    </row>
    <row r="215" spans="1:119" x14ac:dyDescent="0.2">
      <c r="A215">
        <f>ROW(Source!A203)</f>
        <v>203</v>
      </c>
      <c r="B215">
        <v>145026783</v>
      </c>
      <c r="C215">
        <v>145040381</v>
      </c>
      <c r="D215">
        <v>140755439</v>
      </c>
      <c r="E215">
        <v>70</v>
      </c>
      <c r="F215">
        <v>1</v>
      </c>
      <c r="G215">
        <v>1</v>
      </c>
      <c r="H215">
        <v>1</v>
      </c>
      <c r="I215" t="s">
        <v>663</v>
      </c>
      <c r="J215" t="s">
        <v>3</v>
      </c>
      <c r="K215" t="s">
        <v>664</v>
      </c>
      <c r="L215">
        <v>1191</v>
      </c>
      <c r="N215">
        <v>1013</v>
      </c>
      <c r="O215" t="s">
        <v>608</v>
      </c>
      <c r="P215" t="s">
        <v>608</v>
      </c>
      <c r="Q215">
        <v>1</v>
      </c>
      <c r="W215">
        <v>0</v>
      </c>
      <c r="X215">
        <v>-1810713292</v>
      </c>
      <c r="Y215">
        <f>(AT215*1.15)</f>
        <v>4.2435</v>
      </c>
      <c r="AA215">
        <v>0</v>
      </c>
      <c r="AB215">
        <v>0</v>
      </c>
      <c r="AC215">
        <v>0</v>
      </c>
      <c r="AD215">
        <v>293.85000000000002</v>
      </c>
      <c r="AE215">
        <v>0</v>
      </c>
      <c r="AF215">
        <v>0</v>
      </c>
      <c r="AG215">
        <v>0</v>
      </c>
      <c r="AH215">
        <v>9.18</v>
      </c>
      <c r="AI215">
        <v>1</v>
      </c>
      <c r="AJ215">
        <v>1</v>
      </c>
      <c r="AK215">
        <v>1</v>
      </c>
      <c r="AL215">
        <v>32.01</v>
      </c>
      <c r="AM215">
        <v>4</v>
      </c>
      <c r="AN215">
        <v>0</v>
      </c>
      <c r="AO215">
        <v>1</v>
      </c>
      <c r="AP215">
        <v>1</v>
      </c>
      <c r="AQ215">
        <v>0</v>
      </c>
      <c r="AR215">
        <v>0</v>
      </c>
      <c r="AS215" t="s">
        <v>3</v>
      </c>
      <c r="AT215">
        <v>3.69</v>
      </c>
      <c r="AU215" t="s">
        <v>149</v>
      </c>
      <c r="AV215">
        <v>1</v>
      </c>
      <c r="AW215">
        <v>2</v>
      </c>
      <c r="AX215">
        <v>145040389</v>
      </c>
      <c r="AY215">
        <v>1</v>
      </c>
      <c r="AZ215">
        <v>0</v>
      </c>
      <c r="BA215">
        <v>244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CX215">
        <f>ROUND(Y215*Source!I203,9)</f>
        <v>0.76383000000000001</v>
      </c>
      <c r="CY215">
        <f>AD215</f>
        <v>293.85000000000002</v>
      </c>
      <c r="CZ215">
        <f>AH215</f>
        <v>9.18</v>
      </c>
      <c r="DA215">
        <f>AL215</f>
        <v>32.01</v>
      </c>
      <c r="DB215">
        <f>ROUND((ROUND(AT215*CZ215,2)*1.15),2)</f>
        <v>38.950000000000003</v>
      </c>
      <c r="DC215">
        <f>ROUND((ROUND(AT215*AG215,2)*1.15),2)</f>
        <v>0</v>
      </c>
      <c r="DD215" t="s">
        <v>3</v>
      </c>
      <c r="DE215" t="s">
        <v>3</v>
      </c>
      <c r="DF215">
        <f>ROUND(ROUND(AE215,2)*CX215,2)</f>
        <v>0</v>
      </c>
      <c r="DG215">
        <f>ROUND(ROUND(AF215,2)*CX215,2)</f>
        <v>0</v>
      </c>
      <c r="DH215">
        <f>ROUND(ROUND(AG215,2)*CX215,2)</f>
        <v>0</v>
      </c>
      <c r="DI215">
        <f>ROUND(ROUND(AH215*AL215,2)*CX215,2)</f>
        <v>224.45</v>
      </c>
      <c r="DJ215">
        <f>DI215</f>
        <v>224.45</v>
      </c>
      <c r="DK215">
        <v>0</v>
      </c>
      <c r="DL215" t="s">
        <v>3</v>
      </c>
      <c r="DM215">
        <v>0</v>
      </c>
      <c r="DN215" t="s">
        <v>3</v>
      </c>
      <c r="DO215">
        <v>0</v>
      </c>
    </row>
    <row r="216" spans="1:119" x14ac:dyDescent="0.2">
      <c r="A216">
        <f>ROW(Source!A203)</f>
        <v>203</v>
      </c>
      <c r="B216">
        <v>145026783</v>
      </c>
      <c r="C216">
        <v>145040381</v>
      </c>
      <c r="D216">
        <v>140755491</v>
      </c>
      <c r="E216">
        <v>70</v>
      </c>
      <c r="F216">
        <v>1</v>
      </c>
      <c r="G216">
        <v>1</v>
      </c>
      <c r="H216">
        <v>1</v>
      </c>
      <c r="I216" t="s">
        <v>609</v>
      </c>
      <c r="J216" t="s">
        <v>3</v>
      </c>
      <c r="K216" t="s">
        <v>610</v>
      </c>
      <c r="L216">
        <v>1191</v>
      </c>
      <c r="N216">
        <v>1013</v>
      </c>
      <c r="O216" t="s">
        <v>608</v>
      </c>
      <c r="P216" t="s">
        <v>608</v>
      </c>
      <c r="Q216">
        <v>1</v>
      </c>
      <c r="W216">
        <v>0</v>
      </c>
      <c r="X216">
        <v>-1417349443</v>
      </c>
      <c r="Y216">
        <f>(AT216*1.25)</f>
        <v>6.25E-2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1</v>
      </c>
      <c r="AJ216">
        <v>1</v>
      </c>
      <c r="AK216">
        <v>32.01</v>
      </c>
      <c r="AL216">
        <v>1</v>
      </c>
      <c r="AM216">
        <v>4</v>
      </c>
      <c r="AN216">
        <v>0</v>
      </c>
      <c r="AO216">
        <v>1</v>
      </c>
      <c r="AP216">
        <v>1</v>
      </c>
      <c r="AQ216">
        <v>0</v>
      </c>
      <c r="AR216">
        <v>0</v>
      </c>
      <c r="AS216" t="s">
        <v>3</v>
      </c>
      <c r="AT216">
        <v>0.05</v>
      </c>
      <c r="AU216" t="s">
        <v>148</v>
      </c>
      <c r="AV216">
        <v>2</v>
      </c>
      <c r="AW216">
        <v>2</v>
      </c>
      <c r="AX216">
        <v>145040390</v>
      </c>
      <c r="AY216">
        <v>1</v>
      </c>
      <c r="AZ216">
        <v>0</v>
      </c>
      <c r="BA216">
        <v>245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CX216">
        <f>ROUND(Y216*Source!I203,9)</f>
        <v>1.125E-2</v>
      </c>
      <c r="CY216">
        <f>AD216</f>
        <v>0</v>
      </c>
      <c r="CZ216">
        <f>AH216</f>
        <v>0</v>
      </c>
      <c r="DA216">
        <f>AL216</f>
        <v>1</v>
      </c>
      <c r="DB216">
        <f>ROUND((ROUND(AT216*CZ216,2)*1.25),2)</f>
        <v>0</v>
      </c>
      <c r="DC216">
        <f>ROUND((ROUND(AT216*AG216,2)*1.25),2)</f>
        <v>0</v>
      </c>
      <c r="DD216" t="s">
        <v>3</v>
      </c>
      <c r="DE216" t="s">
        <v>3</v>
      </c>
      <c r="DF216">
        <f>ROUND(ROUND(AE216,2)*CX216,2)</f>
        <v>0</v>
      </c>
      <c r="DG216">
        <f>ROUND(ROUND(AF216,2)*CX216,2)</f>
        <v>0</v>
      </c>
      <c r="DH216">
        <f>ROUND(ROUND(AG216*AK216,2)*CX216,2)</f>
        <v>0</v>
      </c>
      <c r="DI216">
        <f t="shared" ref="DI216:DI221" si="91">ROUND(ROUND(AH216,2)*CX216,2)</f>
        <v>0</v>
      </c>
      <c r="DJ216">
        <f>DI216</f>
        <v>0</v>
      </c>
      <c r="DK216">
        <v>0</v>
      </c>
      <c r="DL216" t="s">
        <v>3</v>
      </c>
      <c r="DM216">
        <v>0</v>
      </c>
      <c r="DN216" t="s">
        <v>3</v>
      </c>
      <c r="DO216">
        <v>0</v>
      </c>
    </row>
    <row r="217" spans="1:119" x14ac:dyDescent="0.2">
      <c r="A217">
        <f>ROW(Source!A203)</f>
        <v>203</v>
      </c>
      <c r="B217">
        <v>145026783</v>
      </c>
      <c r="C217">
        <v>145040381</v>
      </c>
      <c r="D217">
        <v>140923143</v>
      </c>
      <c r="E217">
        <v>1</v>
      </c>
      <c r="F217">
        <v>1</v>
      </c>
      <c r="G217">
        <v>1</v>
      </c>
      <c r="H217">
        <v>2</v>
      </c>
      <c r="I217" t="s">
        <v>702</v>
      </c>
      <c r="J217" t="s">
        <v>703</v>
      </c>
      <c r="K217" t="s">
        <v>704</v>
      </c>
      <c r="L217">
        <v>1367</v>
      </c>
      <c r="N217">
        <v>1011</v>
      </c>
      <c r="O217" t="s">
        <v>614</v>
      </c>
      <c r="P217" t="s">
        <v>614</v>
      </c>
      <c r="Q217">
        <v>1</v>
      </c>
      <c r="W217">
        <v>0</v>
      </c>
      <c r="X217">
        <v>961999509</v>
      </c>
      <c r="Y217">
        <f>(AT217*1.25)</f>
        <v>1.2500000000000001E-2</v>
      </c>
      <c r="AA217">
        <v>0</v>
      </c>
      <c r="AB217">
        <v>344.09</v>
      </c>
      <c r="AC217">
        <v>371.32</v>
      </c>
      <c r="AD217">
        <v>0</v>
      </c>
      <c r="AE217">
        <v>0</v>
      </c>
      <c r="AF217">
        <v>27.66</v>
      </c>
      <c r="AG217">
        <v>11.6</v>
      </c>
      <c r="AH217">
        <v>0</v>
      </c>
      <c r="AI217">
        <v>1</v>
      </c>
      <c r="AJ217">
        <v>12.44</v>
      </c>
      <c r="AK217">
        <v>32.01</v>
      </c>
      <c r="AL217">
        <v>1</v>
      </c>
      <c r="AM217">
        <v>4</v>
      </c>
      <c r="AN217">
        <v>0</v>
      </c>
      <c r="AO217">
        <v>1</v>
      </c>
      <c r="AP217">
        <v>1</v>
      </c>
      <c r="AQ217">
        <v>0</v>
      </c>
      <c r="AR217">
        <v>0</v>
      </c>
      <c r="AS217" t="s">
        <v>3</v>
      </c>
      <c r="AT217">
        <v>0.01</v>
      </c>
      <c r="AU217" t="s">
        <v>148</v>
      </c>
      <c r="AV217">
        <v>0</v>
      </c>
      <c r="AW217">
        <v>2</v>
      </c>
      <c r="AX217">
        <v>145040391</v>
      </c>
      <c r="AY217">
        <v>1</v>
      </c>
      <c r="AZ217">
        <v>0</v>
      </c>
      <c r="BA217">
        <v>246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CX217">
        <f>ROUND(Y217*Source!I203,9)</f>
        <v>2.2499999999999998E-3</v>
      </c>
      <c r="CY217">
        <f>AB217</f>
        <v>344.09</v>
      </c>
      <c r="CZ217">
        <f>AF217</f>
        <v>27.66</v>
      </c>
      <c r="DA217">
        <f>AJ217</f>
        <v>12.44</v>
      </c>
      <c r="DB217">
        <f>ROUND((ROUND(AT217*CZ217,2)*1.25),2)</f>
        <v>0.35</v>
      </c>
      <c r="DC217">
        <f>ROUND((ROUND(AT217*AG217,2)*1.25),2)</f>
        <v>0.15</v>
      </c>
      <c r="DD217" t="s">
        <v>3</v>
      </c>
      <c r="DE217" t="s">
        <v>3</v>
      </c>
      <c r="DF217">
        <f>ROUND(ROUND(AE217,2)*CX217,2)</f>
        <v>0</v>
      </c>
      <c r="DG217">
        <f>ROUND(ROUND(AF217*AJ217,2)*CX217,2)</f>
        <v>0.77</v>
      </c>
      <c r="DH217">
        <f>ROUND(ROUND(AG217*AK217,2)*CX217,2)</f>
        <v>0.84</v>
      </c>
      <c r="DI217">
        <f t="shared" si="91"/>
        <v>0</v>
      </c>
      <c r="DJ217">
        <f>DG217</f>
        <v>0.77</v>
      </c>
      <c r="DK217">
        <v>0</v>
      </c>
      <c r="DL217" t="s">
        <v>3</v>
      </c>
      <c r="DM217">
        <v>0</v>
      </c>
      <c r="DN217" t="s">
        <v>3</v>
      </c>
      <c r="DO217">
        <v>0</v>
      </c>
    </row>
    <row r="218" spans="1:119" x14ac:dyDescent="0.2">
      <c r="A218">
        <f>ROW(Source!A203)</f>
        <v>203</v>
      </c>
      <c r="B218">
        <v>145026783</v>
      </c>
      <c r="C218">
        <v>145040381</v>
      </c>
      <c r="D218">
        <v>140923885</v>
      </c>
      <c r="E218">
        <v>1</v>
      </c>
      <c r="F218">
        <v>1</v>
      </c>
      <c r="G218">
        <v>1</v>
      </c>
      <c r="H218">
        <v>2</v>
      </c>
      <c r="I218" t="s">
        <v>668</v>
      </c>
      <c r="J218" t="s">
        <v>669</v>
      </c>
      <c r="K218" t="s">
        <v>670</v>
      </c>
      <c r="L218">
        <v>1367</v>
      </c>
      <c r="N218">
        <v>1011</v>
      </c>
      <c r="O218" t="s">
        <v>614</v>
      </c>
      <c r="P218" t="s">
        <v>614</v>
      </c>
      <c r="Q218">
        <v>1</v>
      </c>
      <c r="W218">
        <v>0</v>
      </c>
      <c r="X218">
        <v>509054691</v>
      </c>
      <c r="Y218">
        <f>(AT218*1.25)</f>
        <v>0.05</v>
      </c>
      <c r="AA218">
        <v>0</v>
      </c>
      <c r="AB218">
        <v>817.43</v>
      </c>
      <c r="AC218">
        <v>371.32</v>
      </c>
      <c r="AD218">
        <v>0</v>
      </c>
      <c r="AE218">
        <v>0</v>
      </c>
      <c r="AF218">
        <v>65.709999999999994</v>
      </c>
      <c r="AG218">
        <v>11.6</v>
      </c>
      <c r="AH218">
        <v>0</v>
      </c>
      <c r="AI218">
        <v>1</v>
      </c>
      <c r="AJ218">
        <v>12.44</v>
      </c>
      <c r="AK218">
        <v>32.01</v>
      </c>
      <c r="AL218">
        <v>1</v>
      </c>
      <c r="AM218">
        <v>4</v>
      </c>
      <c r="AN218">
        <v>0</v>
      </c>
      <c r="AO218">
        <v>1</v>
      </c>
      <c r="AP218">
        <v>1</v>
      </c>
      <c r="AQ218">
        <v>0</v>
      </c>
      <c r="AR218">
        <v>0</v>
      </c>
      <c r="AS218" t="s">
        <v>3</v>
      </c>
      <c r="AT218">
        <v>0.04</v>
      </c>
      <c r="AU218" t="s">
        <v>148</v>
      </c>
      <c r="AV218">
        <v>0</v>
      </c>
      <c r="AW218">
        <v>2</v>
      </c>
      <c r="AX218">
        <v>145040392</v>
      </c>
      <c r="AY218">
        <v>1</v>
      </c>
      <c r="AZ218">
        <v>0</v>
      </c>
      <c r="BA218">
        <v>247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CX218">
        <f>ROUND(Y218*Source!I203,9)</f>
        <v>8.9999999999999993E-3</v>
      </c>
      <c r="CY218">
        <f>AB218</f>
        <v>817.43</v>
      </c>
      <c r="CZ218">
        <f>AF218</f>
        <v>65.709999999999994</v>
      </c>
      <c r="DA218">
        <f>AJ218</f>
        <v>12.44</v>
      </c>
      <c r="DB218">
        <f>ROUND((ROUND(AT218*CZ218,2)*1.25),2)</f>
        <v>3.29</v>
      </c>
      <c r="DC218">
        <f>ROUND((ROUND(AT218*AG218,2)*1.25),2)</f>
        <v>0.57999999999999996</v>
      </c>
      <c r="DD218" t="s">
        <v>3</v>
      </c>
      <c r="DE218" t="s">
        <v>3</v>
      </c>
      <c r="DF218">
        <f>ROUND(ROUND(AE218,2)*CX218,2)</f>
        <v>0</v>
      </c>
      <c r="DG218">
        <f>ROUND(ROUND(AF218*AJ218,2)*CX218,2)</f>
        <v>7.36</v>
      </c>
      <c r="DH218">
        <f>ROUND(ROUND(AG218*AK218,2)*CX218,2)</f>
        <v>3.34</v>
      </c>
      <c r="DI218">
        <f t="shared" si="91"/>
        <v>0</v>
      </c>
      <c r="DJ218">
        <f>DG218</f>
        <v>7.36</v>
      </c>
      <c r="DK218">
        <v>0</v>
      </c>
      <c r="DL218" t="s">
        <v>3</v>
      </c>
      <c r="DM218">
        <v>0</v>
      </c>
      <c r="DN218" t="s">
        <v>3</v>
      </c>
      <c r="DO218">
        <v>0</v>
      </c>
    </row>
    <row r="219" spans="1:119" x14ac:dyDescent="0.2">
      <c r="A219">
        <f>ROW(Source!A203)</f>
        <v>203</v>
      </c>
      <c r="B219">
        <v>145026783</v>
      </c>
      <c r="C219">
        <v>145040381</v>
      </c>
      <c r="D219">
        <v>140924526</v>
      </c>
      <c r="E219">
        <v>1</v>
      </c>
      <c r="F219">
        <v>1</v>
      </c>
      <c r="G219">
        <v>1</v>
      </c>
      <c r="H219">
        <v>2</v>
      </c>
      <c r="I219" t="s">
        <v>705</v>
      </c>
      <c r="J219" t="s">
        <v>706</v>
      </c>
      <c r="K219" t="s">
        <v>707</v>
      </c>
      <c r="L219">
        <v>1367</v>
      </c>
      <c r="N219">
        <v>1011</v>
      </c>
      <c r="O219" t="s">
        <v>614</v>
      </c>
      <c r="P219" t="s">
        <v>614</v>
      </c>
      <c r="Q219">
        <v>1</v>
      </c>
      <c r="W219">
        <v>0</v>
      </c>
      <c r="X219">
        <v>-1745017968</v>
      </c>
      <c r="Y219">
        <f>(AT219*1.25)</f>
        <v>3.5249999999999999</v>
      </c>
      <c r="AA219">
        <v>0</v>
      </c>
      <c r="AB219">
        <v>84.84</v>
      </c>
      <c r="AC219">
        <v>0</v>
      </c>
      <c r="AD219">
        <v>0</v>
      </c>
      <c r="AE219">
        <v>0</v>
      </c>
      <c r="AF219">
        <v>6.82</v>
      </c>
      <c r="AG219">
        <v>0</v>
      </c>
      <c r="AH219">
        <v>0</v>
      </c>
      <c r="AI219">
        <v>1</v>
      </c>
      <c r="AJ219">
        <v>12.44</v>
      </c>
      <c r="AK219">
        <v>32.01</v>
      </c>
      <c r="AL219">
        <v>1</v>
      </c>
      <c r="AM219">
        <v>4</v>
      </c>
      <c r="AN219">
        <v>0</v>
      </c>
      <c r="AO219">
        <v>1</v>
      </c>
      <c r="AP219">
        <v>1</v>
      </c>
      <c r="AQ219">
        <v>0</v>
      </c>
      <c r="AR219">
        <v>0</v>
      </c>
      <c r="AS219" t="s">
        <v>3</v>
      </c>
      <c r="AT219">
        <v>2.82</v>
      </c>
      <c r="AU219" t="s">
        <v>148</v>
      </c>
      <c r="AV219">
        <v>0</v>
      </c>
      <c r="AW219">
        <v>2</v>
      </c>
      <c r="AX219">
        <v>145040393</v>
      </c>
      <c r="AY219">
        <v>1</v>
      </c>
      <c r="AZ219">
        <v>0</v>
      </c>
      <c r="BA219">
        <v>248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CX219">
        <f>ROUND(Y219*Source!I203,9)</f>
        <v>0.63449999999999995</v>
      </c>
      <c r="CY219">
        <f>AB219</f>
        <v>84.84</v>
      </c>
      <c r="CZ219">
        <f>AF219</f>
        <v>6.82</v>
      </c>
      <c r="DA219">
        <f>AJ219</f>
        <v>12.44</v>
      </c>
      <c r="DB219">
        <f>ROUND((ROUND(AT219*CZ219,2)*1.25),2)</f>
        <v>24.04</v>
      </c>
      <c r="DC219">
        <f>ROUND((ROUND(AT219*AG219,2)*1.25),2)</f>
        <v>0</v>
      </c>
      <c r="DD219" t="s">
        <v>3</v>
      </c>
      <c r="DE219" t="s">
        <v>3</v>
      </c>
      <c r="DF219">
        <f>ROUND(ROUND(AE219,2)*CX219,2)</f>
        <v>0</v>
      </c>
      <c r="DG219">
        <f>ROUND(ROUND(AF219*AJ219,2)*CX219,2)</f>
        <v>53.83</v>
      </c>
      <c r="DH219">
        <f>ROUND(ROUND(AG219*AK219,2)*CX219,2)</f>
        <v>0</v>
      </c>
      <c r="DI219">
        <f t="shared" si="91"/>
        <v>0</v>
      </c>
      <c r="DJ219">
        <f>DG219</f>
        <v>53.83</v>
      </c>
      <c r="DK219">
        <v>0</v>
      </c>
      <c r="DL219" t="s">
        <v>3</v>
      </c>
      <c r="DM219">
        <v>0</v>
      </c>
      <c r="DN219" t="s">
        <v>3</v>
      </c>
      <c r="DO219">
        <v>0</v>
      </c>
    </row>
    <row r="220" spans="1:119" x14ac:dyDescent="0.2">
      <c r="A220">
        <f>ROW(Source!A203)</f>
        <v>203</v>
      </c>
      <c r="B220">
        <v>145026783</v>
      </c>
      <c r="C220">
        <v>145040381</v>
      </c>
      <c r="D220">
        <v>140772680</v>
      </c>
      <c r="E220">
        <v>1</v>
      </c>
      <c r="F220">
        <v>1</v>
      </c>
      <c r="G220">
        <v>1</v>
      </c>
      <c r="H220">
        <v>3</v>
      </c>
      <c r="I220" t="s">
        <v>635</v>
      </c>
      <c r="J220" t="s">
        <v>636</v>
      </c>
      <c r="K220" t="s">
        <v>637</v>
      </c>
      <c r="L220">
        <v>1339</v>
      </c>
      <c r="N220">
        <v>1007</v>
      </c>
      <c r="O220" t="s">
        <v>638</v>
      </c>
      <c r="P220" t="s">
        <v>638</v>
      </c>
      <c r="Q220">
        <v>1</v>
      </c>
      <c r="W220">
        <v>0</v>
      </c>
      <c r="X220">
        <v>-143474561</v>
      </c>
      <c r="Y220">
        <f>AT220</f>
        <v>0.01</v>
      </c>
      <c r="AA220">
        <v>21.72</v>
      </c>
      <c r="AB220">
        <v>0</v>
      </c>
      <c r="AC220">
        <v>0</v>
      </c>
      <c r="AD220">
        <v>0</v>
      </c>
      <c r="AE220">
        <v>2.44</v>
      </c>
      <c r="AF220">
        <v>0</v>
      </c>
      <c r="AG220">
        <v>0</v>
      </c>
      <c r="AH220">
        <v>0</v>
      </c>
      <c r="AI220">
        <v>8.9</v>
      </c>
      <c r="AJ220">
        <v>1</v>
      </c>
      <c r="AK220">
        <v>1</v>
      </c>
      <c r="AL220">
        <v>1</v>
      </c>
      <c r="AM220">
        <v>4</v>
      </c>
      <c r="AN220">
        <v>0</v>
      </c>
      <c r="AO220">
        <v>1</v>
      </c>
      <c r="AP220">
        <v>1</v>
      </c>
      <c r="AQ220">
        <v>0</v>
      </c>
      <c r="AR220">
        <v>0</v>
      </c>
      <c r="AS220" t="s">
        <v>3</v>
      </c>
      <c r="AT220">
        <v>0.01</v>
      </c>
      <c r="AU220" t="s">
        <v>3</v>
      </c>
      <c r="AV220">
        <v>0</v>
      </c>
      <c r="AW220">
        <v>2</v>
      </c>
      <c r="AX220">
        <v>145040394</v>
      </c>
      <c r="AY220">
        <v>1</v>
      </c>
      <c r="AZ220">
        <v>0</v>
      </c>
      <c r="BA220">
        <v>249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CX220">
        <f>ROUND(Y220*Source!I203,9)</f>
        <v>1.8E-3</v>
      </c>
      <c r="CY220">
        <f>AA220</f>
        <v>21.72</v>
      </c>
      <c r="CZ220">
        <f>AE220</f>
        <v>2.44</v>
      </c>
      <c r="DA220">
        <f>AI220</f>
        <v>8.9</v>
      </c>
      <c r="DB220">
        <f>ROUND(ROUND(AT220*CZ220,2),2)</f>
        <v>0.02</v>
      </c>
      <c r="DC220">
        <f>ROUND(ROUND(AT220*AG220,2),2)</f>
        <v>0</v>
      </c>
      <c r="DD220" t="s">
        <v>3</v>
      </c>
      <c r="DE220" t="s">
        <v>3</v>
      </c>
      <c r="DF220">
        <f>ROUND(ROUND(AE220*AI220,2)*CX220,2)</f>
        <v>0.04</v>
      </c>
      <c r="DG220">
        <f>ROUND(ROUND(AF220,2)*CX220,2)</f>
        <v>0</v>
      </c>
      <c r="DH220">
        <f>ROUND(ROUND(AG220,2)*CX220,2)</f>
        <v>0</v>
      </c>
      <c r="DI220">
        <f t="shared" si="91"/>
        <v>0</v>
      </c>
      <c r="DJ220">
        <f>DF220</f>
        <v>0.04</v>
      </c>
      <c r="DK220">
        <v>0</v>
      </c>
      <c r="DL220" t="s">
        <v>3</v>
      </c>
      <c r="DM220">
        <v>0</v>
      </c>
      <c r="DN220" t="s">
        <v>3</v>
      </c>
      <c r="DO220">
        <v>0</v>
      </c>
    </row>
    <row r="221" spans="1:119" x14ac:dyDescent="0.2">
      <c r="A221">
        <f>ROW(Source!A203)</f>
        <v>203</v>
      </c>
      <c r="B221">
        <v>145026783</v>
      </c>
      <c r="C221">
        <v>145040381</v>
      </c>
      <c r="D221">
        <v>140776226</v>
      </c>
      <c r="E221">
        <v>1</v>
      </c>
      <c r="F221">
        <v>1</v>
      </c>
      <c r="G221">
        <v>1</v>
      </c>
      <c r="H221">
        <v>3</v>
      </c>
      <c r="I221" t="s">
        <v>680</v>
      </c>
      <c r="J221" t="s">
        <v>681</v>
      </c>
      <c r="K221" t="s">
        <v>682</v>
      </c>
      <c r="L221">
        <v>1346</v>
      </c>
      <c r="N221">
        <v>1009</v>
      </c>
      <c r="O221" t="s">
        <v>154</v>
      </c>
      <c r="P221" t="s">
        <v>154</v>
      </c>
      <c r="Q221">
        <v>1</v>
      </c>
      <c r="W221">
        <v>0</v>
      </c>
      <c r="X221">
        <v>1052716416</v>
      </c>
      <c r="Y221">
        <f>AT221</f>
        <v>1</v>
      </c>
      <c r="AA221">
        <v>16.2</v>
      </c>
      <c r="AB221">
        <v>0</v>
      </c>
      <c r="AC221">
        <v>0</v>
      </c>
      <c r="AD221">
        <v>0</v>
      </c>
      <c r="AE221">
        <v>1.82</v>
      </c>
      <c r="AF221">
        <v>0</v>
      </c>
      <c r="AG221">
        <v>0</v>
      </c>
      <c r="AH221">
        <v>0</v>
      </c>
      <c r="AI221">
        <v>8.9</v>
      </c>
      <c r="AJ221">
        <v>1</v>
      </c>
      <c r="AK221">
        <v>1</v>
      </c>
      <c r="AL221">
        <v>1</v>
      </c>
      <c r="AM221">
        <v>4</v>
      </c>
      <c r="AN221">
        <v>0</v>
      </c>
      <c r="AO221">
        <v>1</v>
      </c>
      <c r="AP221">
        <v>1</v>
      </c>
      <c r="AQ221">
        <v>0</v>
      </c>
      <c r="AR221">
        <v>0</v>
      </c>
      <c r="AS221" t="s">
        <v>3</v>
      </c>
      <c r="AT221">
        <v>1</v>
      </c>
      <c r="AU221" t="s">
        <v>3</v>
      </c>
      <c r="AV221">
        <v>0</v>
      </c>
      <c r="AW221">
        <v>2</v>
      </c>
      <c r="AX221">
        <v>145040395</v>
      </c>
      <c r="AY221">
        <v>1</v>
      </c>
      <c r="AZ221">
        <v>0</v>
      </c>
      <c r="BA221">
        <v>250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CX221">
        <f>ROUND(Y221*Source!I203,9)</f>
        <v>0.18</v>
      </c>
      <c r="CY221">
        <f>AA221</f>
        <v>16.2</v>
      </c>
      <c r="CZ221">
        <f>AE221</f>
        <v>1.82</v>
      </c>
      <c r="DA221">
        <f>AI221</f>
        <v>8.9</v>
      </c>
      <c r="DB221">
        <f>ROUND(ROUND(AT221*CZ221,2),2)</f>
        <v>1.82</v>
      </c>
      <c r="DC221">
        <f>ROUND(ROUND(AT221*AG221,2),2)</f>
        <v>0</v>
      </c>
      <c r="DD221" t="s">
        <v>3</v>
      </c>
      <c r="DE221" t="s">
        <v>3</v>
      </c>
      <c r="DF221">
        <f>ROUND(ROUND(AE221*AI221,2)*CX221,2)</f>
        <v>2.92</v>
      </c>
      <c r="DG221">
        <f>ROUND(ROUND(AF221,2)*CX221,2)</f>
        <v>0</v>
      </c>
      <c r="DH221">
        <f>ROUND(ROUND(AG221,2)*CX221,2)</f>
        <v>0</v>
      </c>
      <c r="DI221">
        <f t="shared" si="91"/>
        <v>0</v>
      </c>
      <c r="DJ221">
        <f>DF221</f>
        <v>2.92</v>
      </c>
      <c r="DK221">
        <v>0</v>
      </c>
      <c r="DL221" t="s">
        <v>3</v>
      </c>
      <c r="DM221">
        <v>0</v>
      </c>
      <c r="DN221" t="s">
        <v>3</v>
      </c>
      <c r="DO221">
        <v>0</v>
      </c>
    </row>
    <row r="222" spans="1:119" x14ac:dyDescent="0.2">
      <c r="A222">
        <f>ROW(Source!A205)</f>
        <v>205</v>
      </c>
      <c r="B222">
        <v>145026783</v>
      </c>
      <c r="C222">
        <v>145040398</v>
      </c>
      <c r="D222">
        <v>140755435</v>
      </c>
      <c r="E222">
        <v>70</v>
      </c>
      <c r="F222">
        <v>1</v>
      </c>
      <c r="G222">
        <v>1</v>
      </c>
      <c r="H222">
        <v>1</v>
      </c>
      <c r="I222" t="s">
        <v>708</v>
      </c>
      <c r="J222" t="s">
        <v>3</v>
      </c>
      <c r="K222" t="s">
        <v>709</v>
      </c>
      <c r="L222">
        <v>1191</v>
      </c>
      <c r="N222">
        <v>1013</v>
      </c>
      <c r="O222" t="s">
        <v>608</v>
      </c>
      <c r="P222" t="s">
        <v>608</v>
      </c>
      <c r="Q222">
        <v>1</v>
      </c>
      <c r="W222">
        <v>0</v>
      </c>
      <c r="X222">
        <v>784619160</v>
      </c>
      <c r="Y222">
        <f>(AT222*1.15)</f>
        <v>137.74699999999999</v>
      </c>
      <c r="AA222">
        <v>0</v>
      </c>
      <c r="AB222">
        <v>0</v>
      </c>
      <c r="AC222">
        <v>0</v>
      </c>
      <c r="AD222">
        <v>279.77</v>
      </c>
      <c r="AE222">
        <v>0</v>
      </c>
      <c r="AF222">
        <v>0</v>
      </c>
      <c r="AG222">
        <v>0</v>
      </c>
      <c r="AH222">
        <v>8.74</v>
      </c>
      <c r="AI222">
        <v>1</v>
      </c>
      <c r="AJ222">
        <v>1</v>
      </c>
      <c r="AK222">
        <v>1</v>
      </c>
      <c r="AL222">
        <v>32.01</v>
      </c>
      <c r="AM222">
        <v>4</v>
      </c>
      <c r="AN222">
        <v>0</v>
      </c>
      <c r="AO222">
        <v>1</v>
      </c>
      <c r="AP222">
        <v>1</v>
      </c>
      <c r="AQ222">
        <v>0</v>
      </c>
      <c r="AR222">
        <v>0</v>
      </c>
      <c r="AS222" t="s">
        <v>3</v>
      </c>
      <c r="AT222">
        <v>119.78</v>
      </c>
      <c r="AU222" t="s">
        <v>149</v>
      </c>
      <c r="AV222">
        <v>1</v>
      </c>
      <c r="AW222">
        <v>2</v>
      </c>
      <c r="AX222">
        <v>145040410</v>
      </c>
      <c r="AY222">
        <v>1</v>
      </c>
      <c r="AZ222">
        <v>0</v>
      </c>
      <c r="BA222">
        <v>252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CX222">
        <f>ROUND(Y222*Source!I205,9)</f>
        <v>24.794460000000001</v>
      </c>
      <c r="CY222">
        <f>AD222</f>
        <v>279.77</v>
      </c>
      <c r="CZ222">
        <f>AH222</f>
        <v>8.74</v>
      </c>
      <c r="DA222">
        <f>AL222</f>
        <v>32.01</v>
      </c>
      <c r="DB222">
        <f>ROUND((ROUND(AT222*CZ222,2)*1.15),2)</f>
        <v>1203.9100000000001</v>
      </c>
      <c r="DC222">
        <f>ROUND((ROUND(AT222*AG222,2)*1.15),2)</f>
        <v>0</v>
      </c>
      <c r="DD222" t="s">
        <v>3</v>
      </c>
      <c r="DE222" t="s">
        <v>3</v>
      </c>
      <c r="DF222">
        <f t="shared" ref="DF222:DF227" si="92">ROUND(ROUND(AE222,2)*CX222,2)</f>
        <v>0</v>
      </c>
      <c r="DG222">
        <f>ROUND(ROUND(AF222,2)*CX222,2)</f>
        <v>0</v>
      </c>
      <c r="DH222">
        <f>ROUND(ROUND(AG222,2)*CX222,2)</f>
        <v>0</v>
      </c>
      <c r="DI222">
        <f>ROUND(ROUND(AH222*AL222,2)*CX222,2)</f>
        <v>6936.75</v>
      </c>
      <c r="DJ222">
        <f>DI222</f>
        <v>6936.75</v>
      </c>
      <c r="DK222">
        <v>0</v>
      </c>
      <c r="DL222" t="s">
        <v>3</v>
      </c>
      <c r="DM222">
        <v>0</v>
      </c>
      <c r="DN222" t="s">
        <v>3</v>
      </c>
      <c r="DO222">
        <v>0</v>
      </c>
    </row>
    <row r="223" spans="1:119" x14ac:dyDescent="0.2">
      <c r="A223">
        <f>ROW(Source!A205)</f>
        <v>205</v>
      </c>
      <c r="B223">
        <v>145026783</v>
      </c>
      <c r="C223">
        <v>145040398</v>
      </c>
      <c r="D223">
        <v>140755491</v>
      </c>
      <c r="E223">
        <v>70</v>
      </c>
      <c r="F223">
        <v>1</v>
      </c>
      <c r="G223">
        <v>1</v>
      </c>
      <c r="H223">
        <v>1</v>
      </c>
      <c r="I223" t="s">
        <v>609</v>
      </c>
      <c r="J223" t="s">
        <v>3</v>
      </c>
      <c r="K223" t="s">
        <v>610</v>
      </c>
      <c r="L223">
        <v>1191</v>
      </c>
      <c r="N223">
        <v>1013</v>
      </c>
      <c r="O223" t="s">
        <v>608</v>
      </c>
      <c r="P223" t="s">
        <v>608</v>
      </c>
      <c r="Q223">
        <v>1</v>
      </c>
      <c r="W223">
        <v>0</v>
      </c>
      <c r="X223">
        <v>-1417349443</v>
      </c>
      <c r="Y223">
        <f>(AT223*1.25)</f>
        <v>5.625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1</v>
      </c>
      <c r="AJ223">
        <v>1</v>
      </c>
      <c r="AK223">
        <v>32.01</v>
      </c>
      <c r="AL223">
        <v>1</v>
      </c>
      <c r="AM223">
        <v>4</v>
      </c>
      <c r="AN223">
        <v>0</v>
      </c>
      <c r="AO223">
        <v>1</v>
      </c>
      <c r="AP223">
        <v>1</v>
      </c>
      <c r="AQ223">
        <v>0</v>
      </c>
      <c r="AR223">
        <v>0</v>
      </c>
      <c r="AS223" t="s">
        <v>3</v>
      </c>
      <c r="AT223">
        <v>4.5</v>
      </c>
      <c r="AU223" t="s">
        <v>148</v>
      </c>
      <c r="AV223">
        <v>2</v>
      </c>
      <c r="AW223">
        <v>2</v>
      </c>
      <c r="AX223">
        <v>145040411</v>
      </c>
      <c r="AY223">
        <v>1</v>
      </c>
      <c r="AZ223">
        <v>0</v>
      </c>
      <c r="BA223">
        <v>253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CX223">
        <f>ROUND(Y223*Source!I205,9)</f>
        <v>1.0125</v>
      </c>
      <c r="CY223">
        <f>AD223</f>
        <v>0</v>
      </c>
      <c r="CZ223">
        <f>AH223</f>
        <v>0</v>
      </c>
      <c r="DA223">
        <f>AL223</f>
        <v>1</v>
      </c>
      <c r="DB223">
        <f>ROUND((ROUND(AT223*CZ223,2)*1.25),2)</f>
        <v>0</v>
      </c>
      <c r="DC223">
        <f>ROUND((ROUND(AT223*AG223,2)*1.25),2)</f>
        <v>0</v>
      </c>
      <c r="DD223" t="s">
        <v>3</v>
      </c>
      <c r="DE223" t="s">
        <v>3</v>
      </c>
      <c r="DF223">
        <f t="shared" si="92"/>
        <v>0</v>
      </c>
      <c r="DG223">
        <f>ROUND(ROUND(AF223,2)*CX223,2)</f>
        <v>0</v>
      </c>
      <c r="DH223">
        <f>ROUND(ROUND(AG223*AK223,2)*CX223,2)</f>
        <v>0</v>
      </c>
      <c r="DI223">
        <f t="shared" ref="DI223:DI232" si="93">ROUND(ROUND(AH223,2)*CX223,2)</f>
        <v>0</v>
      </c>
      <c r="DJ223">
        <f>DI223</f>
        <v>0</v>
      </c>
      <c r="DK223">
        <v>0</v>
      </c>
      <c r="DL223" t="s">
        <v>3</v>
      </c>
      <c r="DM223">
        <v>0</v>
      </c>
      <c r="DN223" t="s">
        <v>3</v>
      </c>
      <c r="DO223">
        <v>0</v>
      </c>
    </row>
    <row r="224" spans="1:119" x14ac:dyDescent="0.2">
      <c r="A224">
        <f>ROW(Source!A205)</f>
        <v>205</v>
      </c>
      <c r="B224">
        <v>145026783</v>
      </c>
      <c r="C224">
        <v>145040398</v>
      </c>
      <c r="D224">
        <v>140923105</v>
      </c>
      <c r="E224">
        <v>1</v>
      </c>
      <c r="F224">
        <v>1</v>
      </c>
      <c r="G224">
        <v>1</v>
      </c>
      <c r="H224">
        <v>2</v>
      </c>
      <c r="I224" t="s">
        <v>710</v>
      </c>
      <c r="J224" t="s">
        <v>711</v>
      </c>
      <c r="K224" t="s">
        <v>712</v>
      </c>
      <c r="L224">
        <v>1367</v>
      </c>
      <c r="N224">
        <v>1011</v>
      </c>
      <c r="O224" t="s">
        <v>614</v>
      </c>
      <c r="P224" t="s">
        <v>614</v>
      </c>
      <c r="Q224">
        <v>1</v>
      </c>
      <c r="W224">
        <v>0</v>
      </c>
      <c r="X224">
        <v>-896236776</v>
      </c>
      <c r="Y224">
        <f>(AT224*1.25)</f>
        <v>0.44999999999999996</v>
      </c>
      <c r="AA224">
        <v>0</v>
      </c>
      <c r="AB224">
        <v>1119.48</v>
      </c>
      <c r="AC224">
        <v>322.02</v>
      </c>
      <c r="AD224">
        <v>0</v>
      </c>
      <c r="AE224">
        <v>0</v>
      </c>
      <c r="AF224">
        <v>89.99</v>
      </c>
      <c r="AG224">
        <v>10.06</v>
      </c>
      <c r="AH224">
        <v>0</v>
      </c>
      <c r="AI224">
        <v>1</v>
      </c>
      <c r="AJ224">
        <v>12.44</v>
      </c>
      <c r="AK224">
        <v>32.01</v>
      </c>
      <c r="AL224">
        <v>1</v>
      </c>
      <c r="AM224">
        <v>4</v>
      </c>
      <c r="AN224">
        <v>0</v>
      </c>
      <c r="AO224">
        <v>1</v>
      </c>
      <c r="AP224">
        <v>1</v>
      </c>
      <c r="AQ224">
        <v>0</v>
      </c>
      <c r="AR224">
        <v>0</v>
      </c>
      <c r="AS224" t="s">
        <v>3</v>
      </c>
      <c r="AT224">
        <v>0.36</v>
      </c>
      <c r="AU224" t="s">
        <v>148</v>
      </c>
      <c r="AV224">
        <v>0</v>
      </c>
      <c r="AW224">
        <v>2</v>
      </c>
      <c r="AX224">
        <v>145040412</v>
      </c>
      <c r="AY224">
        <v>1</v>
      </c>
      <c r="AZ224">
        <v>0</v>
      </c>
      <c r="BA224">
        <v>254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CX224">
        <f>ROUND(Y224*Source!I205,9)</f>
        <v>8.1000000000000003E-2</v>
      </c>
      <c r="CY224">
        <f>AB224</f>
        <v>1119.48</v>
      </c>
      <c r="CZ224">
        <f>AF224</f>
        <v>89.99</v>
      </c>
      <c r="DA224">
        <f>AJ224</f>
        <v>12.44</v>
      </c>
      <c r="DB224">
        <f>ROUND((ROUND(AT224*CZ224,2)*1.25),2)</f>
        <v>40.5</v>
      </c>
      <c r="DC224">
        <f>ROUND((ROUND(AT224*AG224,2)*1.25),2)</f>
        <v>4.53</v>
      </c>
      <c r="DD224" t="s">
        <v>3</v>
      </c>
      <c r="DE224" t="s">
        <v>3</v>
      </c>
      <c r="DF224">
        <f t="shared" si="92"/>
        <v>0</v>
      </c>
      <c r="DG224">
        <f>ROUND(ROUND(AF224*AJ224,2)*CX224,2)</f>
        <v>90.68</v>
      </c>
      <c r="DH224">
        <f>ROUND(ROUND(AG224*AK224,2)*CX224,2)</f>
        <v>26.08</v>
      </c>
      <c r="DI224">
        <f t="shared" si="93"/>
        <v>0</v>
      </c>
      <c r="DJ224">
        <f>DG224</f>
        <v>90.68</v>
      </c>
      <c r="DK224">
        <v>0</v>
      </c>
      <c r="DL224" t="s">
        <v>3</v>
      </c>
      <c r="DM224">
        <v>0</v>
      </c>
      <c r="DN224" t="s">
        <v>3</v>
      </c>
      <c r="DO224">
        <v>0</v>
      </c>
    </row>
    <row r="225" spans="1:119" x14ac:dyDescent="0.2">
      <c r="A225">
        <f>ROW(Source!A205)</f>
        <v>205</v>
      </c>
      <c r="B225">
        <v>145026783</v>
      </c>
      <c r="C225">
        <v>145040398</v>
      </c>
      <c r="D225">
        <v>140923145</v>
      </c>
      <c r="E225">
        <v>1</v>
      </c>
      <c r="F225">
        <v>1</v>
      </c>
      <c r="G225">
        <v>1</v>
      </c>
      <c r="H225">
        <v>2</v>
      </c>
      <c r="I225" t="s">
        <v>611</v>
      </c>
      <c r="J225" t="s">
        <v>612</v>
      </c>
      <c r="K225" t="s">
        <v>613</v>
      </c>
      <c r="L225">
        <v>1367</v>
      </c>
      <c r="N225">
        <v>1011</v>
      </c>
      <c r="O225" t="s">
        <v>614</v>
      </c>
      <c r="P225" t="s">
        <v>614</v>
      </c>
      <c r="Q225">
        <v>1</v>
      </c>
      <c r="W225">
        <v>0</v>
      </c>
      <c r="X225">
        <v>1232162608</v>
      </c>
      <c r="Y225">
        <f>(AT225*1.25)</f>
        <v>2.875</v>
      </c>
      <c r="AA225">
        <v>0</v>
      </c>
      <c r="AB225">
        <v>388.87</v>
      </c>
      <c r="AC225">
        <v>432.14</v>
      </c>
      <c r="AD225">
        <v>0</v>
      </c>
      <c r="AE225">
        <v>0</v>
      </c>
      <c r="AF225">
        <v>31.26</v>
      </c>
      <c r="AG225">
        <v>13.5</v>
      </c>
      <c r="AH225">
        <v>0</v>
      </c>
      <c r="AI225">
        <v>1</v>
      </c>
      <c r="AJ225">
        <v>12.44</v>
      </c>
      <c r="AK225">
        <v>32.01</v>
      </c>
      <c r="AL225">
        <v>1</v>
      </c>
      <c r="AM225">
        <v>4</v>
      </c>
      <c r="AN225">
        <v>0</v>
      </c>
      <c r="AO225">
        <v>1</v>
      </c>
      <c r="AP225">
        <v>1</v>
      </c>
      <c r="AQ225">
        <v>0</v>
      </c>
      <c r="AR225">
        <v>0</v>
      </c>
      <c r="AS225" t="s">
        <v>3</v>
      </c>
      <c r="AT225">
        <v>2.2999999999999998</v>
      </c>
      <c r="AU225" t="s">
        <v>148</v>
      </c>
      <c r="AV225">
        <v>0</v>
      </c>
      <c r="AW225">
        <v>2</v>
      </c>
      <c r="AX225">
        <v>145040413</v>
      </c>
      <c r="AY225">
        <v>1</v>
      </c>
      <c r="AZ225">
        <v>0</v>
      </c>
      <c r="BA225">
        <v>255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CX225">
        <f>ROUND(Y225*Source!I205,9)</f>
        <v>0.51749999999999996</v>
      </c>
      <c r="CY225">
        <f>AB225</f>
        <v>388.87</v>
      </c>
      <c r="CZ225">
        <f>AF225</f>
        <v>31.26</v>
      </c>
      <c r="DA225">
        <f>AJ225</f>
        <v>12.44</v>
      </c>
      <c r="DB225">
        <f>ROUND((ROUND(AT225*CZ225,2)*1.25),2)</f>
        <v>89.88</v>
      </c>
      <c r="DC225">
        <f>ROUND((ROUND(AT225*AG225,2)*1.25),2)</f>
        <v>38.81</v>
      </c>
      <c r="DD225" t="s">
        <v>3</v>
      </c>
      <c r="DE225" t="s">
        <v>3</v>
      </c>
      <c r="DF225">
        <f t="shared" si="92"/>
        <v>0</v>
      </c>
      <c r="DG225">
        <f>ROUND(ROUND(AF225*AJ225,2)*CX225,2)</f>
        <v>201.24</v>
      </c>
      <c r="DH225">
        <f>ROUND(ROUND(AG225*AK225,2)*CX225,2)</f>
        <v>223.63</v>
      </c>
      <c r="DI225">
        <f t="shared" si="93"/>
        <v>0</v>
      </c>
      <c r="DJ225">
        <f>DG225</f>
        <v>201.24</v>
      </c>
      <c r="DK225">
        <v>0</v>
      </c>
      <c r="DL225" t="s">
        <v>3</v>
      </c>
      <c r="DM225">
        <v>0</v>
      </c>
      <c r="DN225" t="s">
        <v>3</v>
      </c>
      <c r="DO225">
        <v>0</v>
      </c>
    </row>
    <row r="226" spans="1:119" x14ac:dyDescent="0.2">
      <c r="A226">
        <f>ROW(Source!A205)</f>
        <v>205</v>
      </c>
      <c r="B226">
        <v>145026783</v>
      </c>
      <c r="C226">
        <v>145040398</v>
      </c>
      <c r="D226">
        <v>140923268</v>
      </c>
      <c r="E226">
        <v>1</v>
      </c>
      <c r="F226">
        <v>1</v>
      </c>
      <c r="G226">
        <v>1</v>
      </c>
      <c r="H226">
        <v>2</v>
      </c>
      <c r="I226" t="s">
        <v>713</v>
      </c>
      <c r="J226" t="s">
        <v>714</v>
      </c>
      <c r="K226" t="s">
        <v>715</v>
      </c>
      <c r="L226">
        <v>1367</v>
      </c>
      <c r="N226">
        <v>1011</v>
      </c>
      <c r="O226" t="s">
        <v>614</v>
      </c>
      <c r="P226" t="s">
        <v>614</v>
      </c>
      <c r="Q226">
        <v>1</v>
      </c>
      <c r="W226">
        <v>0</v>
      </c>
      <c r="X226">
        <v>1385328552</v>
      </c>
      <c r="Y226">
        <f>(AT226*1.25)</f>
        <v>1.9500000000000002</v>
      </c>
      <c r="AA226">
        <v>0</v>
      </c>
      <c r="AB226">
        <v>154.13</v>
      </c>
      <c r="AC226">
        <v>322.02</v>
      </c>
      <c r="AD226">
        <v>0</v>
      </c>
      <c r="AE226">
        <v>0</v>
      </c>
      <c r="AF226">
        <v>12.39</v>
      </c>
      <c r="AG226">
        <v>10.06</v>
      </c>
      <c r="AH226">
        <v>0</v>
      </c>
      <c r="AI226">
        <v>1</v>
      </c>
      <c r="AJ226">
        <v>12.44</v>
      </c>
      <c r="AK226">
        <v>32.01</v>
      </c>
      <c r="AL226">
        <v>1</v>
      </c>
      <c r="AM226">
        <v>4</v>
      </c>
      <c r="AN226">
        <v>0</v>
      </c>
      <c r="AO226">
        <v>1</v>
      </c>
      <c r="AP226">
        <v>1</v>
      </c>
      <c r="AQ226">
        <v>0</v>
      </c>
      <c r="AR226">
        <v>0</v>
      </c>
      <c r="AS226" t="s">
        <v>3</v>
      </c>
      <c r="AT226">
        <v>1.56</v>
      </c>
      <c r="AU226" t="s">
        <v>148</v>
      </c>
      <c r="AV226">
        <v>0</v>
      </c>
      <c r="AW226">
        <v>2</v>
      </c>
      <c r="AX226">
        <v>145040414</v>
      </c>
      <c r="AY226">
        <v>1</v>
      </c>
      <c r="AZ226">
        <v>0</v>
      </c>
      <c r="BA226">
        <v>256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CX226">
        <f>ROUND(Y226*Source!I205,9)</f>
        <v>0.35099999999999998</v>
      </c>
      <c r="CY226">
        <f>AB226</f>
        <v>154.13</v>
      </c>
      <c r="CZ226">
        <f>AF226</f>
        <v>12.39</v>
      </c>
      <c r="DA226">
        <f>AJ226</f>
        <v>12.44</v>
      </c>
      <c r="DB226">
        <f>ROUND((ROUND(AT226*CZ226,2)*1.25),2)</f>
        <v>24.16</v>
      </c>
      <c r="DC226">
        <f>ROUND((ROUND(AT226*AG226,2)*1.25),2)</f>
        <v>19.61</v>
      </c>
      <c r="DD226" t="s">
        <v>3</v>
      </c>
      <c r="DE226" t="s">
        <v>3</v>
      </c>
      <c r="DF226">
        <f t="shared" si="92"/>
        <v>0</v>
      </c>
      <c r="DG226">
        <f>ROUND(ROUND(AF226*AJ226,2)*CX226,2)</f>
        <v>54.1</v>
      </c>
      <c r="DH226">
        <f>ROUND(ROUND(AG226*AK226,2)*CX226,2)</f>
        <v>113.03</v>
      </c>
      <c r="DI226">
        <f t="shared" si="93"/>
        <v>0</v>
      </c>
      <c r="DJ226">
        <f>DG226</f>
        <v>54.1</v>
      </c>
      <c r="DK226">
        <v>0</v>
      </c>
      <c r="DL226" t="s">
        <v>3</v>
      </c>
      <c r="DM226">
        <v>0</v>
      </c>
      <c r="DN226" t="s">
        <v>3</v>
      </c>
      <c r="DO226">
        <v>0</v>
      </c>
    </row>
    <row r="227" spans="1:119" x14ac:dyDescent="0.2">
      <c r="A227">
        <f>ROW(Source!A205)</f>
        <v>205</v>
      </c>
      <c r="B227">
        <v>145026783</v>
      </c>
      <c r="C227">
        <v>145040398</v>
      </c>
      <c r="D227">
        <v>140923885</v>
      </c>
      <c r="E227">
        <v>1</v>
      </c>
      <c r="F227">
        <v>1</v>
      </c>
      <c r="G227">
        <v>1</v>
      </c>
      <c r="H227">
        <v>2</v>
      </c>
      <c r="I227" t="s">
        <v>668</v>
      </c>
      <c r="J227" t="s">
        <v>669</v>
      </c>
      <c r="K227" t="s">
        <v>670</v>
      </c>
      <c r="L227">
        <v>1367</v>
      </c>
      <c r="N227">
        <v>1011</v>
      </c>
      <c r="O227" t="s">
        <v>614</v>
      </c>
      <c r="P227" t="s">
        <v>614</v>
      </c>
      <c r="Q227">
        <v>1</v>
      </c>
      <c r="W227">
        <v>0</v>
      </c>
      <c r="X227">
        <v>509054691</v>
      </c>
      <c r="Y227">
        <f>(AT227*1.25)</f>
        <v>0.35000000000000003</v>
      </c>
      <c r="AA227">
        <v>0</v>
      </c>
      <c r="AB227">
        <v>817.43</v>
      </c>
      <c r="AC227">
        <v>371.32</v>
      </c>
      <c r="AD227">
        <v>0</v>
      </c>
      <c r="AE227">
        <v>0</v>
      </c>
      <c r="AF227">
        <v>65.709999999999994</v>
      </c>
      <c r="AG227">
        <v>11.6</v>
      </c>
      <c r="AH227">
        <v>0</v>
      </c>
      <c r="AI227">
        <v>1</v>
      </c>
      <c r="AJ227">
        <v>12.44</v>
      </c>
      <c r="AK227">
        <v>32.01</v>
      </c>
      <c r="AL227">
        <v>1</v>
      </c>
      <c r="AM227">
        <v>4</v>
      </c>
      <c r="AN227">
        <v>0</v>
      </c>
      <c r="AO227">
        <v>1</v>
      </c>
      <c r="AP227">
        <v>1</v>
      </c>
      <c r="AQ227">
        <v>0</v>
      </c>
      <c r="AR227">
        <v>0</v>
      </c>
      <c r="AS227" t="s">
        <v>3</v>
      </c>
      <c r="AT227">
        <v>0.28000000000000003</v>
      </c>
      <c r="AU227" t="s">
        <v>148</v>
      </c>
      <c r="AV227">
        <v>0</v>
      </c>
      <c r="AW227">
        <v>2</v>
      </c>
      <c r="AX227">
        <v>145040415</v>
      </c>
      <c r="AY227">
        <v>1</v>
      </c>
      <c r="AZ227">
        <v>0</v>
      </c>
      <c r="BA227">
        <v>257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CX227">
        <f>ROUND(Y227*Source!I205,9)</f>
        <v>6.3E-2</v>
      </c>
      <c r="CY227">
        <f>AB227</f>
        <v>817.43</v>
      </c>
      <c r="CZ227">
        <f>AF227</f>
        <v>65.709999999999994</v>
      </c>
      <c r="DA227">
        <f>AJ227</f>
        <v>12.44</v>
      </c>
      <c r="DB227">
        <f>ROUND((ROUND(AT227*CZ227,2)*1.25),2)</f>
        <v>23</v>
      </c>
      <c r="DC227">
        <f>ROUND((ROUND(AT227*AG227,2)*1.25),2)</f>
        <v>4.0599999999999996</v>
      </c>
      <c r="DD227" t="s">
        <v>3</v>
      </c>
      <c r="DE227" t="s">
        <v>3</v>
      </c>
      <c r="DF227">
        <f t="shared" si="92"/>
        <v>0</v>
      </c>
      <c r="DG227">
        <f>ROUND(ROUND(AF227*AJ227,2)*CX227,2)</f>
        <v>51.5</v>
      </c>
      <c r="DH227">
        <f>ROUND(ROUND(AG227*AK227,2)*CX227,2)</f>
        <v>23.39</v>
      </c>
      <c r="DI227">
        <f t="shared" si="93"/>
        <v>0</v>
      </c>
      <c r="DJ227">
        <f>DG227</f>
        <v>51.5</v>
      </c>
      <c r="DK227">
        <v>0</v>
      </c>
      <c r="DL227" t="s">
        <v>3</v>
      </c>
      <c r="DM227">
        <v>0</v>
      </c>
      <c r="DN227" t="s">
        <v>3</v>
      </c>
      <c r="DO227">
        <v>0</v>
      </c>
    </row>
    <row r="228" spans="1:119" x14ac:dyDescent="0.2">
      <c r="A228">
        <f>ROW(Source!A205)</f>
        <v>205</v>
      </c>
      <c r="B228">
        <v>145026783</v>
      </c>
      <c r="C228">
        <v>145040398</v>
      </c>
      <c r="D228">
        <v>140772680</v>
      </c>
      <c r="E228">
        <v>1</v>
      </c>
      <c r="F228">
        <v>1</v>
      </c>
      <c r="G228">
        <v>1</v>
      </c>
      <c r="H228">
        <v>3</v>
      </c>
      <c r="I228" t="s">
        <v>635</v>
      </c>
      <c r="J228" t="s">
        <v>636</v>
      </c>
      <c r="K228" t="s">
        <v>637</v>
      </c>
      <c r="L228">
        <v>1339</v>
      </c>
      <c r="N228">
        <v>1007</v>
      </c>
      <c r="O228" t="s">
        <v>638</v>
      </c>
      <c r="P228" t="s">
        <v>638</v>
      </c>
      <c r="Q228">
        <v>1</v>
      </c>
      <c r="W228">
        <v>0</v>
      </c>
      <c r="X228">
        <v>-143474561</v>
      </c>
      <c r="Y228">
        <f>AT228</f>
        <v>0.1</v>
      </c>
      <c r="AA228">
        <v>21.72</v>
      </c>
      <c r="AB228">
        <v>0</v>
      </c>
      <c r="AC228">
        <v>0</v>
      </c>
      <c r="AD228">
        <v>0</v>
      </c>
      <c r="AE228">
        <v>2.44</v>
      </c>
      <c r="AF228">
        <v>0</v>
      </c>
      <c r="AG228">
        <v>0</v>
      </c>
      <c r="AH228">
        <v>0</v>
      </c>
      <c r="AI228">
        <v>8.9</v>
      </c>
      <c r="AJ228">
        <v>1</v>
      </c>
      <c r="AK228">
        <v>1</v>
      </c>
      <c r="AL228">
        <v>1</v>
      </c>
      <c r="AM228">
        <v>4</v>
      </c>
      <c r="AN228">
        <v>0</v>
      </c>
      <c r="AO228">
        <v>1</v>
      </c>
      <c r="AP228">
        <v>0</v>
      </c>
      <c r="AQ228">
        <v>0</v>
      </c>
      <c r="AR228">
        <v>0</v>
      </c>
      <c r="AS228" t="s">
        <v>3</v>
      </c>
      <c r="AT228">
        <v>0.1</v>
      </c>
      <c r="AU228" t="s">
        <v>3</v>
      </c>
      <c r="AV228">
        <v>0</v>
      </c>
      <c r="AW228">
        <v>2</v>
      </c>
      <c r="AX228">
        <v>145040416</v>
      </c>
      <c r="AY228">
        <v>1</v>
      </c>
      <c r="AZ228">
        <v>0</v>
      </c>
      <c r="BA228">
        <v>258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CX228">
        <f>ROUND(Y228*Source!I205,9)</f>
        <v>1.7999999999999999E-2</v>
      </c>
      <c r="CY228">
        <f>AA228</f>
        <v>21.72</v>
      </c>
      <c r="CZ228">
        <f>AE228</f>
        <v>2.44</v>
      </c>
      <c r="DA228">
        <f>AI228</f>
        <v>8.9</v>
      </c>
      <c r="DB228">
        <f>ROUND(ROUND(AT228*CZ228,2),2)</f>
        <v>0.24</v>
      </c>
      <c r="DC228">
        <f>ROUND(ROUND(AT228*AG228,2),2)</f>
        <v>0</v>
      </c>
      <c r="DD228" t="s">
        <v>3</v>
      </c>
      <c r="DE228" t="s">
        <v>3</v>
      </c>
      <c r="DF228">
        <f>ROUND(ROUND(AE228*AI228,2)*CX228,2)</f>
        <v>0.39</v>
      </c>
      <c r="DG228">
        <f t="shared" ref="DG228:DG237" si="94">ROUND(ROUND(AF228,2)*CX228,2)</f>
        <v>0</v>
      </c>
      <c r="DH228">
        <f t="shared" ref="DH228:DH236" si="95">ROUND(ROUND(AG228,2)*CX228,2)</f>
        <v>0</v>
      </c>
      <c r="DI228">
        <f t="shared" si="93"/>
        <v>0</v>
      </c>
      <c r="DJ228">
        <f>DF228</f>
        <v>0.39</v>
      </c>
      <c r="DK228">
        <v>0</v>
      </c>
      <c r="DL228" t="s">
        <v>3</v>
      </c>
      <c r="DM228">
        <v>0</v>
      </c>
      <c r="DN228" t="s">
        <v>3</v>
      </c>
      <c r="DO228">
        <v>0</v>
      </c>
    </row>
    <row r="229" spans="1:119" x14ac:dyDescent="0.2">
      <c r="A229">
        <f>ROW(Source!A205)</f>
        <v>205</v>
      </c>
      <c r="B229">
        <v>145026783</v>
      </c>
      <c r="C229">
        <v>145040398</v>
      </c>
      <c r="D229">
        <v>140776226</v>
      </c>
      <c r="E229">
        <v>1</v>
      </c>
      <c r="F229">
        <v>1</v>
      </c>
      <c r="G229">
        <v>1</v>
      </c>
      <c r="H229">
        <v>3</v>
      </c>
      <c r="I229" t="s">
        <v>680</v>
      </c>
      <c r="J229" t="s">
        <v>681</v>
      </c>
      <c r="K229" t="s">
        <v>682</v>
      </c>
      <c r="L229">
        <v>1346</v>
      </c>
      <c r="N229">
        <v>1009</v>
      </c>
      <c r="O229" t="s">
        <v>154</v>
      </c>
      <c r="P229" t="s">
        <v>154</v>
      </c>
      <c r="Q229">
        <v>1</v>
      </c>
      <c r="W229">
        <v>0</v>
      </c>
      <c r="X229">
        <v>1052716416</v>
      </c>
      <c r="Y229">
        <f>AT229</f>
        <v>0.5</v>
      </c>
      <c r="AA229">
        <v>16.2</v>
      </c>
      <c r="AB229">
        <v>0</v>
      </c>
      <c r="AC229">
        <v>0</v>
      </c>
      <c r="AD229">
        <v>0</v>
      </c>
      <c r="AE229">
        <v>1.82</v>
      </c>
      <c r="AF229">
        <v>0</v>
      </c>
      <c r="AG229">
        <v>0</v>
      </c>
      <c r="AH229">
        <v>0</v>
      </c>
      <c r="AI229">
        <v>8.9</v>
      </c>
      <c r="AJ229">
        <v>1</v>
      </c>
      <c r="AK229">
        <v>1</v>
      </c>
      <c r="AL229">
        <v>1</v>
      </c>
      <c r="AM229">
        <v>4</v>
      </c>
      <c r="AN229">
        <v>0</v>
      </c>
      <c r="AO229">
        <v>1</v>
      </c>
      <c r="AP229">
        <v>0</v>
      </c>
      <c r="AQ229">
        <v>0</v>
      </c>
      <c r="AR229">
        <v>0</v>
      </c>
      <c r="AS229" t="s">
        <v>3</v>
      </c>
      <c r="AT229">
        <v>0.5</v>
      </c>
      <c r="AU229" t="s">
        <v>3</v>
      </c>
      <c r="AV229">
        <v>0</v>
      </c>
      <c r="AW229">
        <v>2</v>
      </c>
      <c r="AX229">
        <v>145040417</v>
      </c>
      <c r="AY229">
        <v>1</v>
      </c>
      <c r="AZ229">
        <v>0</v>
      </c>
      <c r="BA229">
        <v>259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CX229">
        <f>ROUND(Y229*Source!I205,9)</f>
        <v>0.09</v>
      </c>
      <c r="CY229">
        <f>AA229</f>
        <v>16.2</v>
      </c>
      <c r="CZ229">
        <f>AE229</f>
        <v>1.82</v>
      </c>
      <c r="DA229">
        <f>AI229</f>
        <v>8.9</v>
      </c>
      <c r="DB229">
        <f>ROUND(ROUND(AT229*CZ229,2),2)</f>
        <v>0.91</v>
      </c>
      <c r="DC229">
        <f>ROUND(ROUND(AT229*AG229,2),2)</f>
        <v>0</v>
      </c>
      <c r="DD229" t="s">
        <v>3</v>
      </c>
      <c r="DE229" t="s">
        <v>3</v>
      </c>
      <c r="DF229">
        <f>ROUND(ROUND(AE229*AI229,2)*CX229,2)</f>
        <v>1.46</v>
      </c>
      <c r="DG229">
        <f t="shared" si="94"/>
        <v>0</v>
      </c>
      <c r="DH229">
        <f t="shared" si="95"/>
        <v>0</v>
      </c>
      <c r="DI229">
        <f t="shared" si="93"/>
        <v>0</v>
      </c>
      <c r="DJ229">
        <f>DF229</f>
        <v>1.46</v>
      </c>
      <c r="DK229">
        <v>0</v>
      </c>
      <c r="DL229" t="s">
        <v>3</v>
      </c>
      <c r="DM229">
        <v>0</v>
      </c>
      <c r="DN229" t="s">
        <v>3</v>
      </c>
      <c r="DO229">
        <v>0</v>
      </c>
    </row>
    <row r="230" spans="1:119" x14ac:dyDescent="0.2">
      <c r="A230">
        <f>ROW(Source!A205)</f>
        <v>205</v>
      </c>
      <c r="B230">
        <v>145026783</v>
      </c>
      <c r="C230">
        <v>145040398</v>
      </c>
      <c r="D230">
        <v>140778268</v>
      </c>
      <c r="E230">
        <v>1</v>
      </c>
      <c r="F230">
        <v>1</v>
      </c>
      <c r="G230">
        <v>1</v>
      </c>
      <c r="H230">
        <v>3</v>
      </c>
      <c r="I230" t="s">
        <v>170</v>
      </c>
      <c r="J230" t="s">
        <v>172</v>
      </c>
      <c r="K230" t="s">
        <v>171</v>
      </c>
      <c r="L230">
        <v>1348</v>
      </c>
      <c r="N230">
        <v>1009</v>
      </c>
      <c r="O230" t="s">
        <v>49</v>
      </c>
      <c r="P230" t="s">
        <v>49</v>
      </c>
      <c r="Q230">
        <v>1000</v>
      </c>
      <c r="W230">
        <v>1</v>
      </c>
      <c r="X230">
        <v>-1724628855</v>
      </c>
      <c r="Y230">
        <f>AT230</f>
        <v>-0.05</v>
      </c>
      <c r="AA230">
        <v>57965.7</v>
      </c>
      <c r="AB230">
        <v>0</v>
      </c>
      <c r="AC230">
        <v>0</v>
      </c>
      <c r="AD230">
        <v>0</v>
      </c>
      <c r="AE230">
        <v>6513</v>
      </c>
      <c r="AF230">
        <v>0</v>
      </c>
      <c r="AG230">
        <v>0</v>
      </c>
      <c r="AH230">
        <v>0</v>
      </c>
      <c r="AI230">
        <v>8.9</v>
      </c>
      <c r="AJ230">
        <v>1</v>
      </c>
      <c r="AK230">
        <v>1</v>
      </c>
      <c r="AL230">
        <v>1</v>
      </c>
      <c r="AM230">
        <v>4</v>
      </c>
      <c r="AN230">
        <v>0</v>
      </c>
      <c r="AO230">
        <v>1</v>
      </c>
      <c r="AP230">
        <v>0</v>
      </c>
      <c r="AQ230">
        <v>0</v>
      </c>
      <c r="AR230">
        <v>0</v>
      </c>
      <c r="AS230" t="s">
        <v>3</v>
      </c>
      <c r="AT230">
        <v>-0.05</v>
      </c>
      <c r="AU230" t="s">
        <v>3</v>
      </c>
      <c r="AV230">
        <v>0</v>
      </c>
      <c r="AW230">
        <v>2</v>
      </c>
      <c r="AX230">
        <v>145040418</v>
      </c>
      <c r="AY230">
        <v>1</v>
      </c>
      <c r="AZ230">
        <v>6144</v>
      </c>
      <c r="BA230">
        <v>260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CX230">
        <f>ROUND(Y230*Source!I205,9)</f>
        <v>-8.9999999999999993E-3</v>
      </c>
      <c r="CY230">
        <f>AA230</f>
        <v>57965.7</v>
      </c>
      <c r="CZ230">
        <f>AE230</f>
        <v>6513</v>
      </c>
      <c r="DA230">
        <f>AI230</f>
        <v>8.9</v>
      </c>
      <c r="DB230">
        <f>ROUND(ROUND(AT230*CZ230,2),2)</f>
        <v>-325.64999999999998</v>
      </c>
      <c r="DC230">
        <f>ROUND(ROUND(AT230*AG230,2),2)</f>
        <v>0</v>
      </c>
      <c r="DD230" t="s">
        <v>3</v>
      </c>
      <c r="DE230" t="s">
        <v>3</v>
      </c>
      <c r="DF230">
        <f>ROUND(ROUND(AE230*AI230,2)*CX230,2)</f>
        <v>-521.69000000000005</v>
      </c>
      <c r="DG230">
        <f t="shared" si="94"/>
        <v>0</v>
      </c>
      <c r="DH230">
        <f t="shared" si="95"/>
        <v>0</v>
      </c>
      <c r="DI230">
        <f t="shared" si="93"/>
        <v>0</v>
      </c>
      <c r="DJ230">
        <f>DF230</f>
        <v>-521.69000000000005</v>
      </c>
      <c r="DK230">
        <v>0</v>
      </c>
      <c r="DL230" t="s">
        <v>3</v>
      </c>
      <c r="DM230">
        <v>0</v>
      </c>
      <c r="DN230" t="s">
        <v>3</v>
      </c>
      <c r="DO230">
        <v>0</v>
      </c>
    </row>
    <row r="231" spans="1:119" x14ac:dyDescent="0.2">
      <c r="A231">
        <f>ROW(Source!A205)</f>
        <v>205</v>
      </c>
      <c r="B231">
        <v>145026783</v>
      </c>
      <c r="C231">
        <v>145040398</v>
      </c>
      <c r="D231">
        <v>140788123</v>
      </c>
      <c r="E231">
        <v>1</v>
      </c>
      <c r="F231">
        <v>1</v>
      </c>
      <c r="G231">
        <v>1</v>
      </c>
      <c r="H231">
        <v>3</v>
      </c>
      <c r="I231" t="s">
        <v>166</v>
      </c>
      <c r="J231" t="s">
        <v>168</v>
      </c>
      <c r="K231" t="s">
        <v>167</v>
      </c>
      <c r="L231">
        <v>1327</v>
      </c>
      <c r="N231">
        <v>1005</v>
      </c>
      <c r="O231" t="s">
        <v>72</v>
      </c>
      <c r="P231" t="s">
        <v>72</v>
      </c>
      <c r="Q231">
        <v>1</v>
      </c>
      <c r="W231">
        <v>1</v>
      </c>
      <c r="X231">
        <v>-581727036</v>
      </c>
      <c r="Y231">
        <f>AT231</f>
        <v>-102</v>
      </c>
      <c r="AA231">
        <v>603.41999999999996</v>
      </c>
      <c r="AB231">
        <v>0</v>
      </c>
      <c r="AC231">
        <v>0</v>
      </c>
      <c r="AD231">
        <v>0</v>
      </c>
      <c r="AE231">
        <v>67.8</v>
      </c>
      <c r="AF231">
        <v>0</v>
      </c>
      <c r="AG231">
        <v>0</v>
      </c>
      <c r="AH231">
        <v>0</v>
      </c>
      <c r="AI231">
        <v>8.9</v>
      </c>
      <c r="AJ231">
        <v>1</v>
      </c>
      <c r="AK231">
        <v>1</v>
      </c>
      <c r="AL231">
        <v>1</v>
      </c>
      <c r="AM231">
        <v>4</v>
      </c>
      <c r="AN231">
        <v>0</v>
      </c>
      <c r="AO231">
        <v>1</v>
      </c>
      <c r="AP231">
        <v>0</v>
      </c>
      <c r="AQ231">
        <v>0</v>
      </c>
      <c r="AR231">
        <v>0</v>
      </c>
      <c r="AS231" t="s">
        <v>3</v>
      </c>
      <c r="AT231">
        <v>-102</v>
      </c>
      <c r="AU231" t="s">
        <v>3</v>
      </c>
      <c r="AV231">
        <v>0</v>
      </c>
      <c r="AW231">
        <v>2</v>
      </c>
      <c r="AX231">
        <v>145040419</v>
      </c>
      <c r="AY231">
        <v>1</v>
      </c>
      <c r="AZ231">
        <v>6144</v>
      </c>
      <c r="BA231">
        <v>261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CX231">
        <f>ROUND(Y231*Source!I205,9)</f>
        <v>-18.36</v>
      </c>
      <c r="CY231">
        <f>AA231</f>
        <v>603.41999999999996</v>
      </c>
      <c r="CZ231">
        <f>AE231</f>
        <v>67.8</v>
      </c>
      <c r="DA231">
        <f>AI231</f>
        <v>8.9</v>
      </c>
      <c r="DB231">
        <f>ROUND(ROUND(AT231*CZ231,2),2)</f>
        <v>-6915.6</v>
      </c>
      <c r="DC231">
        <f>ROUND(ROUND(AT231*AG231,2),2)</f>
        <v>0</v>
      </c>
      <c r="DD231" t="s">
        <v>3</v>
      </c>
      <c r="DE231" t="s">
        <v>3</v>
      </c>
      <c r="DF231">
        <f>ROUND(ROUND(AE231*AI231,2)*CX231,2)</f>
        <v>-11078.79</v>
      </c>
      <c r="DG231">
        <f t="shared" si="94"/>
        <v>0</v>
      </c>
      <c r="DH231">
        <f t="shared" si="95"/>
        <v>0</v>
      </c>
      <c r="DI231">
        <f t="shared" si="93"/>
        <v>0</v>
      </c>
      <c r="DJ231">
        <f>DF231</f>
        <v>-11078.79</v>
      </c>
      <c r="DK231">
        <v>0</v>
      </c>
      <c r="DL231" t="s">
        <v>3</v>
      </c>
      <c r="DM231">
        <v>0</v>
      </c>
      <c r="DN231" t="s">
        <v>3</v>
      </c>
      <c r="DO231">
        <v>0</v>
      </c>
    </row>
    <row r="232" spans="1:119" x14ac:dyDescent="0.2">
      <c r="A232">
        <f>ROW(Source!A205)</f>
        <v>205</v>
      </c>
      <c r="B232">
        <v>145026783</v>
      </c>
      <c r="C232">
        <v>145040398</v>
      </c>
      <c r="D232">
        <v>140803309</v>
      </c>
      <c r="E232">
        <v>1</v>
      </c>
      <c r="F232">
        <v>1</v>
      </c>
      <c r="G232">
        <v>1</v>
      </c>
      <c r="H232">
        <v>3</v>
      </c>
      <c r="I232" t="s">
        <v>174</v>
      </c>
      <c r="J232" t="s">
        <v>176</v>
      </c>
      <c r="K232" t="s">
        <v>175</v>
      </c>
      <c r="L232">
        <v>1346</v>
      </c>
      <c r="N232">
        <v>1009</v>
      </c>
      <c r="O232" t="s">
        <v>154</v>
      </c>
      <c r="P232" t="s">
        <v>154</v>
      </c>
      <c r="Q232">
        <v>1</v>
      </c>
      <c r="W232">
        <v>1</v>
      </c>
      <c r="X232">
        <v>-1263215297</v>
      </c>
      <c r="Y232">
        <f>AT232</f>
        <v>-450</v>
      </c>
      <c r="AA232">
        <v>12.19</v>
      </c>
      <c r="AB232">
        <v>0</v>
      </c>
      <c r="AC232">
        <v>0</v>
      </c>
      <c r="AD232">
        <v>0</v>
      </c>
      <c r="AE232">
        <v>1.37</v>
      </c>
      <c r="AF232">
        <v>0</v>
      </c>
      <c r="AG232">
        <v>0</v>
      </c>
      <c r="AH232">
        <v>0</v>
      </c>
      <c r="AI232">
        <v>8.9</v>
      </c>
      <c r="AJ232">
        <v>1</v>
      </c>
      <c r="AK232">
        <v>1</v>
      </c>
      <c r="AL232">
        <v>1</v>
      </c>
      <c r="AM232">
        <v>4</v>
      </c>
      <c r="AN232">
        <v>0</v>
      </c>
      <c r="AO232">
        <v>1</v>
      </c>
      <c r="AP232">
        <v>0</v>
      </c>
      <c r="AQ232">
        <v>0</v>
      </c>
      <c r="AR232">
        <v>0</v>
      </c>
      <c r="AS232" t="s">
        <v>3</v>
      </c>
      <c r="AT232">
        <v>-450</v>
      </c>
      <c r="AU232" t="s">
        <v>3</v>
      </c>
      <c r="AV232">
        <v>0</v>
      </c>
      <c r="AW232">
        <v>2</v>
      </c>
      <c r="AX232">
        <v>145040420</v>
      </c>
      <c r="AY232">
        <v>1</v>
      </c>
      <c r="AZ232">
        <v>6144</v>
      </c>
      <c r="BA232">
        <v>262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CX232">
        <f>ROUND(Y232*Source!I205,9)</f>
        <v>-81</v>
      </c>
      <c r="CY232">
        <f>AA232</f>
        <v>12.19</v>
      </c>
      <c r="CZ232">
        <f>AE232</f>
        <v>1.37</v>
      </c>
      <c r="DA232">
        <f>AI232</f>
        <v>8.9</v>
      </c>
      <c r="DB232">
        <f>ROUND(ROUND(AT232*CZ232,2),2)</f>
        <v>-616.5</v>
      </c>
      <c r="DC232">
        <f>ROUND(ROUND(AT232*AG232,2),2)</f>
        <v>0</v>
      </c>
      <c r="DD232" t="s">
        <v>3</v>
      </c>
      <c r="DE232" t="s">
        <v>3</v>
      </c>
      <c r="DF232">
        <f>ROUND(ROUND(AE232*AI232,2)*CX232,2)</f>
        <v>-987.39</v>
      </c>
      <c r="DG232">
        <f t="shared" si="94"/>
        <v>0</v>
      </c>
      <c r="DH232">
        <f t="shared" si="95"/>
        <v>0</v>
      </c>
      <c r="DI232">
        <f t="shared" si="93"/>
        <v>0</v>
      </c>
      <c r="DJ232">
        <f>DF232</f>
        <v>-987.39</v>
      </c>
      <c r="DK232">
        <v>0</v>
      </c>
      <c r="DL232" t="s">
        <v>3</v>
      </c>
      <c r="DM232">
        <v>0</v>
      </c>
      <c r="DN232" t="s">
        <v>3</v>
      </c>
      <c r="DO232">
        <v>0</v>
      </c>
    </row>
    <row r="233" spans="1:119" x14ac:dyDescent="0.2">
      <c r="A233">
        <f>ROW(Source!A212)</f>
        <v>212</v>
      </c>
      <c r="B233">
        <v>145026783</v>
      </c>
      <c r="C233">
        <v>145027567</v>
      </c>
      <c r="D233">
        <v>140759979</v>
      </c>
      <c r="E233">
        <v>70</v>
      </c>
      <c r="F233">
        <v>1</v>
      </c>
      <c r="G233">
        <v>1</v>
      </c>
      <c r="H233">
        <v>1</v>
      </c>
      <c r="I233" t="s">
        <v>698</v>
      </c>
      <c r="J233" t="s">
        <v>3</v>
      </c>
      <c r="K233" t="s">
        <v>699</v>
      </c>
      <c r="L233">
        <v>1191</v>
      </c>
      <c r="N233">
        <v>1013</v>
      </c>
      <c r="O233" t="s">
        <v>608</v>
      </c>
      <c r="P233" t="s">
        <v>608</v>
      </c>
      <c r="Q233">
        <v>1</v>
      </c>
      <c r="W233">
        <v>0</v>
      </c>
      <c r="X233">
        <v>1049124552</v>
      </c>
      <c r="Y233">
        <f>(AT233*1.15)</f>
        <v>19.135999999999999</v>
      </c>
      <c r="AA233">
        <v>0</v>
      </c>
      <c r="AB233">
        <v>0</v>
      </c>
      <c r="AC233">
        <v>0</v>
      </c>
      <c r="AD233">
        <v>273.05</v>
      </c>
      <c r="AE233">
        <v>0</v>
      </c>
      <c r="AF233">
        <v>0</v>
      </c>
      <c r="AG233">
        <v>0</v>
      </c>
      <c r="AH233">
        <v>8.5299999999999994</v>
      </c>
      <c r="AI233">
        <v>1</v>
      </c>
      <c r="AJ233">
        <v>1</v>
      </c>
      <c r="AK233">
        <v>1</v>
      </c>
      <c r="AL233">
        <v>32.01</v>
      </c>
      <c r="AM233">
        <v>4</v>
      </c>
      <c r="AN233">
        <v>0</v>
      </c>
      <c r="AO233">
        <v>1</v>
      </c>
      <c r="AP233">
        <v>1</v>
      </c>
      <c r="AQ233">
        <v>0</v>
      </c>
      <c r="AR233">
        <v>0</v>
      </c>
      <c r="AS233" t="s">
        <v>3</v>
      </c>
      <c r="AT233">
        <v>16.64</v>
      </c>
      <c r="AU233" t="s">
        <v>149</v>
      </c>
      <c r="AV233">
        <v>1</v>
      </c>
      <c r="AW233">
        <v>2</v>
      </c>
      <c r="AX233">
        <v>145027570</v>
      </c>
      <c r="AY233">
        <v>1</v>
      </c>
      <c r="AZ233">
        <v>0</v>
      </c>
      <c r="BA233">
        <v>263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CX233">
        <f>ROUND(Y233*Source!I212,9)</f>
        <v>4.5926400000000003</v>
      </c>
      <c r="CY233">
        <f>AD233</f>
        <v>273.05</v>
      </c>
      <c r="CZ233">
        <f>AH233</f>
        <v>8.5299999999999994</v>
      </c>
      <c r="DA233">
        <f>AL233</f>
        <v>32.01</v>
      </c>
      <c r="DB233">
        <f>ROUND((ROUND(AT233*CZ233,2)*1.15),2)</f>
        <v>163.22999999999999</v>
      </c>
      <c r="DC233">
        <f>ROUND((ROUND(AT233*AG233,2)*1.15),2)</f>
        <v>0</v>
      </c>
      <c r="DD233" t="s">
        <v>3</v>
      </c>
      <c r="DE233" t="s">
        <v>3</v>
      </c>
      <c r="DF233">
        <f>ROUND(ROUND(AE233,2)*CX233,2)</f>
        <v>0</v>
      </c>
      <c r="DG233">
        <f t="shared" si="94"/>
        <v>0</v>
      </c>
      <c r="DH233">
        <f t="shared" si="95"/>
        <v>0</v>
      </c>
      <c r="DI233">
        <f>ROUND(ROUND(AH233*AL233,2)*CX233,2)</f>
        <v>1254.02</v>
      </c>
      <c r="DJ233">
        <f>DI233</f>
        <v>1254.02</v>
      </c>
      <c r="DK233">
        <v>0</v>
      </c>
      <c r="DL233" t="s">
        <v>3</v>
      </c>
      <c r="DM233">
        <v>0</v>
      </c>
      <c r="DN233" t="s">
        <v>3</v>
      </c>
      <c r="DO233">
        <v>0</v>
      </c>
    </row>
    <row r="234" spans="1:119" x14ac:dyDescent="0.2">
      <c r="A234">
        <f>ROW(Source!A212)</f>
        <v>212</v>
      </c>
      <c r="B234">
        <v>145026783</v>
      </c>
      <c r="C234">
        <v>145027567</v>
      </c>
      <c r="D234">
        <v>140775049</v>
      </c>
      <c r="E234">
        <v>1</v>
      </c>
      <c r="F234">
        <v>1</v>
      </c>
      <c r="G234">
        <v>1</v>
      </c>
      <c r="H234">
        <v>3</v>
      </c>
      <c r="I234" t="s">
        <v>725</v>
      </c>
      <c r="J234" t="s">
        <v>726</v>
      </c>
      <c r="K234" t="s">
        <v>727</v>
      </c>
      <c r="L234">
        <v>1425</v>
      </c>
      <c r="N234">
        <v>1013</v>
      </c>
      <c r="O234" t="s">
        <v>21</v>
      </c>
      <c r="P234" t="s">
        <v>21</v>
      </c>
      <c r="Q234">
        <v>1</v>
      </c>
      <c r="W234">
        <v>0</v>
      </c>
      <c r="X234">
        <v>-1109928473</v>
      </c>
      <c r="Y234">
        <f>AT234</f>
        <v>6.7</v>
      </c>
      <c r="AA234">
        <v>106.8</v>
      </c>
      <c r="AB234">
        <v>0</v>
      </c>
      <c r="AC234">
        <v>0</v>
      </c>
      <c r="AD234">
        <v>0</v>
      </c>
      <c r="AE234">
        <v>12</v>
      </c>
      <c r="AF234">
        <v>0</v>
      </c>
      <c r="AG234">
        <v>0</v>
      </c>
      <c r="AH234">
        <v>0</v>
      </c>
      <c r="AI234">
        <v>8.9</v>
      </c>
      <c r="AJ234">
        <v>1</v>
      </c>
      <c r="AK234">
        <v>1</v>
      </c>
      <c r="AL234">
        <v>1</v>
      </c>
      <c r="AM234">
        <v>4</v>
      </c>
      <c r="AN234">
        <v>0</v>
      </c>
      <c r="AO234">
        <v>1</v>
      </c>
      <c r="AP234">
        <v>0</v>
      </c>
      <c r="AQ234">
        <v>0</v>
      </c>
      <c r="AR234">
        <v>0</v>
      </c>
      <c r="AS234" t="s">
        <v>3</v>
      </c>
      <c r="AT234">
        <v>6.7</v>
      </c>
      <c r="AU234" t="s">
        <v>3</v>
      </c>
      <c r="AV234">
        <v>0</v>
      </c>
      <c r="AW234">
        <v>2</v>
      </c>
      <c r="AX234">
        <v>145027571</v>
      </c>
      <c r="AY234">
        <v>1</v>
      </c>
      <c r="AZ234">
        <v>0</v>
      </c>
      <c r="BA234">
        <v>264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CX234">
        <f>ROUND(Y234*Source!I212,9)</f>
        <v>1.6080000000000001</v>
      </c>
      <c r="CY234">
        <f>AA234</f>
        <v>106.8</v>
      </c>
      <c r="CZ234">
        <f>AE234</f>
        <v>12</v>
      </c>
      <c r="DA234">
        <f>AI234</f>
        <v>8.9</v>
      </c>
      <c r="DB234">
        <f>ROUND(ROUND(AT234*CZ234,2),2)</f>
        <v>80.400000000000006</v>
      </c>
      <c r="DC234">
        <f>ROUND(ROUND(AT234*AG234,2),2)</f>
        <v>0</v>
      </c>
      <c r="DD234" t="s">
        <v>3</v>
      </c>
      <c r="DE234" t="s">
        <v>3</v>
      </c>
      <c r="DF234">
        <f>ROUND(ROUND(AE234*AI234,2)*CX234,2)</f>
        <v>171.73</v>
      </c>
      <c r="DG234">
        <f t="shared" si="94"/>
        <v>0</v>
      </c>
      <c r="DH234">
        <f t="shared" si="95"/>
        <v>0</v>
      </c>
      <c r="DI234">
        <f>ROUND(ROUND(AH234,2)*CX234,2)</f>
        <v>0</v>
      </c>
      <c r="DJ234">
        <f>DF234</f>
        <v>171.73</v>
      </c>
      <c r="DK234">
        <v>0</v>
      </c>
      <c r="DL234" t="s">
        <v>3</v>
      </c>
      <c r="DM234">
        <v>0</v>
      </c>
      <c r="DN234" t="s">
        <v>3</v>
      </c>
      <c r="DO234">
        <v>0</v>
      </c>
    </row>
    <row r="235" spans="1:119" x14ac:dyDescent="0.2">
      <c r="A235">
        <f>ROW(Source!A214)</f>
        <v>214</v>
      </c>
      <c r="B235">
        <v>145026783</v>
      </c>
      <c r="C235">
        <v>145027574</v>
      </c>
      <c r="D235">
        <v>140759909</v>
      </c>
      <c r="E235">
        <v>70</v>
      </c>
      <c r="F235">
        <v>1</v>
      </c>
      <c r="G235">
        <v>1</v>
      </c>
      <c r="H235">
        <v>1</v>
      </c>
      <c r="I235" t="s">
        <v>627</v>
      </c>
      <c r="J235" t="s">
        <v>3</v>
      </c>
      <c r="K235" t="s">
        <v>628</v>
      </c>
      <c r="L235">
        <v>1191</v>
      </c>
      <c r="N235">
        <v>1013</v>
      </c>
      <c r="O235" t="s">
        <v>608</v>
      </c>
      <c r="P235" t="s">
        <v>608</v>
      </c>
      <c r="Q235">
        <v>1</v>
      </c>
      <c r="W235">
        <v>0</v>
      </c>
      <c r="X235">
        <v>980964037</v>
      </c>
      <c r="Y235">
        <f>AT235</f>
        <v>0.57999999999999996</v>
      </c>
      <c r="AA235">
        <v>0</v>
      </c>
      <c r="AB235">
        <v>0</v>
      </c>
      <c r="AC235">
        <v>0</v>
      </c>
      <c r="AD235">
        <v>242</v>
      </c>
      <c r="AE235">
        <v>0</v>
      </c>
      <c r="AF235">
        <v>0</v>
      </c>
      <c r="AG235">
        <v>0</v>
      </c>
      <c r="AH235">
        <v>7.56</v>
      </c>
      <c r="AI235">
        <v>1</v>
      </c>
      <c r="AJ235">
        <v>1</v>
      </c>
      <c r="AK235">
        <v>1</v>
      </c>
      <c r="AL235">
        <v>32.01</v>
      </c>
      <c r="AM235">
        <v>4</v>
      </c>
      <c r="AN235">
        <v>0</v>
      </c>
      <c r="AO235">
        <v>1</v>
      </c>
      <c r="AP235">
        <v>0</v>
      </c>
      <c r="AQ235">
        <v>0</v>
      </c>
      <c r="AR235">
        <v>0</v>
      </c>
      <c r="AS235" t="s">
        <v>3</v>
      </c>
      <c r="AT235">
        <v>0.57999999999999996</v>
      </c>
      <c r="AU235" t="s">
        <v>3</v>
      </c>
      <c r="AV235">
        <v>1</v>
      </c>
      <c r="AW235">
        <v>2</v>
      </c>
      <c r="AX235">
        <v>145027576</v>
      </c>
      <c r="AY235">
        <v>1</v>
      </c>
      <c r="AZ235">
        <v>0</v>
      </c>
      <c r="BA235">
        <v>266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CX235">
        <f>ROUND(Y235*Source!I214,9)</f>
        <v>11.6</v>
      </c>
      <c r="CY235">
        <f>AD235</f>
        <v>242</v>
      </c>
      <c r="CZ235">
        <f>AH235</f>
        <v>7.56</v>
      </c>
      <c r="DA235">
        <f>AL235</f>
        <v>32.01</v>
      </c>
      <c r="DB235">
        <f>ROUND(ROUND(AT235*CZ235,2),2)</f>
        <v>4.38</v>
      </c>
      <c r="DC235">
        <f>ROUND(ROUND(AT235*AG235,2),2)</f>
        <v>0</v>
      </c>
      <c r="DD235" t="s">
        <v>3</v>
      </c>
      <c r="DE235" t="s">
        <v>3</v>
      </c>
      <c r="DF235">
        <f t="shared" ref="DF235:DF241" si="96">ROUND(ROUND(AE235,2)*CX235,2)</f>
        <v>0</v>
      </c>
      <c r="DG235">
        <f t="shared" si="94"/>
        <v>0</v>
      </c>
      <c r="DH235">
        <f t="shared" si="95"/>
        <v>0</v>
      </c>
      <c r="DI235">
        <f>ROUND(ROUND(AH235*AL235,2)*CX235,2)</f>
        <v>2807.2</v>
      </c>
      <c r="DJ235">
        <f>DI235</f>
        <v>2807.2</v>
      </c>
      <c r="DK235">
        <v>0</v>
      </c>
      <c r="DL235" t="s">
        <v>3</v>
      </c>
      <c r="DM235">
        <v>0</v>
      </c>
      <c r="DN235" t="s">
        <v>3</v>
      </c>
      <c r="DO235">
        <v>0</v>
      </c>
    </row>
    <row r="236" spans="1:119" x14ac:dyDescent="0.2">
      <c r="A236">
        <f>ROW(Source!A215)</f>
        <v>215</v>
      </c>
      <c r="B236">
        <v>145026783</v>
      </c>
      <c r="C236">
        <v>145027577</v>
      </c>
      <c r="D236">
        <v>140760060</v>
      </c>
      <c r="E236">
        <v>70</v>
      </c>
      <c r="F236">
        <v>1</v>
      </c>
      <c r="G236">
        <v>1</v>
      </c>
      <c r="H236">
        <v>1</v>
      </c>
      <c r="I236" t="s">
        <v>798</v>
      </c>
      <c r="J236" t="s">
        <v>3</v>
      </c>
      <c r="K236" t="s">
        <v>799</v>
      </c>
      <c r="L236">
        <v>1191</v>
      </c>
      <c r="N236">
        <v>1013</v>
      </c>
      <c r="O236" t="s">
        <v>608</v>
      </c>
      <c r="P236" t="s">
        <v>608</v>
      </c>
      <c r="Q236">
        <v>1</v>
      </c>
      <c r="W236">
        <v>0</v>
      </c>
      <c r="X236">
        <v>-981676222</v>
      </c>
      <c r="Y236">
        <f>(AT236*1.15*2)</f>
        <v>12.212999999999997</v>
      </c>
      <c r="AA236">
        <v>0</v>
      </c>
      <c r="AB236">
        <v>0</v>
      </c>
      <c r="AC236">
        <v>0</v>
      </c>
      <c r="AD236">
        <v>340.91</v>
      </c>
      <c r="AE236">
        <v>0</v>
      </c>
      <c r="AF236">
        <v>0</v>
      </c>
      <c r="AG236">
        <v>0</v>
      </c>
      <c r="AH236">
        <v>10.65</v>
      </c>
      <c r="AI236">
        <v>1</v>
      </c>
      <c r="AJ236">
        <v>1</v>
      </c>
      <c r="AK236">
        <v>1</v>
      </c>
      <c r="AL236">
        <v>32.01</v>
      </c>
      <c r="AM236">
        <v>4</v>
      </c>
      <c r="AN236">
        <v>0</v>
      </c>
      <c r="AO236">
        <v>1</v>
      </c>
      <c r="AP236">
        <v>1</v>
      </c>
      <c r="AQ236">
        <v>0</v>
      </c>
      <c r="AR236">
        <v>0</v>
      </c>
      <c r="AS236" t="s">
        <v>3</v>
      </c>
      <c r="AT236">
        <v>5.31</v>
      </c>
      <c r="AU236" t="s">
        <v>500</v>
      </c>
      <c r="AV236">
        <v>1</v>
      </c>
      <c r="AW236">
        <v>2</v>
      </c>
      <c r="AX236">
        <v>145027586</v>
      </c>
      <c r="AY236">
        <v>1</v>
      </c>
      <c r="AZ236">
        <v>0</v>
      </c>
      <c r="BA236">
        <v>267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CX236">
        <f>ROUND(Y236*Source!I215,9)</f>
        <v>2.4426000000000001</v>
      </c>
      <c r="CY236">
        <f>AD236</f>
        <v>340.91</v>
      </c>
      <c r="CZ236">
        <f>AH236</f>
        <v>10.65</v>
      </c>
      <c r="DA236">
        <f>AL236</f>
        <v>32.01</v>
      </c>
      <c r="DB236">
        <f>ROUND((ROUND(AT236*CZ236,2)*1.15*2),2)</f>
        <v>130.07</v>
      </c>
      <c r="DC236">
        <f>ROUND((ROUND(AT236*AG236,2)*1.15*2),2)</f>
        <v>0</v>
      </c>
      <c r="DD236" t="s">
        <v>3</v>
      </c>
      <c r="DE236" t="s">
        <v>3</v>
      </c>
      <c r="DF236">
        <f t="shared" si="96"/>
        <v>0</v>
      </c>
      <c r="DG236">
        <f t="shared" si="94"/>
        <v>0</v>
      </c>
      <c r="DH236">
        <f t="shared" si="95"/>
        <v>0</v>
      </c>
      <c r="DI236">
        <f>ROUND(ROUND(AH236*AL236,2)*CX236,2)</f>
        <v>832.71</v>
      </c>
      <c r="DJ236">
        <f>DI236</f>
        <v>832.71</v>
      </c>
      <c r="DK236">
        <v>0</v>
      </c>
      <c r="DL236" t="s">
        <v>3</v>
      </c>
      <c r="DM236">
        <v>0</v>
      </c>
      <c r="DN236" t="s">
        <v>3</v>
      </c>
      <c r="DO236">
        <v>0</v>
      </c>
    </row>
    <row r="237" spans="1:119" x14ac:dyDescent="0.2">
      <c r="A237">
        <f>ROW(Source!A215)</f>
        <v>215</v>
      </c>
      <c r="B237">
        <v>145026783</v>
      </c>
      <c r="C237">
        <v>145027577</v>
      </c>
      <c r="D237">
        <v>140760225</v>
      </c>
      <c r="E237">
        <v>70</v>
      </c>
      <c r="F237">
        <v>1</v>
      </c>
      <c r="G237">
        <v>1</v>
      </c>
      <c r="H237">
        <v>1</v>
      </c>
      <c r="I237" t="s">
        <v>609</v>
      </c>
      <c r="J237" t="s">
        <v>3</v>
      </c>
      <c r="K237" t="s">
        <v>610</v>
      </c>
      <c r="L237">
        <v>1191</v>
      </c>
      <c r="N237">
        <v>1013</v>
      </c>
      <c r="O237" t="s">
        <v>608</v>
      </c>
      <c r="P237" t="s">
        <v>608</v>
      </c>
      <c r="Q237">
        <v>1</v>
      </c>
      <c r="W237">
        <v>0</v>
      </c>
      <c r="X237">
        <v>-1417349443</v>
      </c>
      <c r="Y237">
        <f>(AT237*1.25*2)</f>
        <v>0.05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1</v>
      </c>
      <c r="AJ237">
        <v>1</v>
      </c>
      <c r="AK237">
        <v>32.01</v>
      </c>
      <c r="AL237">
        <v>1</v>
      </c>
      <c r="AM237">
        <v>4</v>
      </c>
      <c r="AN237">
        <v>0</v>
      </c>
      <c r="AO237">
        <v>1</v>
      </c>
      <c r="AP237">
        <v>1</v>
      </c>
      <c r="AQ237">
        <v>0</v>
      </c>
      <c r="AR237">
        <v>0</v>
      </c>
      <c r="AS237" t="s">
        <v>3</v>
      </c>
      <c r="AT237">
        <v>0.02</v>
      </c>
      <c r="AU237" t="s">
        <v>499</v>
      </c>
      <c r="AV237">
        <v>2</v>
      </c>
      <c r="AW237">
        <v>2</v>
      </c>
      <c r="AX237">
        <v>145027587</v>
      </c>
      <c r="AY237">
        <v>1</v>
      </c>
      <c r="AZ237">
        <v>0</v>
      </c>
      <c r="BA237">
        <v>268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CX237">
        <f>ROUND(Y237*Source!I215,9)</f>
        <v>0.01</v>
      </c>
      <c r="CY237">
        <f>AD237</f>
        <v>0</v>
      </c>
      <c r="CZ237">
        <f>AH237</f>
        <v>0</v>
      </c>
      <c r="DA237">
        <f>AL237</f>
        <v>1</v>
      </c>
      <c r="DB237">
        <f>ROUND((ROUND(AT237*CZ237,2)*1.25*2),2)</f>
        <v>0</v>
      </c>
      <c r="DC237">
        <f>ROUND((ROUND(AT237*AG237,2)*1.25*2),2)</f>
        <v>0</v>
      </c>
      <c r="DD237" t="s">
        <v>3</v>
      </c>
      <c r="DE237" t="s">
        <v>3</v>
      </c>
      <c r="DF237">
        <f t="shared" si="96"/>
        <v>0</v>
      </c>
      <c r="DG237">
        <f t="shared" si="94"/>
        <v>0</v>
      </c>
      <c r="DH237">
        <f>ROUND(ROUND(AG237*AK237,2)*CX237,2)</f>
        <v>0</v>
      </c>
      <c r="DI237">
        <f t="shared" ref="DI237:DI243" si="97">ROUND(ROUND(AH237,2)*CX237,2)</f>
        <v>0</v>
      </c>
      <c r="DJ237">
        <f>DI237</f>
        <v>0</v>
      </c>
      <c r="DK237">
        <v>0</v>
      </c>
      <c r="DL237" t="s">
        <v>3</v>
      </c>
      <c r="DM237">
        <v>0</v>
      </c>
      <c r="DN237" t="s">
        <v>3</v>
      </c>
      <c r="DO237">
        <v>0</v>
      </c>
    </row>
    <row r="238" spans="1:119" x14ac:dyDescent="0.2">
      <c r="A238">
        <f>ROW(Source!A215)</f>
        <v>215</v>
      </c>
      <c r="B238">
        <v>145026783</v>
      </c>
      <c r="C238">
        <v>145027577</v>
      </c>
      <c r="D238">
        <v>140923086</v>
      </c>
      <c r="E238">
        <v>1</v>
      </c>
      <c r="F238">
        <v>1</v>
      </c>
      <c r="G238">
        <v>1</v>
      </c>
      <c r="H238">
        <v>2</v>
      </c>
      <c r="I238" t="s">
        <v>800</v>
      </c>
      <c r="J238" t="s">
        <v>801</v>
      </c>
      <c r="K238" t="s">
        <v>802</v>
      </c>
      <c r="L238">
        <v>1367</v>
      </c>
      <c r="N238">
        <v>1011</v>
      </c>
      <c r="O238" t="s">
        <v>614</v>
      </c>
      <c r="P238" t="s">
        <v>614</v>
      </c>
      <c r="Q238">
        <v>1</v>
      </c>
      <c r="W238">
        <v>0</v>
      </c>
      <c r="X238">
        <v>208619310</v>
      </c>
      <c r="Y238">
        <f>(AT238*1.25*2)</f>
        <v>2.5000000000000001E-2</v>
      </c>
      <c r="AA238">
        <v>0</v>
      </c>
      <c r="AB238">
        <v>21.15</v>
      </c>
      <c r="AC238">
        <v>0</v>
      </c>
      <c r="AD238">
        <v>0</v>
      </c>
      <c r="AE238">
        <v>0</v>
      </c>
      <c r="AF238">
        <v>1.7</v>
      </c>
      <c r="AG238">
        <v>0</v>
      </c>
      <c r="AH238">
        <v>0</v>
      </c>
      <c r="AI238">
        <v>1</v>
      </c>
      <c r="AJ238">
        <v>12.44</v>
      </c>
      <c r="AK238">
        <v>32.01</v>
      </c>
      <c r="AL238">
        <v>1</v>
      </c>
      <c r="AM238">
        <v>4</v>
      </c>
      <c r="AN238">
        <v>0</v>
      </c>
      <c r="AO238">
        <v>1</v>
      </c>
      <c r="AP238">
        <v>1</v>
      </c>
      <c r="AQ238">
        <v>0</v>
      </c>
      <c r="AR238">
        <v>0</v>
      </c>
      <c r="AS238" t="s">
        <v>3</v>
      </c>
      <c r="AT238">
        <v>0.01</v>
      </c>
      <c r="AU238" t="s">
        <v>499</v>
      </c>
      <c r="AV238">
        <v>0</v>
      </c>
      <c r="AW238">
        <v>2</v>
      </c>
      <c r="AX238">
        <v>145027588</v>
      </c>
      <c r="AY238">
        <v>1</v>
      </c>
      <c r="AZ238">
        <v>0</v>
      </c>
      <c r="BA238">
        <v>269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CX238">
        <f>ROUND(Y238*Source!I215,9)</f>
        <v>5.0000000000000001E-3</v>
      </c>
      <c r="CY238">
        <f>AB238</f>
        <v>21.15</v>
      </c>
      <c r="CZ238">
        <f>AF238</f>
        <v>1.7</v>
      </c>
      <c r="DA238">
        <f>AJ238</f>
        <v>12.44</v>
      </c>
      <c r="DB238">
        <f>ROUND((ROUND(AT238*CZ238,2)*1.25*2),2)</f>
        <v>0.05</v>
      </c>
      <c r="DC238">
        <f>ROUND((ROUND(AT238*AG238,2)*1.25*2),2)</f>
        <v>0</v>
      </c>
      <c r="DD238" t="s">
        <v>3</v>
      </c>
      <c r="DE238" t="s">
        <v>3</v>
      </c>
      <c r="DF238">
        <f t="shared" si="96"/>
        <v>0</v>
      </c>
      <c r="DG238">
        <f>ROUND(ROUND(AF238*AJ238,2)*CX238,2)</f>
        <v>0.11</v>
      </c>
      <c r="DH238">
        <f>ROUND(ROUND(AG238*AK238,2)*CX238,2)</f>
        <v>0</v>
      </c>
      <c r="DI238">
        <f t="shared" si="97"/>
        <v>0</v>
      </c>
      <c r="DJ238">
        <f>DG238</f>
        <v>0.11</v>
      </c>
      <c r="DK238">
        <v>0</v>
      </c>
      <c r="DL238" t="s">
        <v>3</v>
      </c>
      <c r="DM238">
        <v>0</v>
      </c>
      <c r="DN238" t="s">
        <v>3</v>
      </c>
      <c r="DO238">
        <v>0</v>
      </c>
    </row>
    <row r="239" spans="1:119" x14ac:dyDescent="0.2">
      <c r="A239">
        <f>ROW(Source!A215)</f>
        <v>215</v>
      </c>
      <c r="B239">
        <v>145026783</v>
      </c>
      <c r="C239">
        <v>145027577</v>
      </c>
      <c r="D239">
        <v>140923105</v>
      </c>
      <c r="E239">
        <v>1</v>
      </c>
      <c r="F239">
        <v>1</v>
      </c>
      <c r="G239">
        <v>1</v>
      </c>
      <c r="H239">
        <v>2</v>
      </c>
      <c r="I239" t="s">
        <v>710</v>
      </c>
      <c r="J239" t="s">
        <v>711</v>
      </c>
      <c r="K239" t="s">
        <v>712</v>
      </c>
      <c r="L239">
        <v>1367</v>
      </c>
      <c r="N239">
        <v>1011</v>
      </c>
      <c r="O239" t="s">
        <v>614</v>
      </c>
      <c r="P239" t="s">
        <v>614</v>
      </c>
      <c r="Q239">
        <v>1</v>
      </c>
      <c r="W239">
        <v>0</v>
      </c>
      <c r="X239">
        <v>-896236776</v>
      </c>
      <c r="Y239">
        <f>(AT239*1.25*2)</f>
        <v>2.5000000000000001E-2</v>
      </c>
      <c r="AA239">
        <v>0</v>
      </c>
      <c r="AB239">
        <v>1119.48</v>
      </c>
      <c r="AC239">
        <v>322.02</v>
      </c>
      <c r="AD239">
        <v>0</v>
      </c>
      <c r="AE239">
        <v>0</v>
      </c>
      <c r="AF239">
        <v>89.99</v>
      </c>
      <c r="AG239">
        <v>10.06</v>
      </c>
      <c r="AH239">
        <v>0</v>
      </c>
      <c r="AI239">
        <v>1</v>
      </c>
      <c r="AJ239">
        <v>12.44</v>
      </c>
      <c r="AK239">
        <v>32.01</v>
      </c>
      <c r="AL239">
        <v>1</v>
      </c>
      <c r="AM239">
        <v>4</v>
      </c>
      <c r="AN239">
        <v>0</v>
      </c>
      <c r="AO239">
        <v>1</v>
      </c>
      <c r="AP239">
        <v>1</v>
      </c>
      <c r="AQ239">
        <v>0</v>
      </c>
      <c r="AR239">
        <v>0</v>
      </c>
      <c r="AS239" t="s">
        <v>3</v>
      </c>
      <c r="AT239">
        <v>0.01</v>
      </c>
      <c r="AU239" t="s">
        <v>499</v>
      </c>
      <c r="AV239">
        <v>0</v>
      </c>
      <c r="AW239">
        <v>2</v>
      </c>
      <c r="AX239">
        <v>145027589</v>
      </c>
      <c r="AY239">
        <v>1</v>
      </c>
      <c r="AZ239">
        <v>0</v>
      </c>
      <c r="BA239">
        <v>270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CX239">
        <f>ROUND(Y239*Source!I215,9)</f>
        <v>5.0000000000000001E-3</v>
      </c>
      <c r="CY239">
        <f>AB239</f>
        <v>1119.48</v>
      </c>
      <c r="CZ239">
        <f>AF239</f>
        <v>89.99</v>
      </c>
      <c r="DA239">
        <f>AJ239</f>
        <v>12.44</v>
      </c>
      <c r="DB239">
        <f>ROUND((ROUND(AT239*CZ239,2)*1.25*2),2)</f>
        <v>2.25</v>
      </c>
      <c r="DC239">
        <f>ROUND((ROUND(AT239*AG239,2)*1.25*2),2)</f>
        <v>0.25</v>
      </c>
      <c r="DD239" t="s">
        <v>3</v>
      </c>
      <c r="DE239" t="s">
        <v>3</v>
      </c>
      <c r="DF239">
        <f t="shared" si="96"/>
        <v>0</v>
      </c>
      <c r="DG239">
        <f>ROUND(ROUND(AF239*AJ239,2)*CX239,2)</f>
        <v>5.6</v>
      </c>
      <c r="DH239">
        <f>ROUND(ROUND(AG239*AK239,2)*CX239,2)</f>
        <v>1.61</v>
      </c>
      <c r="DI239">
        <f t="shared" si="97"/>
        <v>0</v>
      </c>
      <c r="DJ239">
        <f>DG239</f>
        <v>5.6</v>
      </c>
      <c r="DK239">
        <v>0</v>
      </c>
      <c r="DL239" t="s">
        <v>3</v>
      </c>
      <c r="DM239">
        <v>0</v>
      </c>
      <c r="DN239" t="s">
        <v>3</v>
      </c>
      <c r="DO239">
        <v>0</v>
      </c>
    </row>
    <row r="240" spans="1:119" x14ac:dyDescent="0.2">
      <c r="A240">
        <f>ROW(Source!A215)</f>
        <v>215</v>
      </c>
      <c r="B240">
        <v>145026783</v>
      </c>
      <c r="C240">
        <v>145027577</v>
      </c>
      <c r="D240">
        <v>140923885</v>
      </c>
      <c r="E240">
        <v>1</v>
      </c>
      <c r="F240">
        <v>1</v>
      </c>
      <c r="G240">
        <v>1</v>
      </c>
      <c r="H240">
        <v>2</v>
      </c>
      <c r="I240" t="s">
        <v>668</v>
      </c>
      <c r="J240" t="s">
        <v>669</v>
      </c>
      <c r="K240" t="s">
        <v>670</v>
      </c>
      <c r="L240">
        <v>1367</v>
      </c>
      <c r="N240">
        <v>1011</v>
      </c>
      <c r="O240" t="s">
        <v>614</v>
      </c>
      <c r="P240" t="s">
        <v>614</v>
      </c>
      <c r="Q240">
        <v>1</v>
      </c>
      <c r="W240">
        <v>0</v>
      </c>
      <c r="X240">
        <v>509054691</v>
      </c>
      <c r="Y240">
        <f>(AT240*1.25*2)</f>
        <v>2.5000000000000001E-2</v>
      </c>
      <c r="AA240">
        <v>0</v>
      </c>
      <c r="AB240">
        <v>817.43</v>
      </c>
      <c r="AC240">
        <v>371.32</v>
      </c>
      <c r="AD240">
        <v>0</v>
      </c>
      <c r="AE240">
        <v>0</v>
      </c>
      <c r="AF240">
        <v>65.709999999999994</v>
      </c>
      <c r="AG240">
        <v>11.6</v>
      </c>
      <c r="AH240">
        <v>0</v>
      </c>
      <c r="AI240">
        <v>1</v>
      </c>
      <c r="AJ240">
        <v>12.44</v>
      </c>
      <c r="AK240">
        <v>32.01</v>
      </c>
      <c r="AL240">
        <v>1</v>
      </c>
      <c r="AM240">
        <v>4</v>
      </c>
      <c r="AN240">
        <v>0</v>
      </c>
      <c r="AO240">
        <v>1</v>
      </c>
      <c r="AP240">
        <v>1</v>
      </c>
      <c r="AQ240">
        <v>0</v>
      </c>
      <c r="AR240">
        <v>0</v>
      </c>
      <c r="AS240" t="s">
        <v>3</v>
      </c>
      <c r="AT240">
        <v>0.01</v>
      </c>
      <c r="AU240" t="s">
        <v>499</v>
      </c>
      <c r="AV240">
        <v>0</v>
      </c>
      <c r="AW240">
        <v>2</v>
      </c>
      <c r="AX240">
        <v>145027590</v>
      </c>
      <c r="AY240">
        <v>1</v>
      </c>
      <c r="AZ240">
        <v>0</v>
      </c>
      <c r="BA240">
        <v>271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CX240">
        <f>ROUND(Y240*Source!I215,9)</f>
        <v>5.0000000000000001E-3</v>
      </c>
      <c r="CY240">
        <f>AB240</f>
        <v>817.43</v>
      </c>
      <c r="CZ240">
        <f>AF240</f>
        <v>65.709999999999994</v>
      </c>
      <c r="DA240">
        <f>AJ240</f>
        <v>12.44</v>
      </c>
      <c r="DB240">
        <f>ROUND((ROUND(AT240*CZ240,2)*1.25*2),2)</f>
        <v>1.65</v>
      </c>
      <c r="DC240">
        <f>ROUND((ROUND(AT240*AG240,2)*1.25*2),2)</f>
        <v>0.3</v>
      </c>
      <c r="DD240" t="s">
        <v>3</v>
      </c>
      <c r="DE240" t="s">
        <v>3</v>
      </c>
      <c r="DF240">
        <f t="shared" si="96"/>
        <v>0</v>
      </c>
      <c r="DG240">
        <f>ROUND(ROUND(AF240*AJ240,2)*CX240,2)</f>
        <v>4.09</v>
      </c>
      <c r="DH240">
        <f>ROUND(ROUND(AG240*AK240,2)*CX240,2)</f>
        <v>1.86</v>
      </c>
      <c r="DI240">
        <f t="shared" si="97"/>
        <v>0</v>
      </c>
      <c r="DJ240">
        <f>DG240</f>
        <v>4.09</v>
      </c>
      <c r="DK240">
        <v>0</v>
      </c>
      <c r="DL240" t="s">
        <v>3</v>
      </c>
      <c r="DM240">
        <v>0</v>
      </c>
      <c r="DN240" t="s">
        <v>3</v>
      </c>
      <c r="DO240">
        <v>0</v>
      </c>
    </row>
    <row r="241" spans="1:119" x14ac:dyDescent="0.2">
      <c r="A241">
        <f>ROW(Source!A215)</f>
        <v>215</v>
      </c>
      <c r="B241">
        <v>145026783</v>
      </c>
      <c r="C241">
        <v>145027577</v>
      </c>
      <c r="D241">
        <v>140924526</v>
      </c>
      <c r="E241">
        <v>1</v>
      </c>
      <c r="F241">
        <v>1</v>
      </c>
      <c r="G241">
        <v>1</v>
      </c>
      <c r="H241">
        <v>2</v>
      </c>
      <c r="I241" t="s">
        <v>705</v>
      </c>
      <c r="J241" t="s">
        <v>706</v>
      </c>
      <c r="K241" t="s">
        <v>707</v>
      </c>
      <c r="L241">
        <v>1367</v>
      </c>
      <c r="N241">
        <v>1011</v>
      </c>
      <c r="O241" t="s">
        <v>614</v>
      </c>
      <c r="P241" t="s">
        <v>614</v>
      </c>
      <c r="Q241">
        <v>1</v>
      </c>
      <c r="W241">
        <v>0</v>
      </c>
      <c r="X241">
        <v>-1745017968</v>
      </c>
      <c r="Y241">
        <f>(AT241*1.25*2)</f>
        <v>2.8000000000000003</v>
      </c>
      <c r="AA241">
        <v>0</v>
      </c>
      <c r="AB241">
        <v>84.84</v>
      </c>
      <c r="AC241">
        <v>0</v>
      </c>
      <c r="AD241">
        <v>0</v>
      </c>
      <c r="AE241">
        <v>0</v>
      </c>
      <c r="AF241">
        <v>6.82</v>
      </c>
      <c r="AG241">
        <v>0</v>
      </c>
      <c r="AH241">
        <v>0</v>
      </c>
      <c r="AI241">
        <v>1</v>
      </c>
      <c r="AJ241">
        <v>12.44</v>
      </c>
      <c r="AK241">
        <v>32.01</v>
      </c>
      <c r="AL241">
        <v>1</v>
      </c>
      <c r="AM241">
        <v>4</v>
      </c>
      <c r="AN241">
        <v>0</v>
      </c>
      <c r="AO241">
        <v>1</v>
      </c>
      <c r="AP241">
        <v>1</v>
      </c>
      <c r="AQ241">
        <v>0</v>
      </c>
      <c r="AR241">
        <v>0</v>
      </c>
      <c r="AS241" t="s">
        <v>3</v>
      </c>
      <c r="AT241">
        <v>1.1200000000000001</v>
      </c>
      <c r="AU241" t="s">
        <v>499</v>
      </c>
      <c r="AV241">
        <v>0</v>
      </c>
      <c r="AW241">
        <v>2</v>
      </c>
      <c r="AX241">
        <v>145027591</v>
      </c>
      <c r="AY241">
        <v>1</v>
      </c>
      <c r="AZ241">
        <v>0</v>
      </c>
      <c r="BA241">
        <v>272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CX241">
        <f>ROUND(Y241*Source!I215,9)</f>
        <v>0.56000000000000005</v>
      </c>
      <c r="CY241">
        <f>AB241</f>
        <v>84.84</v>
      </c>
      <c r="CZ241">
        <f>AF241</f>
        <v>6.82</v>
      </c>
      <c r="DA241">
        <f>AJ241</f>
        <v>12.44</v>
      </c>
      <c r="DB241">
        <f>ROUND((ROUND(AT241*CZ241,2)*1.25*2),2)</f>
        <v>19.100000000000001</v>
      </c>
      <c r="DC241">
        <f>ROUND((ROUND(AT241*AG241,2)*1.25*2),2)</f>
        <v>0</v>
      </c>
      <c r="DD241" t="s">
        <v>3</v>
      </c>
      <c r="DE241" t="s">
        <v>3</v>
      </c>
      <c r="DF241">
        <f t="shared" si="96"/>
        <v>0</v>
      </c>
      <c r="DG241">
        <f>ROUND(ROUND(AF241*AJ241,2)*CX241,2)</f>
        <v>47.51</v>
      </c>
      <c r="DH241">
        <f>ROUND(ROUND(AG241*AK241,2)*CX241,2)</f>
        <v>0</v>
      </c>
      <c r="DI241">
        <f t="shared" si="97"/>
        <v>0</v>
      </c>
      <c r="DJ241">
        <f>DG241</f>
        <v>47.51</v>
      </c>
      <c r="DK241">
        <v>0</v>
      </c>
      <c r="DL241" t="s">
        <v>3</v>
      </c>
      <c r="DM241">
        <v>0</v>
      </c>
      <c r="DN241" t="s">
        <v>3</v>
      </c>
      <c r="DO241">
        <v>0</v>
      </c>
    </row>
    <row r="242" spans="1:119" x14ac:dyDescent="0.2">
      <c r="A242">
        <f>ROW(Source!A215)</f>
        <v>215</v>
      </c>
      <c r="B242">
        <v>145026783</v>
      </c>
      <c r="C242">
        <v>145027577</v>
      </c>
      <c r="D242">
        <v>140804058</v>
      </c>
      <c r="E242">
        <v>1</v>
      </c>
      <c r="F242">
        <v>1</v>
      </c>
      <c r="G242">
        <v>1</v>
      </c>
      <c r="H242">
        <v>3</v>
      </c>
      <c r="I242" t="s">
        <v>803</v>
      </c>
      <c r="J242" t="s">
        <v>804</v>
      </c>
      <c r="K242" t="s">
        <v>805</v>
      </c>
      <c r="L242">
        <v>1348</v>
      </c>
      <c r="N242">
        <v>1009</v>
      </c>
      <c r="O242" t="s">
        <v>49</v>
      </c>
      <c r="P242" t="s">
        <v>49</v>
      </c>
      <c r="Q242">
        <v>1000</v>
      </c>
      <c r="W242">
        <v>0</v>
      </c>
      <c r="X242">
        <v>264248573</v>
      </c>
      <c r="Y242">
        <f>(AT242*2)</f>
        <v>1.7999999999999999E-2</v>
      </c>
      <c r="AA242">
        <v>139018</v>
      </c>
      <c r="AB242">
        <v>0</v>
      </c>
      <c r="AC242">
        <v>0</v>
      </c>
      <c r="AD242">
        <v>0</v>
      </c>
      <c r="AE242">
        <v>15620</v>
      </c>
      <c r="AF242">
        <v>0</v>
      </c>
      <c r="AG242">
        <v>0</v>
      </c>
      <c r="AH242">
        <v>0</v>
      </c>
      <c r="AI242">
        <v>8.9</v>
      </c>
      <c r="AJ242">
        <v>1</v>
      </c>
      <c r="AK242">
        <v>1</v>
      </c>
      <c r="AL242">
        <v>1</v>
      </c>
      <c r="AM242">
        <v>4</v>
      </c>
      <c r="AN242">
        <v>0</v>
      </c>
      <c r="AO242">
        <v>1</v>
      </c>
      <c r="AP242">
        <v>1</v>
      </c>
      <c r="AQ242">
        <v>0</v>
      </c>
      <c r="AR242">
        <v>0</v>
      </c>
      <c r="AS242" t="s">
        <v>3</v>
      </c>
      <c r="AT242">
        <v>8.9999999999999993E-3</v>
      </c>
      <c r="AU242" t="s">
        <v>498</v>
      </c>
      <c r="AV242">
        <v>0</v>
      </c>
      <c r="AW242">
        <v>2</v>
      </c>
      <c r="AX242">
        <v>145027592</v>
      </c>
      <c r="AY242">
        <v>1</v>
      </c>
      <c r="AZ242">
        <v>0</v>
      </c>
      <c r="BA242">
        <v>273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CX242">
        <f>ROUND(Y242*Source!I215,9)</f>
        <v>3.5999999999999999E-3</v>
      </c>
      <c r="CY242">
        <f>AA242</f>
        <v>139018</v>
      </c>
      <c r="CZ242">
        <f>AE242</f>
        <v>15620</v>
      </c>
      <c r="DA242">
        <f>AI242</f>
        <v>8.9</v>
      </c>
      <c r="DB242">
        <f>ROUND((ROUND(AT242*CZ242,2)*2),2)</f>
        <v>281.16000000000003</v>
      </c>
      <c r="DC242">
        <f>ROUND((ROUND(AT242*AG242,2)*2),2)</f>
        <v>0</v>
      </c>
      <c r="DD242" t="s">
        <v>3</v>
      </c>
      <c r="DE242" t="s">
        <v>3</v>
      </c>
      <c r="DF242">
        <f>ROUND(ROUND(AE242*AI242,2)*CX242,2)</f>
        <v>500.46</v>
      </c>
      <c r="DG242">
        <f>ROUND(ROUND(AF242,2)*CX242,2)</f>
        <v>0</v>
      </c>
      <c r="DH242">
        <f>ROUND(ROUND(AG242,2)*CX242,2)</f>
        <v>0</v>
      </c>
      <c r="DI242">
        <f t="shared" si="97"/>
        <v>0</v>
      </c>
      <c r="DJ242">
        <f>DF242</f>
        <v>500.46</v>
      </c>
      <c r="DK242">
        <v>0</v>
      </c>
      <c r="DL242" t="s">
        <v>3</v>
      </c>
      <c r="DM242">
        <v>0</v>
      </c>
      <c r="DN242" t="s">
        <v>3</v>
      </c>
      <c r="DO242">
        <v>0</v>
      </c>
    </row>
    <row r="243" spans="1:119" x14ac:dyDescent="0.2">
      <c r="A243">
        <f>ROW(Source!A215)</f>
        <v>215</v>
      </c>
      <c r="B243">
        <v>145026783</v>
      </c>
      <c r="C243">
        <v>145027577</v>
      </c>
      <c r="D243">
        <v>140805125</v>
      </c>
      <c r="E243">
        <v>1</v>
      </c>
      <c r="F243">
        <v>1</v>
      </c>
      <c r="G243">
        <v>1</v>
      </c>
      <c r="H243">
        <v>3</v>
      </c>
      <c r="I243" t="s">
        <v>806</v>
      </c>
      <c r="J243" t="s">
        <v>807</v>
      </c>
      <c r="K243" t="s">
        <v>808</v>
      </c>
      <c r="L243">
        <v>1348</v>
      </c>
      <c r="N243">
        <v>1009</v>
      </c>
      <c r="O243" t="s">
        <v>49</v>
      </c>
      <c r="P243" t="s">
        <v>49</v>
      </c>
      <c r="Q243">
        <v>1000</v>
      </c>
      <c r="W243">
        <v>0</v>
      </c>
      <c r="X243">
        <v>151166323</v>
      </c>
      <c r="Y243">
        <f>(AT243*2)</f>
        <v>3.0000000000000001E-3</v>
      </c>
      <c r="AA243">
        <v>67996</v>
      </c>
      <c r="AB243">
        <v>0</v>
      </c>
      <c r="AC243">
        <v>0</v>
      </c>
      <c r="AD243">
        <v>0</v>
      </c>
      <c r="AE243">
        <v>7640</v>
      </c>
      <c r="AF243">
        <v>0</v>
      </c>
      <c r="AG243">
        <v>0</v>
      </c>
      <c r="AH243">
        <v>0</v>
      </c>
      <c r="AI243">
        <v>8.9</v>
      </c>
      <c r="AJ243">
        <v>1</v>
      </c>
      <c r="AK243">
        <v>1</v>
      </c>
      <c r="AL243">
        <v>1</v>
      </c>
      <c r="AM243">
        <v>4</v>
      </c>
      <c r="AN243">
        <v>0</v>
      </c>
      <c r="AO243">
        <v>1</v>
      </c>
      <c r="AP243">
        <v>1</v>
      </c>
      <c r="AQ243">
        <v>0</v>
      </c>
      <c r="AR243">
        <v>0</v>
      </c>
      <c r="AS243" t="s">
        <v>3</v>
      </c>
      <c r="AT243">
        <v>1.5E-3</v>
      </c>
      <c r="AU243" t="s">
        <v>498</v>
      </c>
      <c r="AV243">
        <v>0</v>
      </c>
      <c r="AW243">
        <v>2</v>
      </c>
      <c r="AX243">
        <v>145027593</v>
      </c>
      <c r="AY243">
        <v>1</v>
      </c>
      <c r="AZ243">
        <v>0</v>
      </c>
      <c r="BA243">
        <v>274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CX243">
        <f>ROUND(Y243*Source!I215,9)</f>
        <v>5.9999999999999995E-4</v>
      </c>
      <c r="CY243">
        <f>AA243</f>
        <v>67996</v>
      </c>
      <c r="CZ243">
        <f>AE243</f>
        <v>7640</v>
      </c>
      <c r="DA243">
        <f>AI243</f>
        <v>8.9</v>
      </c>
      <c r="DB243">
        <f>ROUND((ROUND(AT243*CZ243,2)*2),2)</f>
        <v>22.92</v>
      </c>
      <c r="DC243">
        <f>ROUND((ROUND(AT243*AG243,2)*2),2)</f>
        <v>0</v>
      </c>
      <c r="DD243" t="s">
        <v>3</v>
      </c>
      <c r="DE243" t="s">
        <v>3</v>
      </c>
      <c r="DF243">
        <f>ROUND(ROUND(AE243*AI243,2)*CX243,2)</f>
        <v>40.799999999999997</v>
      </c>
      <c r="DG243">
        <f>ROUND(ROUND(AF243,2)*CX243,2)</f>
        <v>0</v>
      </c>
      <c r="DH243">
        <f>ROUND(ROUND(AG243,2)*CX243,2)</f>
        <v>0</v>
      </c>
      <c r="DI243">
        <f t="shared" si="97"/>
        <v>0</v>
      </c>
      <c r="DJ243">
        <f>DF243</f>
        <v>40.799999999999997</v>
      </c>
      <c r="DK243">
        <v>0</v>
      </c>
      <c r="DL243" t="s">
        <v>3</v>
      </c>
      <c r="DM243">
        <v>0</v>
      </c>
      <c r="DN243" t="s">
        <v>3</v>
      </c>
      <c r="DO243">
        <v>0</v>
      </c>
    </row>
    <row r="244" spans="1:119" x14ac:dyDescent="0.2">
      <c r="A244">
        <f>ROW(Source!A216)</f>
        <v>216</v>
      </c>
      <c r="B244">
        <v>145026783</v>
      </c>
      <c r="C244">
        <v>145027594</v>
      </c>
      <c r="D244">
        <v>140760001</v>
      </c>
      <c r="E244">
        <v>70</v>
      </c>
      <c r="F244">
        <v>1</v>
      </c>
      <c r="G244">
        <v>1</v>
      </c>
      <c r="H244">
        <v>1</v>
      </c>
      <c r="I244" t="s">
        <v>735</v>
      </c>
      <c r="J244" t="s">
        <v>3</v>
      </c>
      <c r="K244" t="s">
        <v>736</v>
      </c>
      <c r="L244">
        <v>1191</v>
      </c>
      <c r="N244">
        <v>1013</v>
      </c>
      <c r="O244" t="s">
        <v>608</v>
      </c>
      <c r="P244" t="s">
        <v>608</v>
      </c>
      <c r="Q244">
        <v>1</v>
      </c>
      <c r="W244">
        <v>0</v>
      </c>
      <c r="X244">
        <v>1893946532</v>
      </c>
      <c r="Y244">
        <f>(AT244*1.15*2)</f>
        <v>4.8989999999999991</v>
      </c>
      <c r="AA244">
        <v>0</v>
      </c>
      <c r="AB244">
        <v>0</v>
      </c>
      <c r="AC244">
        <v>0</v>
      </c>
      <c r="AD244">
        <v>290.33</v>
      </c>
      <c r="AE244">
        <v>0</v>
      </c>
      <c r="AF244">
        <v>0</v>
      </c>
      <c r="AG244">
        <v>0</v>
      </c>
      <c r="AH244">
        <v>9.07</v>
      </c>
      <c r="AI244">
        <v>1</v>
      </c>
      <c r="AJ244">
        <v>1</v>
      </c>
      <c r="AK244">
        <v>1</v>
      </c>
      <c r="AL244">
        <v>32.01</v>
      </c>
      <c r="AM244">
        <v>4</v>
      </c>
      <c r="AN244">
        <v>0</v>
      </c>
      <c r="AO244">
        <v>1</v>
      </c>
      <c r="AP244">
        <v>1</v>
      </c>
      <c r="AQ244">
        <v>0</v>
      </c>
      <c r="AR244">
        <v>0</v>
      </c>
      <c r="AS244" t="s">
        <v>3</v>
      </c>
      <c r="AT244">
        <v>2.13</v>
      </c>
      <c r="AU244" t="s">
        <v>500</v>
      </c>
      <c r="AV244">
        <v>1</v>
      </c>
      <c r="AW244">
        <v>2</v>
      </c>
      <c r="AX244">
        <v>145027603</v>
      </c>
      <c r="AY244">
        <v>1</v>
      </c>
      <c r="AZ244">
        <v>0</v>
      </c>
      <c r="BA244">
        <v>275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CX244">
        <f>ROUND(Y244*Source!I216,9)</f>
        <v>0.9798</v>
      </c>
      <c r="CY244">
        <f>AD244</f>
        <v>290.33</v>
      </c>
      <c r="CZ244">
        <f>AH244</f>
        <v>9.07</v>
      </c>
      <c r="DA244">
        <f>AL244</f>
        <v>32.01</v>
      </c>
      <c r="DB244">
        <f>ROUND((ROUND(AT244*CZ244,2)*1.15*2),2)</f>
        <v>44.44</v>
      </c>
      <c r="DC244">
        <f>ROUND((ROUND(AT244*AG244,2)*1.15*2),2)</f>
        <v>0</v>
      </c>
      <c r="DD244" t="s">
        <v>3</v>
      </c>
      <c r="DE244" t="s">
        <v>3</v>
      </c>
      <c r="DF244">
        <f t="shared" ref="DF244:DF249" si="98">ROUND(ROUND(AE244,2)*CX244,2)</f>
        <v>0</v>
      </c>
      <c r="DG244">
        <f>ROUND(ROUND(AF244,2)*CX244,2)</f>
        <v>0</v>
      </c>
      <c r="DH244">
        <f>ROUND(ROUND(AG244,2)*CX244,2)</f>
        <v>0</v>
      </c>
      <c r="DI244">
        <f>ROUND(ROUND(AH244*AL244,2)*CX244,2)</f>
        <v>284.47000000000003</v>
      </c>
      <c r="DJ244">
        <f>DI244</f>
        <v>284.47000000000003</v>
      </c>
      <c r="DK244">
        <v>0</v>
      </c>
      <c r="DL244" t="s">
        <v>3</v>
      </c>
      <c r="DM244">
        <v>0</v>
      </c>
      <c r="DN244" t="s">
        <v>3</v>
      </c>
      <c r="DO244">
        <v>0</v>
      </c>
    </row>
    <row r="245" spans="1:119" x14ac:dyDescent="0.2">
      <c r="A245">
        <f>ROW(Source!A216)</f>
        <v>216</v>
      </c>
      <c r="B245">
        <v>145026783</v>
      </c>
      <c r="C245">
        <v>145027594</v>
      </c>
      <c r="D245">
        <v>140760225</v>
      </c>
      <c r="E245">
        <v>70</v>
      </c>
      <c r="F245">
        <v>1</v>
      </c>
      <c r="G245">
        <v>1</v>
      </c>
      <c r="H245">
        <v>1</v>
      </c>
      <c r="I245" t="s">
        <v>609</v>
      </c>
      <c r="J245" t="s">
        <v>3</v>
      </c>
      <c r="K245" t="s">
        <v>610</v>
      </c>
      <c r="L245">
        <v>1191</v>
      </c>
      <c r="N245">
        <v>1013</v>
      </c>
      <c r="O245" t="s">
        <v>608</v>
      </c>
      <c r="P245" t="s">
        <v>608</v>
      </c>
      <c r="Q245">
        <v>1</v>
      </c>
      <c r="W245">
        <v>0</v>
      </c>
      <c r="X245">
        <v>-1417349443</v>
      </c>
      <c r="Y245">
        <f>(AT245*1.25*2)</f>
        <v>0.05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1</v>
      </c>
      <c r="AJ245">
        <v>1</v>
      </c>
      <c r="AK245">
        <v>32.01</v>
      </c>
      <c r="AL245">
        <v>1</v>
      </c>
      <c r="AM245">
        <v>4</v>
      </c>
      <c r="AN245">
        <v>0</v>
      </c>
      <c r="AO245">
        <v>1</v>
      </c>
      <c r="AP245">
        <v>1</v>
      </c>
      <c r="AQ245">
        <v>0</v>
      </c>
      <c r="AR245">
        <v>0</v>
      </c>
      <c r="AS245" t="s">
        <v>3</v>
      </c>
      <c r="AT245">
        <v>0.02</v>
      </c>
      <c r="AU245" t="s">
        <v>499</v>
      </c>
      <c r="AV245">
        <v>2</v>
      </c>
      <c r="AW245">
        <v>2</v>
      </c>
      <c r="AX245">
        <v>145027604</v>
      </c>
      <c r="AY245">
        <v>1</v>
      </c>
      <c r="AZ245">
        <v>0</v>
      </c>
      <c r="BA245">
        <v>276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CX245">
        <f>ROUND(Y245*Source!I216,9)</f>
        <v>0.01</v>
      </c>
      <c r="CY245">
        <f>AD245</f>
        <v>0</v>
      </c>
      <c r="CZ245">
        <f>AH245</f>
        <v>0</v>
      </c>
      <c r="DA245">
        <f>AL245</f>
        <v>1</v>
      </c>
      <c r="DB245">
        <f>ROUND((ROUND(AT245*CZ245,2)*1.25*2),2)</f>
        <v>0</v>
      </c>
      <c r="DC245">
        <f>ROUND((ROUND(AT245*AG245,2)*1.25*2),2)</f>
        <v>0</v>
      </c>
      <c r="DD245" t="s">
        <v>3</v>
      </c>
      <c r="DE245" t="s">
        <v>3</v>
      </c>
      <c r="DF245">
        <f t="shared" si="98"/>
        <v>0</v>
      </c>
      <c r="DG245">
        <f>ROUND(ROUND(AF245,2)*CX245,2)</f>
        <v>0</v>
      </c>
      <c r="DH245">
        <f>ROUND(ROUND(AG245*AK245,2)*CX245,2)</f>
        <v>0</v>
      </c>
      <c r="DI245">
        <f t="shared" ref="DI245:DI251" si="99">ROUND(ROUND(AH245,2)*CX245,2)</f>
        <v>0</v>
      </c>
      <c r="DJ245">
        <f>DI245</f>
        <v>0</v>
      </c>
      <c r="DK245">
        <v>0</v>
      </c>
      <c r="DL245" t="s">
        <v>3</v>
      </c>
      <c r="DM245">
        <v>0</v>
      </c>
      <c r="DN245" t="s">
        <v>3</v>
      </c>
      <c r="DO245">
        <v>0</v>
      </c>
    </row>
    <row r="246" spans="1:119" x14ac:dyDescent="0.2">
      <c r="A246">
        <f>ROW(Source!A216)</f>
        <v>216</v>
      </c>
      <c r="B246">
        <v>145026783</v>
      </c>
      <c r="C246">
        <v>145027594</v>
      </c>
      <c r="D246">
        <v>140923086</v>
      </c>
      <c r="E246">
        <v>1</v>
      </c>
      <c r="F246">
        <v>1</v>
      </c>
      <c r="G246">
        <v>1</v>
      </c>
      <c r="H246">
        <v>2</v>
      </c>
      <c r="I246" t="s">
        <v>800</v>
      </c>
      <c r="J246" t="s">
        <v>801</v>
      </c>
      <c r="K246" t="s">
        <v>802</v>
      </c>
      <c r="L246">
        <v>1367</v>
      </c>
      <c r="N246">
        <v>1011</v>
      </c>
      <c r="O246" t="s">
        <v>614</v>
      </c>
      <c r="P246" t="s">
        <v>614</v>
      </c>
      <c r="Q246">
        <v>1</v>
      </c>
      <c r="W246">
        <v>0</v>
      </c>
      <c r="X246">
        <v>208619310</v>
      </c>
      <c r="Y246">
        <f>(AT246*1.25*2)</f>
        <v>2.5000000000000001E-2</v>
      </c>
      <c r="AA246">
        <v>0</v>
      </c>
      <c r="AB246">
        <v>21.15</v>
      </c>
      <c r="AC246">
        <v>0</v>
      </c>
      <c r="AD246">
        <v>0</v>
      </c>
      <c r="AE246">
        <v>0</v>
      </c>
      <c r="AF246">
        <v>1.7</v>
      </c>
      <c r="AG246">
        <v>0</v>
      </c>
      <c r="AH246">
        <v>0</v>
      </c>
      <c r="AI246">
        <v>1</v>
      </c>
      <c r="AJ246">
        <v>12.44</v>
      </c>
      <c r="AK246">
        <v>32.01</v>
      </c>
      <c r="AL246">
        <v>1</v>
      </c>
      <c r="AM246">
        <v>4</v>
      </c>
      <c r="AN246">
        <v>0</v>
      </c>
      <c r="AO246">
        <v>1</v>
      </c>
      <c r="AP246">
        <v>1</v>
      </c>
      <c r="AQ246">
        <v>0</v>
      </c>
      <c r="AR246">
        <v>0</v>
      </c>
      <c r="AS246" t="s">
        <v>3</v>
      </c>
      <c r="AT246">
        <v>0.01</v>
      </c>
      <c r="AU246" t="s">
        <v>499</v>
      </c>
      <c r="AV246">
        <v>0</v>
      </c>
      <c r="AW246">
        <v>2</v>
      </c>
      <c r="AX246">
        <v>145027605</v>
      </c>
      <c r="AY246">
        <v>1</v>
      </c>
      <c r="AZ246">
        <v>0</v>
      </c>
      <c r="BA246">
        <v>277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CX246">
        <f>ROUND(Y246*Source!I216,9)</f>
        <v>5.0000000000000001E-3</v>
      </c>
      <c r="CY246">
        <f>AB246</f>
        <v>21.15</v>
      </c>
      <c r="CZ246">
        <f>AF246</f>
        <v>1.7</v>
      </c>
      <c r="DA246">
        <f>AJ246</f>
        <v>12.44</v>
      </c>
      <c r="DB246">
        <f>ROUND((ROUND(AT246*CZ246,2)*1.25*2),2)</f>
        <v>0.05</v>
      </c>
      <c r="DC246">
        <f>ROUND((ROUND(AT246*AG246,2)*1.25*2),2)</f>
        <v>0</v>
      </c>
      <c r="DD246" t="s">
        <v>3</v>
      </c>
      <c r="DE246" t="s">
        <v>3</v>
      </c>
      <c r="DF246">
        <f t="shared" si="98"/>
        <v>0</v>
      </c>
      <c r="DG246">
        <f>ROUND(ROUND(AF246*AJ246,2)*CX246,2)</f>
        <v>0.11</v>
      </c>
      <c r="DH246">
        <f>ROUND(ROUND(AG246*AK246,2)*CX246,2)</f>
        <v>0</v>
      </c>
      <c r="DI246">
        <f t="shared" si="99"/>
        <v>0</v>
      </c>
      <c r="DJ246">
        <f>DG246</f>
        <v>0.11</v>
      </c>
      <c r="DK246">
        <v>0</v>
      </c>
      <c r="DL246" t="s">
        <v>3</v>
      </c>
      <c r="DM246">
        <v>0</v>
      </c>
      <c r="DN246" t="s">
        <v>3</v>
      </c>
      <c r="DO246">
        <v>0</v>
      </c>
    </row>
    <row r="247" spans="1:119" x14ac:dyDescent="0.2">
      <c r="A247">
        <f>ROW(Source!A216)</f>
        <v>216</v>
      </c>
      <c r="B247">
        <v>145026783</v>
      </c>
      <c r="C247">
        <v>145027594</v>
      </c>
      <c r="D247">
        <v>140923105</v>
      </c>
      <c r="E247">
        <v>1</v>
      </c>
      <c r="F247">
        <v>1</v>
      </c>
      <c r="G247">
        <v>1</v>
      </c>
      <c r="H247">
        <v>2</v>
      </c>
      <c r="I247" t="s">
        <v>710</v>
      </c>
      <c r="J247" t="s">
        <v>711</v>
      </c>
      <c r="K247" t="s">
        <v>712</v>
      </c>
      <c r="L247">
        <v>1367</v>
      </c>
      <c r="N247">
        <v>1011</v>
      </c>
      <c r="O247" t="s">
        <v>614</v>
      </c>
      <c r="P247" t="s">
        <v>614</v>
      </c>
      <c r="Q247">
        <v>1</v>
      </c>
      <c r="W247">
        <v>0</v>
      </c>
      <c r="X247">
        <v>-896236776</v>
      </c>
      <c r="Y247">
        <f>(AT247*1.25*2)</f>
        <v>2.5000000000000001E-2</v>
      </c>
      <c r="AA247">
        <v>0</v>
      </c>
      <c r="AB247">
        <v>1119.48</v>
      </c>
      <c r="AC247">
        <v>322.02</v>
      </c>
      <c r="AD247">
        <v>0</v>
      </c>
      <c r="AE247">
        <v>0</v>
      </c>
      <c r="AF247">
        <v>89.99</v>
      </c>
      <c r="AG247">
        <v>10.06</v>
      </c>
      <c r="AH247">
        <v>0</v>
      </c>
      <c r="AI247">
        <v>1</v>
      </c>
      <c r="AJ247">
        <v>12.44</v>
      </c>
      <c r="AK247">
        <v>32.01</v>
      </c>
      <c r="AL247">
        <v>1</v>
      </c>
      <c r="AM247">
        <v>4</v>
      </c>
      <c r="AN247">
        <v>0</v>
      </c>
      <c r="AO247">
        <v>1</v>
      </c>
      <c r="AP247">
        <v>1</v>
      </c>
      <c r="AQ247">
        <v>0</v>
      </c>
      <c r="AR247">
        <v>0</v>
      </c>
      <c r="AS247" t="s">
        <v>3</v>
      </c>
      <c r="AT247">
        <v>0.01</v>
      </c>
      <c r="AU247" t="s">
        <v>499</v>
      </c>
      <c r="AV247">
        <v>0</v>
      </c>
      <c r="AW247">
        <v>2</v>
      </c>
      <c r="AX247">
        <v>145027606</v>
      </c>
      <c r="AY247">
        <v>1</v>
      </c>
      <c r="AZ247">
        <v>0</v>
      </c>
      <c r="BA247">
        <v>278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CX247">
        <f>ROUND(Y247*Source!I216,9)</f>
        <v>5.0000000000000001E-3</v>
      </c>
      <c r="CY247">
        <f>AB247</f>
        <v>1119.48</v>
      </c>
      <c r="CZ247">
        <f>AF247</f>
        <v>89.99</v>
      </c>
      <c r="DA247">
        <f>AJ247</f>
        <v>12.44</v>
      </c>
      <c r="DB247">
        <f>ROUND((ROUND(AT247*CZ247,2)*1.25*2),2)</f>
        <v>2.25</v>
      </c>
      <c r="DC247">
        <f>ROUND((ROUND(AT247*AG247,2)*1.25*2),2)</f>
        <v>0.25</v>
      </c>
      <c r="DD247" t="s">
        <v>3</v>
      </c>
      <c r="DE247" t="s">
        <v>3</v>
      </c>
      <c r="DF247">
        <f t="shared" si="98"/>
        <v>0</v>
      </c>
      <c r="DG247">
        <f>ROUND(ROUND(AF247*AJ247,2)*CX247,2)</f>
        <v>5.6</v>
      </c>
      <c r="DH247">
        <f>ROUND(ROUND(AG247*AK247,2)*CX247,2)</f>
        <v>1.61</v>
      </c>
      <c r="DI247">
        <f t="shared" si="99"/>
        <v>0</v>
      </c>
      <c r="DJ247">
        <f>DG247</f>
        <v>5.6</v>
      </c>
      <c r="DK247">
        <v>0</v>
      </c>
      <c r="DL247" t="s">
        <v>3</v>
      </c>
      <c r="DM247">
        <v>0</v>
      </c>
      <c r="DN247" t="s">
        <v>3</v>
      </c>
      <c r="DO247">
        <v>0</v>
      </c>
    </row>
    <row r="248" spans="1:119" x14ac:dyDescent="0.2">
      <c r="A248">
        <f>ROW(Source!A216)</f>
        <v>216</v>
      </c>
      <c r="B248">
        <v>145026783</v>
      </c>
      <c r="C248">
        <v>145027594</v>
      </c>
      <c r="D248">
        <v>140923885</v>
      </c>
      <c r="E248">
        <v>1</v>
      </c>
      <c r="F248">
        <v>1</v>
      </c>
      <c r="G248">
        <v>1</v>
      </c>
      <c r="H248">
        <v>2</v>
      </c>
      <c r="I248" t="s">
        <v>668</v>
      </c>
      <c r="J248" t="s">
        <v>669</v>
      </c>
      <c r="K248" t="s">
        <v>670</v>
      </c>
      <c r="L248">
        <v>1367</v>
      </c>
      <c r="N248">
        <v>1011</v>
      </c>
      <c r="O248" t="s">
        <v>614</v>
      </c>
      <c r="P248" t="s">
        <v>614</v>
      </c>
      <c r="Q248">
        <v>1</v>
      </c>
      <c r="W248">
        <v>0</v>
      </c>
      <c r="X248">
        <v>509054691</v>
      </c>
      <c r="Y248">
        <f>(AT248*1.25*2)</f>
        <v>2.5000000000000001E-2</v>
      </c>
      <c r="AA248">
        <v>0</v>
      </c>
      <c r="AB248">
        <v>817.43</v>
      </c>
      <c r="AC248">
        <v>371.32</v>
      </c>
      <c r="AD248">
        <v>0</v>
      </c>
      <c r="AE248">
        <v>0</v>
      </c>
      <c r="AF248">
        <v>65.709999999999994</v>
      </c>
      <c r="AG248">
        <v>11.6</v>
      </c>
      <c r="AH248">
        <v>0</v>
      </c>
      <c r="AI248">
        <v>1</v>
      </c>
      <c r="AJ248">
        <v>12.44</v>
      </c>
      <c r="AK248">
        <v>32.01</v>
      </c>
      <c r="AL248">
        <v>1</v>
      </c>
      <c r="AM248">
        <v>4</v>
      </c>
      <c r="AN248">
        <v>0</v>
      </c>
      <c r="AO248">
        <v>1</v>
      </c>
      <c r="AP248">
        <v>1</v>
      </c>
      <c r="AQ248">
        <v>0</v>
      </c>
      <c r="AR248">
        <v>0</v>
      </c>
      <c r="AS248" t="s">
        <v>3</v>
      </c>
      <c r="AT248">
        <v>0.01</v>
      </c>
      <c r="AU248" t="s">
        <v>499</v>
      </c>
      <c r="AV248">
        <v>0</v>
      </c>
      <c r="AW248">
        <v>2</v>
      </c>
      <c r="AX248">
        <v>145027607</v>
      </c>
      <c r="AY248">
        <v>1</v>
      </c>
      <c r="AZ248">
        <v>0</v>
      </c>
      <c r="BA248">
        <v>279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CX248">
        <f>ROUND(Y248*Source!I216,9)</f>
        <v>5.0000000000000001E-3</v>
      </c>
      <c r="CY248">
        <f>AB248</f>
        <v>817.43</v>
      </c>
      <c r="CZ248">
        <f>AF248</f>
        <v>65.709999999999994</v>
      </c>
      <c r="DA248">
        <f>AJ248</f>
        <v>12.44</v>
      </c>
      <c r="DB248">
        <f>ROUND((ROUND(AT248*CZ248,2)*1.25*2),2)</f>
        <v>1.65</v>
      </c>
      <c r="DC248">
        <f>ROUND((ROUND(AT248*AG248,2)*1.25*2),2)</f>
        <v>0.3</v>
      </c>
      <c r="DD248" t="s">
        <v>3</v>
      </c>
      <c r="DE248" t="s">
        <v>3</v>
      </c>
      <c r="DF248">
        <f t="shared" si="98"/>
        <v>0</v>
      </c>
      <c r="DG248">
        <f>ROUND(ROUND(AF248*AJ248,2)*CX248,2)</f>
        <v>4.09</v>
      </c>
      <c r="DH248">
        <f>ROUND(ROUND(AG248*AK248,2)*CX248,2)</f>
        <v>1.86</v>
      </c>
      <c r="DI248">
        <f t="shared" si="99"/>
        <v>0</v>
      </c>
      <c r="DJ248">
        <f>DG248</f>
        <v>4.09</v>
      </c>
      <c r="DK248">
        <v>0</v>
      </c>
      <c r="DL248" t="s">
        <v>3</v>
      </c>
      <c r="DM248">
        <v>0</v>
      </c>
      <c r="DN248" t="s">
        <v>3</v>
      </c>
      <c r="DO248">
        <v>0</v>
      </c>
    </row>
    <row r="249" spans="1:119" x14ac:dyDescent="0.2">
      <c r="A249">
        <f>ROW(Source!A216)</f>
        <v>216</v>
      </c>
      <c r="B249">
        <v>145026783</v>
      </c>
      <c r="C249">
        <v>145027594</v>
      </c>
      <c r="D249">
        <v>140924526</v>
      </c>
      <c r="E249">
        <v>1</v>
      </c>
      <c r="F249">
        <v>1</v>
      </c>
      <c r="G249">
        <v>1</v>
      </c>
      <c r="H249">
        <v>2</v>
      </c>
      <c r="I249" t="s">
        <v>705</v>
      </c>
      <c r="J249" t="s">
        <v>706</v>
      </c>
      <c r="K249" t="s">
        <v>707</v>
      </c>
      <c r="L249">
        <v>1367</v>
      </c>
      <c r="N249">
        <v>1011</v>
      </c>
      <c r="O249" t="s">
        <v>614</v>
      </c>
      <c r="P249" t="s">
        <v>614</v>
      </c>
      <c r="Q249">
        <v>1</v>
      </c>
      <c r="W249">
        <v>0</v>
      </c>
      <c r="X249">
        <v>-1745017968</v>
      </c>
      <c r="Y249">
        <f>(AT249*1.25*2)</f>
        <v>1.625</v>
      </c>
      <c r="AA249">
        <v>0</v>
      </c>
      <c r="AB249">
        <v>84.84</v>
      </c>
      <c r="AC249">
        <v>0</v>
      </c>
      <c r="AD249">
        <v>0</v>
      </c>
      <c r="AE249">
        <v>0</v>
      </c>
      <c r="AF249">
        <v>6.82</v>
      </c>
      <c r="AG249">
        <v>0</v>
      </c>
      <c r="AH249">
        <v>0</v>
      </c>
      <c r="AI249">
        <v>1</v>
      </c>
      <c r="AJ249">
        <v>12.44</v>
      </c>
      <c r="AK249">
        <v>32.01</v>
      </c>
      <c r="AL249">
        <v>1</v>
      </c>
      <c r="AM249">
        <v>4</v>
      </c>
      <c r="AN249">
        <v>0</v>
      </c>
      <c r="AO249">
        <v>1</v>
      </c>
      <c r="AP249">
        <v>1</v>
      </c>
      <c r="AQ249">
        <v>0</v>
      </c>
      <c r="AR249">
        <v>0</v>
      </c>
      <c r="AS249" t="s">
        <v>3</v>
      </c>
      <c r="AT249">
        <v>0.65</v>
      </c>
      <c r="AU249" t="s">
        <v>499</v>
      </c>
      <c r="AV249">
        <v>0</v>
      </c>
      <c r="AW249">
        <v>2</v>
      </c>
      <c r="AX249">
        <v>145027608</v>
      </c>
      <c r="AY249">
        <v>1</v>
      </c>
      <c r="AZ249">
        <v>0</v>
      </c>
      <c r="BA249">
        <v>280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CX249">
        <f>ROUND(Y249*Source!I216,9)</f>
        <v>0.32500000000000001</v>
      </c>
      <c r="CY249">
        <f>AB249</f>
        <v>84.84</v>
      </c>
      <c r="CZ249">
        <f>AF249</f>
        <v>6.82</v>
      </c>
      <c r="DA249">
        <f>AJ249</f>
        <v>12.44</v>
      </c>
      <c r="DB249">
        <f>ROUND((ROUND(AT249*CZ249,2)*1.25*2),2)</f>
        <v>11.08</v>
      </c>
      <c r="DC249">
        <f>ROUND((ROUND(AT249*AG249,2)*1.25*2),2)</f>
        <v>0</v>
      </c>
      <c r="DD249" t="s">
        <v>3</v>
      </c>
      <c r="DE249" t="s">
        <v>3</v>
      </c>
      <c r="DF249">
        <f t="shared" si="98"/>
        <v>0</v>
      </c>
      <c r="DG249">
        <f>ROUND(ROUND(AF249*AJ249,2)*CX249,2)</f>
        <v>27.57</v>
      </c>
      <c r="DH249">
        <f>ROUND(ROUND(AG249*AK249,2)*CX249,2)</f>
        <v>0</v>
      </c>
      <c r="DI249">
        <f t="shared" si="99"/>
        <v>0</v>
      </c>
      <c r="DJ249">
        <f>DG249</f>
        <v>27.57</v>
      </c>
      <c r="DK249">
        <v>0</v>
      </c>
      <c r="DL249" t="s">
        <v>3</v>
      </c>
      <c r="DM249">
        <v>0</v>
      </c>
      <c r="DN249" t="s">
        <v>3</v>
      </c>
      <c r="DO249">
        <v>0</v>
      </c>
    </row>
    <row r="250" spans="1:119" x14ac:dyDescent="0.2">
      <c r="A250">
        <f>ROW(Source!A216)</f>
        <v>216</v>
      </c>
      <c r="B250">
        <v>145026783</v>
      </c>
      <c r="C250">
        <v>145027594</v>
      </c>
      <c r="D250">
        <v>140804609</v>
      </c>
      <c r="E250">
        <v>1</v>
      </c>
      <c r="F250">
        <v>1</v>
      </c>
      <c r="G250">
        <v>1</v>
      </c>
      <c r="H250">
        <v>3</v>
      </c>
      <c r="I250" t="s">
        <v>809</v>
      </c>
      <c r="J250" t="s">
        <v>810</v>
      </c>
      <c r="K250" t="s">
        <v>811</v>
      </c>
      <c r="L250">
        <v>1348</v>
      </c>
      <c r="N250">
        <v>1009</v>
      </c>
      <c r="O250" t="s">
        <v>49</v>
      </c>
      <c r="P250" t="s">
        <v>49</v>
      </c>
      <c r="Q250">
        <v>1000</v>
      </c>
      <c r="W250">
        <v>0</v>
      </c>
      <c r="X250">
        <v>499358224</v>
      </c>
      <c r="Y250">
        <f>(AT250*2)</f>
        <v>1.7999999999999999E-2</v>
      </c>
      <c r="AA250">
        <v>127384.54</v>
      </c>
      <c r="AB250">
        <v>0</v>
      </c>
      <c r="AC250">
        <v>0</v>
      </c>
      <c r="AD250">
        <v>0</v>
      </c>
      <c r="AE250">
        <v>14312.87</v>
      </c>
      <c r="AF250">
        <v>0</v>
      </c>
      <c r="AG250">
        <v>0</v>
      </c>
      <c r="AH250">
        <v>0</v>
      </c>
      <c r="AI250">
        <v>8.9</v>
      </c>
      <c r="AJ250">
        <v>1</v>
      </c>
      <c r="AK250">
        <v>1</v>
      </c>
      <c r="AL250">
        <v>1</v>
      </c>
      <c r="AM250">
        <v>4</v>
      </c>
      <c r="AN250">
        <v>0</v>
      </c>
      <c r="AO250">
        <v>1</v>
      </c>
      <c r="AP250">
        <v>1</v>
      </c>
      <c r="AQ250">
        <v>0</v>
      </c>
      <c r="AR250">
        <v>0</v>
      </c>
      <c r="AS250" t="s">
        <v>3</v>
      </c>
      <c r="AT250">
        <v>8.9999999999999993E-3</v>
      </c>
      <c r="AU250" t="s">
        <v>498</v>
      </c>
      <c r="AV250">
        <v>0</v>
      </c>
      <c r="AW250">
        <v>2</v>
      </c>
      <c r="AX250">
        <v>145027609</v>
      </c>
      <c r="AY250">
        <v>1</v>
      </c>
      <c r="AZ250">
        <v>0</v>
      </c>
      <c r="BA250">
        <v>281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CX250">
        <f>ROUND(Y250*Source!I216,9)</f>
        <v>3.5999999999999999E-3</v>
      </c>
      <c r="CY250">
        <f>AA250</f>
        <v>127384.54</v>
      </c>
      <c r="CZ250">
        <f>AE250</f>
        <v>14312.87</v>
      </c>
      <c r="DA250">
        <f>AI250</f>
        <v>8.9</v>
      </c>
      <c r="DB250">
        <f>ROUND((ROUND(AT250*CZ250,2)*2),2)</f>
        <v>257.64</v>
      </c>
      <c r="DC250">
        <f>ROUND((ROUND(AT250*AG250,2)*2),2)</f>
        <v>0</v>
      </c>
      <c r="DD250" t="s">
        <v>3</v>
      </c>
      <c r="DE250" t="s">
        <v>3</v>
      </c>
      <c r="DF250">
        <f>ROUND(ROUND(AE250*AI250,2)*CX250,2)</f>
        <v>458.58</v>
      </c>
      <c r="DG250">
        <f>ROUND(ROUND(AF250,2)*CX250,2)</f>
        <v>0</v>
      </c>
      <c r="DH250">
        <f>ROUND(ROUND(AG250,2)*CX250,2)</f>
        <v>0</v>
      </c>
      <c r="DI250">
        <f t="shared" si="99"/>
        <v>0</v>
      </c>
      <c r="DJ250">
        <f>DF250</f>
        <v>458.58</v>
      </c>
      <c r="DK250">
        <v>0</v>
      </c>
      <c r="DL250" t="s">
        <v>3</v>
      </c>
      <c r="DM250">
        <v>0</v>
      </c>
      <c r="DN250" t="s">
        <v>3</v>
      </c>
      <c r="DO250">
        <v>0</v>
      </c>
    </row>
    <row r="251" spans="1:119" x14ac:dyDescent="0.2">
      <c r="A251">
        <f>ROW(Source!A216)</f>
        <v>216</v>
      </c>
      <c r="B251">
        <v>145026783</v>
      </c>
      <c r="C251">
        <v>145027594</v>
      </c>
      <c r="D251">
        <v>140805221</v>
      </c>
      <c r="E251">
        <v>1</v>
      </c>
      <c r="F251">
        <v>1</v>
      </c>
      <c r="G251">
        <v>1</v>
      </c>
      <c r="H251">
        <v>3</v>
      </c>
      <c r="I251" t="s">
        <v>812</v>
      </c>
      <c r="J251" t="s">
        <v>813</v>
      </c>
      <c r="K251" t="s">
        <v>814</v>
      </c>
      <c r="L251">
        <v>1346</v>
      </c>
      <c r="N251">
        <v>1009</v>
      </c>
      <c r="O251" t="s">
        <v>154</v>
      </c>
      <c r="P251" t="s">
        <v>154</v>
      </c>
      <c r="Q251">
        <v>1</v>
      </c>
      <c r="W251">
        <v>0</v>
      </c>
      <c r="X251">
        <v>58056778</v>
      </c>
      <c r="Y251">
        <f>(AT251*2)</f>
        <v>2.8</v>
      </c>
      <c r="AA251">
        <v>59.36</v>
      </c>
      <c r="AB251">
        <v>0</v>
      </c>
      <c r="AC251">
        <v>0</v>
      </c>
      <c r="AD251">
        <v>0</v>
      </c>
      <c r="AE251">
        <v>6.67</v>
      </c>
      <c r="AF251">
        <v>0</v>
      </c>
      <c r="AG251">
        <v>0</v>
      </c>
      <c r="AH251">
        <v>0</v>
      </c>
      <c r="AI251">
        <v>8.9</v>
      </c>
      <c r="AJ251">
        <v>1</v>
      </c>
      <c r="AK251">
        <v>1</v>
      </c>
      <c r="AL251">
        <v>1</v>
      </c>
      <c r="AM251">
        <v>4</v>
      </c>
      <c r="AN251">
        <v>0</v>
      </c>
      <c r="AO251">
        <v>1</v>
      </c>
      <c r="AP251">
        <v>1</v>
      </c>
      <c r="AQ251">
        <v>0</v>
      </c>
      <c r="AR251">
        <v>0</v>
      </c>
      <c r="AS251" t="s">
        <v>3</v>
      </c>
      <c r="AT251">
        <v>1.4</v>
      </c>
      <c r="AU251" t="s">
        <v>498</v>
      </c>
      <c r="AV251">
        <v>0</v>
      </c>
      <c r="AW251">
        <v>2</v>
      </c>
      <c r="AX251">
        <v>145027610</v>
      </c>
      <c r="AY251">
        <v>1</v>
      </c>
      <c r="AZ251">
        <v>0</v>
      </c>
      <c r="BA251">
        <v>282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CX251">
        <f>ROUND(Y251*Source!I216,9)</f>
        <v>0.56000000000000005</v>
      </c>
      <c r="CY251">
        <f>AA251</f>
        <v>59.36</v>
      </c>
      <c r="CZ251">
        <f>AE251</f>
        <v>6.67</v>
      </c>
      <c r="DA251">
        <f>AI251</f>
        <v>8.9</v>
      </c>
      <c r="DB251">
        <f>ROUND((ROUND(AT251*CZ251,2)*2),2)</f>
        <v>18.68</v>
      </c>
      <c r="DC251">
        <f>ROUND((ROUND(AT251*AG251,2)*2),2)</f>
        <v>0</v>
      </c>
      <c r="DD251" t="s">
        <v>3</v>
      </c>
      <c r="DE251" t="s">
        <v>3</v>
      </c>
      <c r="DF251">
        <f>ROUND(ROUND(AE251*AI251,2)*CX251,2)</f>
        <v>33.24</v>
      </c>
      <c r="DG251">
        <f>ROUND(ROUND(AF251,2)*CX251,2)</f>
        <v>0</v>
      </c>
      <c r="DH251">
        <f>ROUND(ROUND(AG251,2)*CX251,2)</f>
        <v>0</v>
      </c>
      <c r="DI251">
        <f t="shared" si="99"/>
        <v>0</v>
      </c>
      <c r="DJ251">
        <f>DF251</f>
        <v>33.24</v>
      </c>
      <c r="DK251">
        <v>0</v>
      </c>
      <c r="DL251" t="s">
        <v>3</v>
      </c>
      <c r="DM251">
        <v>0</v>
      </c>
      <c r="DN251" t="s">
        <v>3</v>
      </c>
      <c r="DO251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R28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ROW(Source!A28)</f>
        <v>28</v>
      </c>
      <c r="B1">
        <v>145027025</v>
      </c>
      <c r="C1">
        <v>145027021</v>
      </c>
      <c r="D1">
        <v>140760031</v>
      </c>
      <c r="E1">
        <v>70</v>
      </c>
      <c r="F1">
        <v>1</v>
      </c>
      <c r="G1">
        <v>1</v>
      </c>
      <c r="H1">
        <v>1</v>
      </c>
      <c r="I1" t="s">
        <v>606</v>
      </c>
      <c r="J1" t="s">
        <v>3</v>
      </c>
      <c r="K1" t="s">
        <v>607</v>
      </c>
      <c r="L1">
        <v>1191</v>
      </c>
      <c r="N1">
        <v>1013</v>
      </c>
      <c r="O1" t="s">
        <v>608</v>
      </c>
      <c r="P1" t="s">
        <v>608</v>
      </c>
      <c r="Q1">
        <v>1</v>
      </c>
      <c r="X1">
        <v>163.30000000000001</v>
      </c>
      <c r="Y1">
        <v>0</v>
      </c>
      <c r="Z1">
        <v>0</v>
      </c>
      <c r="AA1">
        <v>0</v>
      </c>
      <c r="AB1">
        <v>9.6199999999999992</v>
      </c>
      <c r="AC1">
        <v>0</v>
      </c>
      <c r="AD1">
        <v>1</v>
      </c>
      <c r="AE1">
        <v>1</v>
      </c>
      <c r="AF1" t="s">
        <v>3</v>
      </c>
      <c r="AG1">
        <v>163.30000000000001</v>
      </c>
      <c r="AH1">
        <v>2</v>
      </c>
      <c r="AI1">
        <v>145027022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ROW(Source!A28)</f>
        <v>28</v>
      </c>
      <c r="B2">
        <v>145027026</v>
      </c>
      <c r="C2">
        <v>145027021</v>
      </c>
      <c r="D2">
        <v>140760225</v>
      </c>
      <c r="E2">
        <v>70</v>
      </c>
      <c r="F2">
        <v>1</v>
      </c>
      <c r="G2">
        <v>1</v>
      </c>
      <c r="H2">
        <v>1</v>
      </c>
      <c r="I2" t="s">
        <v>609</v>
      </c>
      <c r="J2" t="s">
        <v>3</v>
      </c>
      <c r="K2" t="s">
        <v>610</v>
      </c>
      <c r="L2">
        <v>1191</v>
      </c>
      <c r="N2">
        <v>1013</v>
      </c>
      <c r="O2" t="s">
        <v>608</v>
      </c>
      <c r="P2" t="s">
        <v>608</v>
      </c>
      <c r="Q2">
        <v>1</v>
      </c>
      <c r="X2">
        <v>0.08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3</v>
      </c>
      <c r="AG2">
        <v>0.08</v>
      </c>
      <c r="AH2">
        <v>2</v>
      </c>
      <c r="AI2">
        <v>145027023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ROW(Source!A28)</f>
        <v>28</v>
      </c>
      <c r="B3">
        <v>145027027</v>
      </c>
      <c r="C3">
        <v>145027021</v>
      </c>
      <c r="D3">
        <v>140923145</v>
      </c>
      <c r="E3">
        <v>1</v>
      </c>
      <c r="F3">
        <v>1</v>
      </c>
      <c r="G3">
        <v>1</v>
      </c>
      <c r="H3">
        <v>2</v>
      </c>
      <c r="I3" t="s">
        <v>611</v>
      </c>
      <c r="J3" t="s">
        <v>612</v>
      </c>
      <c r="K3" t="s">
        <v>613</v>
      </c>
      <c r="L3">
        <v>1367</v>
      </c>
      <c r="N3">
        <v>1011</v>
      </c>
      <c r="O3" t="s">
        <v>614</v>
      </c>
      <c r="P3" t="s">
        <v>614</v>
      </c>
      <c r="Q3">
        <v>1</v>
      </c>
      <c r="X3">
        <v>0.08</v>
      </c>
      <c r="Y3">
        <v>0</v>
      </c>
      <c r="Z3">
        <v>31.26</v>
      </c>
      <c r="AA3">
        <v>13.5</v>
      </c>
      <c r="AB3">
        <v>0</v>
      </c>
      <c r="AC3">
        <v>0</v>
      </c>
      <c r="AD3">
        <v>1</v>
      </c>
      <c r="AE3">
        <v>0</v>
      </c>
      <c r="AF3" t="s">
        <v>3</v>
      </c>
      <c r="AG3">
        <v>0.08</v>
      </c>
      <c r="AH3">
        <v>2</v>
      </c>
      <c r="AI3">
        <v>145027024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ROW(Source!A28)</f>
        <v>28</v>
      </c>
      <c r="B4">
        <v>145027028</v>
      </c>
      <c r="C4">
        <v>145027021</v>
      </c>
      <c r="D4">
        <v>140764175</v>
      </c>
      <c r="E4">
        <v>70</v>
      </c>
      <c r="F4">
        <v>1</v>
      </c>
      <c r="G4">
        <v>1</v>
      </c>
      <c r="H4">
        <v>3</v>
      </c>
      <c r="I4" t="s">
        <v>815</v>
      </c>
      <c r="J4" t="s">
        <v>3</v>
      </c>
      <c r="K4" t="s">
        <v>816</v>
      </c>
      <c r="L4">
        <v>1371</v>
      </c>
      <c r="N4">
        <v>1013</v>
      </c>
      <c r="O4" t="s">
        <v>213</v>
      </c>
      <c r="P4" t="s">
        <v>213</v>
      </c>
      <c r="Q4">
        <v>1</v>
      </c>
      <c r="X4">
        <v>100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 t="s">
        <v>3</v>
      </c>
      <c r="AG4">
        <v>100</v>
      </c>
      <c r="AH4">
        <v>3</v>
      </c>
      <c r="AI4">
        <v>-1</v>
      </c>
      <c r="AJ4" t="s">
        <v>3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ROW(Source!A30)</f>
        <v>30</v>
      </c>
      <c r="B5">
        <v>145027035</v>
      </c>
      <c r="C5">
        <v>145027030</v>
      </c>
      <c r="D5">
        <v>140759935</v>
      </c>
      <c r="E5">
        <v>70</v>
      </c>
      <c r="F5">
        <v>1</v>
      </c>
      <c r="G5">
        <v>1</v>
      </c>
      <c r="H5">
        <v>1</v>
      </c>
      <c r="I5" t="s">
        <v>615</v>
      </c>
      <c r="J5" t="s">
        <v>3</v>
      </c>
      <c r="K5" t="s">
        <v>616</v>
      </c>
      <c r="L5">
        <v>1191</v>
      </c>
      <c r="N5">
        <v>1013</v>
      </c>
      <c r="O5" t="s">
        <v>608</v>
      </c>
      <c r="P5" t="s">
        <v>608</v>
      </c>
      <c r="Q5">
        <v>1</v>
      </c>
      <c r="X5">
        <v>11.39</v>
      </c>
      <c r="Y5">
        <v>0</v>
      </c>
      <c r="Z5">
        <v>0</v>
      </c>
      <c r="AA5">
        <v>0</v>
      </c>
      <c r="AB5">
        <v>7.8</v>
      </c>
      <c r="AC5">
        <v>0</v>
      </c>
      <c r="AD5">
        <v>1</v>
      </c>
      <c r="AE5">
        <v>1</v>
      </c>
      <c r="AF5" t="s">
        <v>3</v>
      </c>
      <c r="AG5">
        <v>11.39</v>
      </c>
      <c r="AH5">
        <v>2</v>
      </c>
      <c r="AI5">
        <v>145027031</v>
      </c>
      <c r="AJ5">
        <v>4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ROW(Source!A30)</f>
        <v>30</v>
      </c>
      <c r="B6">
        <v>145027036</v>
      </c>
      <c r="C6">
        <v>145027030</v>
      </c>
      <c r="D6">
        <v>140760225</v>
      </c>
      <c r="E6">
        <v>70</v>
      </c>
      <c r="F6">
        <v>1</v>
      </c>
      <c r="G6">
        <v>1</v>
      </c>
      <c r="H6">
        <v>1</v>
      </c>
      <c r="I6" t="s">
        <v>609</v>
      </c>
      <c r="J6" t="s">
        <v>3</v>
      </c>
      <c r="K6" t="s">
        <v>610</v>
      </c>
      <c r="L6">
        <v>1191</v>
      </c>
      <c r="N6">
        <v>1013</v>
      </c>
      <c r="O6" t="s">
        <v>608</v>
      </c>
      <c r="P6" t="s">
        <v>608</v>
      </c>
      <c r="Q6">
        <v>1</v>
      </c>
      <c r="X6">
        <v>0.13</v>
      </c>
      <c r="Y6">
        <v>0</v>
      </c>
      <c r="Z6">
        <v>0</v>
      </c>
      <c r="AA6">
        <v>0</v>
      </c>
      <c r="AB6">
        <v>0</v>
      </c>
      <c r="AC6">
        <v>0</v>
      </c>
      <c r="AD6">
        <v>1</v>
      </c>
      <c r="AE6">
        <v>2</v>
      </c>
      <c r="AF6" t="s">
        <v>3</v>
      </c>
      <c r="AG6">
        <v>0.13</v>
      </c>
      <c r="AH6">
        <v>2</v>
      </c>
      <c r="AI6">
        <v>145027032</v>
      </c>
      <c r="AJ6">
        <v>5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ROW(Source!A30)</f>
        <v>30</v>
      </c>
      <c r="B7">
        <v>145027037</v>
      </c>
      <c r="C7">
        <v>145027030</v>
      </c>
      <c r="D7">
        <v>140923145</v>
      </c>
      <c r="E7">
        <v>1</v>
      </c>
      <c r="F7">
        <v>1</v>
      </c>
      <c r="G7">
        <v>1</v>
      </c>
      <c r="H7">
        <v>2</v>
      </c>
      <c r="I7" t="s">
        <v>611</v>
      </c>
      <c r="J7" t="s">
        <v>612</v>
      </c>
      <c r="K7" t="s">
        <v>613</v>
      </c>
      <c r="L7">
        <v>1367</v>
      </c>
      <c r="N7">
        <v>1011</v>
      </c>
      <c r="O7" t="s">
        <v>614</v>
      </c>
      <c r="P7" t="s">
        <v>614</v>
      </c>
      <c r="Q7">
        <v>1</v>
      </c>
      <c r="X7">
        <v>0.13</v>
      </c>
      <c r="Y7">
        <v>0</v>
      </c>
      <c r="Z7">
        <v>31.26</v>
      </c>
      <c r="AA7">
        <v>13.5</v>
      </c>
      <c r="AB7">
        <v>0</v>
      </c>
      <c r="AC7">
        <v>0</v>
      </c>
      <c r="AD7">
        <v>1</v>
      </c>
      <c r="AE7">
        <v>0</v>
      </c>
      <c r="AF7" t="s">
        <v>3</v>
      </c>
      <c r="AG7">
        <v>0.13</v>
      </c>
      <c r="AH7">
        <v>2</v>
      </c>
      <c r="AI7">
        <v>145027033</v>
      </c>
      <c r="AJ7">
        <v>6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ROW(Source!A30)</f>
        <v>30</v>
      </c>
      <c r="B8">
        <v>145027038</v>
      </c>
      <c r="C8">
        <v>145027030</v>
      </c>
      <c r="D8">
        <v>140765020</v>
      </c>
      <c r="E8">
        <v>70</v>
      </c>
      <c r="F8">
        <v>1</v>
      </c>
      <c r="G8">
        <v>1</v>
      </c>
      <c r="H8">
        <v>3</v>
      </c>
      <c r="I8" t="s">
        <v>47</v>
      </c>
      <c r="J8" t="s">
        <v>3</v>
      </c>
      <c r="K8" t="s">
        <v>48</v>
      </c>
      <c r="L8">
        <v>1348</v>
      </c>
      <c r="N8">
        <v>1009</v>
      </c>
      <c r="O8" t="s">
        <v>49</v>
      </c>
      <c r="P8" t="s">
        <v>49</v>
      </c>
      <c r="Q8">
        <v>1000</v>
      </c>
      <c r="X8">
        <v>0.47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 t="s">
        <v>3</v>
      </c>
      <c r="AG8">
        <v>0.47</v>
      </c>
      <c r="AH8">
        <v>2</v>
      </c>
      <c r="AI8">
        <v>145027034</v>
      </c>
      <c r="AJ8">
        <v>7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ROW(Source!A32)</f>
        <v>32</v>
      </c>
      <c r="B9">
        <v>145027043</v>
      </c>
      <c r="C9">
        <v>145027040</v>
      </c>
      <c r="D9">
        <v>140759935</v>
      </c>
      <c r="E9">
        <v>70</v>
      </c>
      <c r="F9">
        <v>1</v>
      </c>
      <c r="G9">
        <v>1</v>
      </c>
      <c r="H9">
        <v>1</v>
      </c>
      <c r="I9" t="s">
        <v>615</v>
      </c>
      <c r="J9" t="s">
        <v>3</v>
      </c>
      <c r="K9" t="s">
        <v>616</v>
      </c>
      <c r="L9">
        <v>1191</v>
      </c>
      <c r="N9">
        <v>1013</v>
      </c>
      <c r="O9" t="s">
        <v>608</v>
      </c>
      <c r="P9" t="s">
        <v>608</v>
      </c>
      <c r="Q9">
        <v>1</v>
      </c>
      <c r="X9">
        <v>3.77</v>
      </c>
      <c r="Y9">
        <v>0</v>
      </c>
      <c r="Z9">
        <v>0</v>
      </c>
      <c r="AA9">
        <v>0</v>
      </c>
      <c r="AB9">
        <v>7.8</v>
      </c>
      <c r="AC9">
        <v>0</v>
      </c>
      <c r="AD9">
        <v>1</v>
      </c>
      <c r="AE9">
        <v>1</v>
      </c>
      <c r="AF9" t="s">
        <v>3</v>
      </c>
      <c r="AG9">
        <v>3.77</v>
      </c>
      <c r="AH9">
        <v>2</v>
      </c>
      <c r="AI9">
        <v>145027041</v>
      </c>
      <c r="AJ9">
        <v>8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ROW(Source!A32)</f>
        <v>32</v>
      </c>
      <c r="B10">
        <v>145027044</v>
      </c>
      <c r="C10">
        <v>145027040</v>
      </c>
      <c r="D10">
        <v>140765020</v>
      </c>
      <c r="E10">
        <v>70</v>
      </c>
      <c r="F10">
        <v>1</v>
      </c>
      <c r="G10">
        <v>1</v>
      </c>
      <c r="H10">
        <v>3</v>
      </c>
      <c r="I10" t="s">
        <v>47</v>
      </c>
      <c r="J10" t="s">
        <v>3</v>
      </c>
      <c r="K10" t="s">
        <v>48</v>
      </c>
      <c r="L10">
        <v>1348</v>
      </c>
      <c r="N10">
        <v>1009</v>
      </c>
      <c r="O10" t="s">
        <v>49</v>
      </c>
      <c r="P10" t="s">
        <v>49</v>
      </c>
      <c r="Q10">
        <v>1000</v>
      </c>
      <c r="X10">
        <v>0.11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 t="s">
        <v>3</v>
      </c>
      <c r="AG10">
        <v>0.11</v>
      </c>
      <c r="AH10">
        <v>2</v>
      </c>
      <c r="AI10">
        <v>145027042</v>
      </c>
      <c r="AJ10">
        <v>9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ROW(Source!A34)</f>
        <v>34</v>
      </c>
      <c r="B11">
        <v>145027051</v>
      </c>
      <c r="C11">
        <v>145027046</v>
      </c>
      <c r="D11">
        <v>140759950</v>
      </c>
      <c r="E11">
        <v>70</v>
      </c>
      <c r="F11">
        <v>1</v>
      </c>
      <c r="G11">
        <v>1</v>
      </c>
      <c r="H11">
        <v>1</v>
      </c>
      <c r="I11" t="s">
        <v>617</v>
      </c>
      <c r="J11" t="s">
        <v>3</v>
      </c>
      <c r="K11" t="s">
        <v>618</v>
      </c>
      <c r="L11">
        <v>1191</v>
      </c>
      <c r="N11">
        <v>1013</v>
      </c>
      <c r="O11" t="s">
        <v>608</v>
      </c>
      <c r="P11" t="s">
        <v>608</v>
      </c>
      <c r="Q11">
        <v>1</v>
      </c>
      <c r="X11">
        <v>179.3</v>
      </c>
      <c r="Y11">
        <v>0</v>
      </c>
      <c r="Z11">
        <v>0</v>
      </c>
      <c r="AA11">
        <v>0</v>
      </c>
      <c r="AB11">
        <v>8.02</v>
      </c>
      <c r="AC11">
        <v>0</v>
      </c>
      <c r="AD11">
        <v>1</v>
      </c>
      <c r="AE11">
        <v>1</v>
      </c>
      <c r="AF11" t="s">
        <v>3</v>
      </c>
      <c r="AG11">
        <v>179.3</v>
      </c>
      <c r="AH11">
        <v>2</v>
      </c>
      <c r="AI11">
        <v>145027047</v>
      </c>
      <c r="AJ11">
        <v>10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ROW(Source!A34)</f>
        <v>34</v>
      </c>
      <c r="B12">
        <v>145027052</v>
      </c>
      <c r="C12">
        <v>145027046</v>
      </c>
      <c r="D12">
        <v>140924121</v>
      </c>
      <c r="E12">
        <v>1</v>
      </c>
      <c r="F12">
        <v>1</v>
      </c>
      <c r="G12">
        <v>1</v>
      </c>
      <c r="H12">
        <v>2</v>
      </c>
      <c r="I12" t="s">
        <v>619</v>
      </c>
      <c r="J12" t="s">
        <v>620</v>
      </c>
      <c r="K12" t="s">
        <v>621</v>
      </c>
      <c r="L12">
        <v>1367</v>
      </c>
      <c r="N12">
        <v>1011</v>
      </c>
      <c r="O12" t="s">
        <v>614</v>
      </c>
      <c r="P12" t="s">
        <v>614</v>
      </c>
      <c r="Q12">
        <v>1</v>
      </c>
      <c r="X12">
        <v>3.97</v>
      </c>
      <c r="Y12">
        <v>0</v>
      </c>
      <c r="Z12">
        <v>48.81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3</v>
      </c>
      <c r="AG12">
        <v>3.97</v>
      </c>
      <c r="AH12">
        <v>2</v>
      </c>
      <c r="AI12">
        <v>145027048</v>
      </c>
      <c r="AJ12">
        <v>11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ROW(Source!A34)</f>
        <v>34</v>
      </c>
      <c r="B13">
        <v>145027053</v>
      </c>
      <c r="C13">
        <v>145027046</v>
      </c>
      <c r="D13">
        <v>140924577</v>
      </c>
      <c r="E13">
        <v>1</v>
      </c>
      <c r="F13">
        <v>1</v>
      </c>
      <c r="G13">
        <v>1</v>
      </c>
      <c r="H13">
        <v>2</v>
      </c>
      <c r="I13" t="s">
        <v>622</v>
      </c>
      <c r="J13" t="s">
        <v>623</v>
      </c>
      <c r="K13" t="s">
        <v>624</v>
      </c>
      <c r="L13">
        <v>1367</v>
      </c>
      <c r="N13">
        <v>1011</v>
      </c>
      <c r="O13" t="s">
        <v>614</v>
      </c>
      <c r="P13" t="s">
        <v>614</v>
      </c>
      <c r="Q13">
        <v>1</v>
      </c>
      <c r="X13">
        <v>7.93</v>
      </c>
      <c r="Y13">
        <v>0</v>
      </c>
      <c r="Z13">
        <v>1.53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3</v>
      </c>
      <c r="AG13">
        <v>7.93</v>
      </c>
      <c r="AH13">
        <v>2</v>
      </c>
      <c r="AI13">
        <v>145027049</v>
      </c>
      <c r="AJ13">
        <v>12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ROW(Source!A34)</f>
        <v>34</v>
      </c>
      <c r="B14">
        <v>145027054</v>
      </c>
      <c r="C14">
        <v>145027046</v>
      </c>
      <c r="D14">
        <v>140765020</v>
      </c>
      <c r="E14">
        <v>70</v>
      </c>
      <c r="F14">
        <v>1</v>
      </c>
      <c r="G14">
        <v>1</v>
      </c>
      <c r="H14">
        <v>3</v>
      </c>
      <c r="I14" t="s">
        <v>47</v>
      </c>
      <c r="J14" t="s">
        <v>3</v>
      </c>
      <c r="K14" t="s">
        <v>48</v>
      </c>
      <c r="L14">
        <v>1348</v>
      </c>
      <c r="N14">
        <v>1009</v>
      </c>
      <c r="O14" t="s">
        <v>49</v>
      </c>
      <c r="P14" t="s">
        <v>49</v>
      </c>
      <c r="Q14">
        <v>1000</v>
      </c>
      <c r="X14">
        <v>10.5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 t="s">
        <v>3</v>
      </c>
      <c r="AG14">
        <v>10.5</v>
      </c>
      <c r="AH14">
        <v>2</v>
      </c>
      <c r="AI14">
        <v>145027050</v>
      </c>
      <c r="AJ14">
        <v>13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ROW(Source!A36)</f>
        <v>36</v>
      </c>
      <c r="B15">
        <v>145027059</v>
      </c>
      <c r="C15">
        <v>145027056</v>
      </c>
      <c r="D15">
        <v>140759945</v>
      </c>
      <c r="E15">
        <v>70</v>
      </c>
      <c r="F15">
        <v>1</v>
      </c>
      <c r="G15">
        <v>1</v>
      </c>
      <c r="H15">
        <v>1</v>
      </c>
      <c r="I15" t="s">
        <v>625</v>
      </c>
      <c r="J15" t="s">
        <v>3</v>
      </c>
      <c r="K15" t="s">
        <v>626</v>
      </c>
      <c r="L15">
        <v>1191</v>
      </c>
      <c r="N15">
        <v>1013</v>
      </c>
      <c r="O15" t="s">
        <v>608</v>
      </c>
      <c r="P15" t="s">
        <v>608</v>
      </c>
      <c r="Q15">
        <v>1</v>
      </c>
      <c r="X15">
        <v>36.28</v>
      </c>
      <c r="Y15">
        <v>0</v>
      </c>
      <c r="Z15">
        <v>0</v>
      </c>
      <c r="AA15">
        <v>0</v>
      </c>
      <c r="AB15">
        <v>7.94</v>
      </c>
      <c r="AC15">
        <v>0</v>
      </c>
      <c r="AD15">
        <v>1</v>
      </c>
      <c r="AE15">
        <v>1</v>
      </c>
      <c r="AF15" t="s">
        <v>3</v>
      </c>
      <c r="AG15">
        <v>36.28</v>
      </c>
      <c r="AH15">
        <v>2</v>
      </c>
      <c r="AI15">
        <v>145027057</v>
      </c>
      <c r="AJ15">
        <v>14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ROW(Source!A36)</f>
        <v>36</v>
      </c>
      <c r="B16">
        <v>145027060</v>
      </c>
      <c r="C16">
        <v>145027056</v>
      </c>
      <c r="D16">
        <v>140765020</v>
      </c>
      <c r="E16">
        <v>70</v>
      </c>
      <c r="F16">
        <v>1</v>
      </c>
      <c r="G16">
        <v>1</v>
      </c>
      <c r="H16">
        <v>3</v>
      </c>
      <c r="I16" t="s">
        <v>47</v>
      </c>
      <c r="J16" t="s">
        <v>3</v>
      </c>
      <c r="K16" t="s">
        <v>48</v>
      </c>
      <c r="L16">
        <v>1348</v>
      </c>
      <c r="N16">
        <v>1009</v>
      </c>
      <c r="O16" t="s">
        <v>49</v>
      </c>
      <c r="P16" t="s">
        <v>49</v>
      </c>
      <c r="Q16">
        <v>1000</v>
      </c>
      <c r="X16">
        <v>1.18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 t="s">
        <v>3</v>
      </c>
      <c r="AG16">
        <v>1.18</v>
      </c>
      <c r="AH16">
        <v>2</v>
      </c>
      <c r="AI16">
        <v>145027058</v>
      </c>
      <c r="AJ16">
        <v>15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ROW(Source!A38)</f>
        <v>38</v>
      </c>
      <c r="B17">
        <v>145027117</v>
      </c>
      <c r="C17">
        <v>145027109</v>
      </c>
      <c r="D17">
        <v>140759909</v>
      </c>
      <c r="E17">
        <v>70</v>
      </c>
      <c r="F17">
        <v>1</v>
      </c>
      <c r="G17">
        <v>1</v>
      </c>
      <c r="H17">
        <v>1</v>
      </c>
      <c r="I17" t="s">
        <v>627</v>
      </c>
      <c r="J17" t="s">
        <v>3</v>
      </c>
      <c r="K17" t="s">
        <v>628</v>
      </c>
      <c r="L17">
        <v>1191</v>
      </c>
      <c r="N17">
        <v>1013</v>
      </c>
      <c r="O17" t="s">
        <v>608</v>
      </c>
      <c r="P17" t="s">
        <v>608</v>
      </c>
      <c r="Q17">
        <v>1</v>
      </c>
      <c r="X17">
        <v>0.57999999999999996</v>
      </c>
      <c r="Y17">
        <v>0</v>
      </c>
      <c r="Z17">
        <v>0</v>
      </c>
      <c r="AA17">
        <v>0</v>
      </c>
      <c r="AB17">
        <v>7.56</v>
      </c>
      <c r="AC17">
        <v>0</v>
      </c>
      <c r="AD17">
        <v>1</v>
      </c>
      <c r="AE17">
        <v>1</v>
      </c>
      <c r="AF17" t="s">
        <v>3</v>
      </c>
      <c r="AG17">
        <v>0.57999999999999996</v>
      </c>
      <c r="AH17">
        <v>2</v>
      </c>
      <c r="AI17">
        <v>145027112</v>
      </c>
      <c r="AJ17">
        <v>16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ROW(Source!A39)</f>
        <v>39</v>
      </c>
      <c r="B18">
        <v>145028600</v>
      </c>
      <c r="C18">
        <v>145028599</v>
      </c>
      <c r="D18">
        <v>134450423</v>
      </c>
      <c r="E18">
        <v>56</v>
      </c>
      <c r="F18">
        <v>1</v>
      </c>
      <c r="G18">
        <v>1</v>
      </c>
      <c r="H18">
        <v>1</v>
      </c>
      <c r="I18" t="s">
        <v>615</v>
      </c>
      <c r="J18" t="s">
        <v>3</v>
      </c>
      <c r="K18" t="s">
        <v>629</v>
      </c>
      <c r="L18">
        <v>1191</v>
      </c>
      <c r="N18">
        <v>1013</v>
      </c>
      <c r="O18" t="s">
        <v>608</v>
      </c>
      <c r="P18" t="s">
        <v>608</v>
      </c>
      <c r="Q18">
        <v>1</v>
      </c>
      <c r="X18">
        <v>10.4</v>
      </c>
      <c r="Y18">
        <v>0</v>
      </c>
      <c r="Z18">
        <v>0</v>
      </c>
      <c r="AA18">
        <v>0</v>
      </c>
      <c r="AB18">
        <v>7.8</v>
      </c>
      <c r="AC18">
        <v>0</v>
      </c>
      <c r="AD18">
        <v>1</v>
      </c>
      <c r="AE18">
        <v>1</v>
      </c>
      <c r="AF18" t="s">
        <v>3</v>
      </c>
      <c r="AG18">
        <v>10.4</v>
      </c>
      <c r="AH18">
        <v>2</v>
      </c>
      <c r="AI18">
        <v>145028600</v>
      </c>
      <c r="AJ18">
        <v>17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ROW(Source!A39)</f>
        <v>39</v>
      </c>
      <c r="B19">
        <v>145028601</v>
      </c>
      <c r="C19">
        <v>145028599</v>
      </c>
      <c r="D19">
        <v>134455487</v>
      </c>
      <c r="E19">
        <v>56</v>
      </c>
      <c r="F19">
        <v>1</v>
      </c>
      <c r="G19">
        <v>1</v>
      </c>
      <c r="H19">
        <v>3</v>
      </c>
      <c r="I19" t="s">
        <v>47</v>
      </c>
      <c r="J19" t="s">
        <v>3</v>
      </c>
      <c r="K19" t="s">
        <v>48</v>
      </c>
      <c r="L19">
        <v>1348</v>
      </c>
      <c r="N19">
        <v>1009</v>
      </c>
      <c r="O19" t="s">
        <v>49</v>
      </c>
      <c r="P19" t="s">
        <v>49</v>
      </c>
      <c r="Q19">
        <v>1000</v>
      </c>
      <c r="X19">
        <v>0.03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 t="s">
        <v>3</v>
      </c>
      <c r="AG19">
        <v>0.03</v>
      </c>
      <c r="AH19">
        <v>2</v>
      </c>
      <c r="AI19">
        <v>145028601</v>
      </c>
      <c r="AJ19">
        <v>18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ROW(Source!A41)</f>
        <v>41</v>
      </c>
      <c r="B20">
        <v>145040963</v>
      </c>
      <c r="C20">
        <v>145040937</v>
      </c>
      <c r="D20">
        <v>140759991</v>
      </c>
      <c r="E20">
        <v>70</v>
      </c>
      <c r="F20">
        <v>1</v>
      </c>
      <c r="G20">
        <v>1</v>
      </c>
      <c r="H20">
        <v>1</v>
      </c>
      <c r="I20" t="s">
        <v>630</v>
      </c>
      <c r="J20" t="s">
        <v>3</v>
      </c>
      <c r="K20" t="s">
        <v>631</v>
      </c>
      <c r="L20">
        <v>1191</v>
      </c>
      <c r="N20">
        <v>1013</v>
      </c>
      <c r="O20" t="s">
        <v>608</v>
      </c>
      <c r="P20" t="s">
        <v>608</v>
      </c>
      <c r="Q20">
        <v>1</v>
      </c>
      <c r="X20">
        <v>80.77</v>
      </c>
      <c r="Y20">
        <v>0</v>
      </c>
      <c r="Z20">
        <v>0</v>
      </c>
      <c r="AA20">
        <v>0</v>
      </c>
      <c r="AB20">
        <v>8.9700000000000006</v>
      </c>
      <c r="AC20">
        <v>0</v>
      </c>
      <c r="AD20">
        <v>1</v>
      </c>
      <c r="AE20">
        <v>1</v>
      </c>
      <c r="AF20" t="s">
        <v>94</v>
      </c>
      <c r="AG20">
        <v>64.616</v>
      </c>
      <c r="AH20">
        <v>2</v>
      </c>
      <c r="AI20">
        <v>145040963</v>
      </c>
      <c r="AJ20">
        <v>19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ROW(Source!A41)</f>
        <v>41</v>
      </c>
      <c r="B21">
        <v>145040964</v>
      </c>
      <c r="C21">
        <v>145040937</v>
      </c>
      <c r="D21">
        <v>140760225</v>
      </c>
      <c r="E21">
        <v>70</v>
      </c>
      <c r="F21">
        <v>1</v>
      </c>
      <c r="G21">
        <v>1</v>
      </c>
      <c r="H21">
        <v>1</v>
      </c>
      <c r="I21" t="s">
        <v>609</v>
      </c>
      <c r="J21" t="s">
        <v>3</v>
      </c>
      <c r="K21" t="s">
        <v>610</v>
      </c>
      <c r="L21">
        <v>1191</v>
      </c>
      <c r="N21">
        <v>1013</v>
      </c>
      <c r="O21" t="s">
        <v>608</v>
      </c>
      <c r="P21" t="s">
        <v>608</v>
      </c>
      <c r="Q21">
        <v>1</v>
      </c>
      <c r="X21">
        <v>0.14000000000000001</v>
      </c>
      <c r="Y21">
        <v>0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2</v>
      </c>
      <c r="AF21" t="s">
        <v>94</v>
      </c>
      <c r="AG21">
        <v>0.11200000000000002</v>
      </c>
      <c r="AH21">
        <v>2</v>
      </c>
      <c r="AI21">
        <v>145040964</v>
      </c>
      <c r="AJ21">
        <v>20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ROW(Source!A41)</f>
        <v>41</v>
      </c>
      <c r="B22">
        <v>145040965</v>
      </c>
      <c r="C22">
        <v>145040937</v>
      </c>
      <c r="D22">
        <v>140923142</v>
      </c>
      <c r="E22">
        <v>1</v>
      </c>
      <c r="F22">
        <v>1</v>
      </c>
      <c r="G22">
        <v>1</v>
      </c>
      <c r="H22">
        <v>2</v>
      </c>
      <c r="I22" t="s">
        <v>632</v>
      </c>
      <c r="J22" t="s">
        <v>633</v>
      </c>
      <c r="K22" t="s">
        <v>634</v>
      </c>
      <c r="L22">
        <v>1367</v>
      </c>
      <c r="N22">
        <v>1011</v>
      </c>
      <c r="O22" t="s">
        <v>614</v>
      </c>
      <c r="P22" t="s">
        <v>614</v>
      </c>
      <c r="Q22">
        <v>1</v>
      </c>
      <c r="X22">
        <v>0.14000000000000001</v>
      </c>
      <c r="Y22">
        <v>0</v>
      </c>
      <c r="Z22">
        <v>24.33</v>
      </c>
      <c r="AA22">
        <v>10.06</v>
      </c>
      <c r="AB22">
        <v>0</v>
      </c>
      <c r="AC22">
        <v>0</v>
      </c>
      <c r="AD22">
        <v>1</v>
      </c>
      <c r="AE22">
        <v>0</v>
      </c>
      <c r="AF22" t="s">
        <v>94</v>
      </c>
      <c r="AG22">
        <v>0.11200000000000002</v>
      </c>
      <c r="AH22">
        <v>2</v>
      </c>
      <c r="AI22">
        <v>145040965</v>
      </c>
      <c r="AJ22">
        <v>21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ROW(Source!A41)</f>
        <v>41</v>
      </c>
      <c r="B23">
        <v>145040966</v>
      </c>
      <c r="C23">
        <v>145040937</v>
      </c>
      <c r="D23">
        <v>140760310</v>
      </c>
      <c r="E23">
        <v>70</v>
      </c>
      <c r="F23">
        <v>1</v>
      </c>
      <c r="G23">
        <v>1</v>
      </c>
      <c r="H23">
        <v>3</v>
      </c>
      <c r="I23" t="s">
        <v>817</v>
      </c>
      <c r="J23" t="s">
        <v>3</v>
      </c>
      <c r="K23" t="s">
        <v>818</v>
      </c>
      <c r="L23">
        <v>1327</v>
      </c>
      <c r="N23">
        <v>1005</v>
      </c>
      <c r="O23" t="s">
        <v>72</v>
      </c>
      <c r="P23" t="s">
        <v>72</v>
      </c>
      <c r="Q23">
        <v>1</v>
      </c>
      <c r="X23">
        <v>105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 t="s">
        <v>93</v>
      </c>
      <c r="AG23">
        <v>0</v>
      </c>
      <c r="AH23">
        <v>3</v>
      </c>
      <c r="AI23">
        <v>-1</v>
      </c>
      <c r="AJ23" t="s">
        <v>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ROW(Source!A41)</f>
        <v>41</v>
      </c>
      <c r="B24">
        <v>145040967</v>
      </c>
      <c r="C24">
        <v>145040937</v>
      </c>
      <c r="D24">
        <v>140772680</v>
      </c>
      <c r="E24">
        <v>1</v>
      </c>
      <c r="F24">
        <v>1</v>
      </c>
      <c r="G24">
        <v>1</v>
      </c>
      <c r="H24">
        <v>3</v>
      </c>
      <c r="I24" t="s">
        <v>635</v>
      </c>
      <c r="J24" t="s">
        <v>636</v>
      </c>
      <c r="K24" t="s">
        <v>637</v>
      </c>
      <c r="L24">
        <v>1339</v>
      </c>
      <c r="N24">
        <v>1007</v>
      </c>
      <c r="O24" t="s">
        <v>638</v>
      </c>
      <c r="P24" t="s">
        <v>638</v>
      </c>
      <c r="Q24">
        <v>1</v>
      </c>
      <c r="X24">
        <v>3.5000000000000003E-2</v>
      </c>
      <c r="Y24">
        <v>2.44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93</v>
      </c>
      <c r="AG24">
        <v>0</v>
      </c>
      <c r="AH24">
        <v>2</v>
      </c>
      <c r="AI24">
        <v>145040967</v>
      </c>
      <c r="AJ24">
        <v>22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ROW(Source!A41)</f>
        <v>41</v>
      </c>
      <c r="B25">
        <v>145040968</v>
      </c>
      <c r="C25">
        <v>145040937</v>
      </c>
      <c r="D25">
        <v>140772927</v>
      </c>
      <c r="E25">
        <v>1</v>
      </c>
      <c r="F25">
        <v>1</v>
      </c>
      <c r="G25">
        <v>1</v>
      </c>
      <c r="H25">
        <v>3</v>
      </c>
      <c r="I25" t="s">
        <v>639</v>
      </c>
      <c r="J25" t="s">
        <v>640</v>
      </c>
      <c r="K25" t="s">
        <v>641</v>
      </c>
      <c r="L25">
        <v>1301</v>
      </c>
      <c r="N25">
        <v>1003</v>
      </c>
      <c r="O25" t="s">
        <v>191</v>
      </c>
      <c r="P25" t="s">
        <v>191</v>
      </c>
      <c r="Q25">
        <v>1</v>
      </c>
      <c r="X25">
        <v>93.81</v>
      </c>
      <c r="Y25">
        <v>0.6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93</v>
      </c>
      <c r="AG25">
        <v>0</v>
      </c>
      <c r="AH25">
        <v>2</v>
      </c>
      <c r="AI25">
        <v>145040968</v>
      </c>
      <c r="AJ25">
        <v>23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ROW(Source!A41)</f>
        <v>41</v>
      </c>
      <c r="B26">
        <v>145040969</v>
      </c>
      <c r="C26">
        <v>145040937</v>
      </c>
      <c r="D26">
        <v>140772954</v>
      </c>
      <c r="E26">
        <v>1</v>
      </c>
      <c r="F26">
        <v>1</v>
      </c>
      <c r="G26">
        <v>1</v>
      </c>
      <c r="H26">
        <v>3</v>
      </c>
      <c r="I26" t="s">
        <v>642</v>
      </c>
      <c r="J26" t="s">
        <v>643</v>
      </c>
      <c r="K26" t="s">
        <v>644</v>
      </c>
      <c r="L26">
        <v>1301</v>
      </c>
      <c r="N26">
        <v>1003</v>
      </c>
      <c r="O26" t="s">
        <v>191</v>
      </c>
      <c r="P26" t="s">
        <v>191</v>
      </c>
      <c r="Q26">
        <v>1</v>
      </c>
      <c r="X26">
        <v>130</v>
      </c>
      <c r="Y26">
        <v>0.17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0</v>
      </c>
      <c r="AF26" t="s">
        <v>93</v>
      </c>
      <c r="AG26">
        <v>0</v>
      </c>
      <c r="AH26">
        <v>2</v>
      </c>
      <c r="AI26">
        <v>145040969</v>
      </c>
      <c r="AJ26">
        <v>24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ROW(Source!A41)</f>
        <v>41</v>
      </c>
      <c r="B27">
        <v>145040970</v>
      </c>
      <c r="C27">
        <v>145040937</v>
      </c>
      <c r="D27">
        <v>140772959</v>
      </c>
      <c r="E27">
        <v>1</v>
      </c>
      <c r="F27">
        <v>1</v>
      </c>
      <c r="G27">
        <v>1</v>
      </c>
      <c r="H27">
        <v>3</v>
      </c>
      <c r="I27" t="s">
        <v>645</v>
      </c>
      <c r="J27" t="s">
        <v>646</v>
      </c>
      <c r="K27" t="s">
        <v>647</v>
      </c>
      <c r="L27">
        <v>1308</v>
      </c>
      <c r="N27">
        <v>1003</v>
      </c>
      <c r="O27" t="s">
        <v>53</v>
      </c>
      <c r="P27" t="s">
        <v>53</v>
      </c>
      <c r="Q27">
        <v>100</v>
      </c>
      <c r="X27">
        <v>0.33329999999999999</v>
      </c>
      <c r="Y27">
        <v>173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F27" t="s">
        <v>93</v>
      </c>
      <c r="AG27">
        <v>0</v>
      </c>
      <c r="AH27">
        <v>2</v>
      </c>
      <c r="AI27">
        <v>145040970</v>
      </c>
      <c r="AJ27">
        <v>25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ROW(Source!A41)</f>
        <v>41</v>
      </c>
      <c r="B28">
        <v>145040971</v>
      </c>
      <c r="C28">
        <v>145040937</v>
      </c>
      <c r="D28">
        <v>140775228</v>
      </c>
      <c r="E28">
        <v>1</v>
      </c>
      <c r="F28">
        <v>1</v>
      </c>
      <c r="G28">
        <v>1</v>
      </c>
      <c r="H28">
        <v>3</v>
      </c>
      <c r="I28" t="s">
        <v>648</v>
      </c>
      <c r="J28" t="s">
        <v>649</v>
      </c>
      <c r="K28" t="s">
        <v>650</v>
      </c>
      <c r="L28">
        <v>1425</v>
      </c>
      <c r="N28">
        <v>1013</v>
      </c>
      <c r="O28" t="s">
        <v>21</v>
      </c>
      <c r="P28" t="s">
        <v>21</v>
      </c>
      <c r="Q28">
        <v>1</v>
      </c>
      <c r="X28">
        <v>3.53</v>
      </c>
      <c r="Y28">
        <v>8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93</v>
      </c>
      <c r="AG28">
        <v>0</v>
      </c>
      <c r="AH28">
        <v>2</v>
      </c>
      <c r="AI28">
        <v>145040971</v>
      </c>
      <c r="AJ28">
        <v>26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ROW(Source!A41)</f>
        <v>41</v>
      </c>
      <c r="B29">
        <v>145040972</v>
      </c>
      <c r="C29">
        <v>145040937</v>
      </c>
      <c r="D29">
        <v>140775473</v>
      </c>
      <c r="E29">
        <v>1</v>
      </c>
      <c r="F29">
        <v>1</v>
      </c>
      <c r="G29">
        <v>1</v>
      </c>
      <c r="H29">
        <v>3</v>
      </c>
      <c r="I29" t="s">
        <v>651</v>
      </c>
      <c r="J29" t="s">
        <v>652</v>
      </c>
      <c r="K29" t="s">
        <v>653</v>
      </c>
      <c r="L29">
        <v>1425</v>
      </c>
      <c r="N29">
        <v>1013</v>
      </c>
      <c r="O29" t="s">
        <v>21</v>
      </c>
      <c r="P29" t="s">
        <v>21</v>
      </c>
      <c r="Q29">
        <v>1</v>
      </c>
      <c r="X29">
        <v>4.29</v>
      </c>
      <c r="Y29">
        <v>2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93</v>
      </c>
      <c r="AG29">
        <v>0</v>
      </c>
      <c r="AH29">
        <v>2</v>
      </c>
      <c r="AI29">
        <v>145040972</v>
      </c>
      <c r="AJ29">
        <v>27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ROW(Source!A41)</f>
        <v>41</v>
      </c>
      <c r="B30">
        <v>145040973</v>
      </c>
      <c r="C30">
        <v>145040937</v>
      </c>
      <c r="D30">
        <v>140775475</v>
      </c>
      <c r="E30">
        <v>1</v>
      </c>
      <c r="F30">
        <v>1</v>
      </c>
      <c r="G30">
        <v>1</v>
      </c>
      <c r="H30">
        <v>3</v>
      </c>
      <c r="I30" t="s">
        <v>654</v>
      </c>
      <c r="J30" t="s">
        <v>655</v>
      </c>
      <c r="K30" t="s">
        <v>656</v>
      </c>
      <c r="L30">
        <v>1425</v>
      </c>
      <c r="N30">
        <v>1013</v>
      </c>
      <c r="O30" t="s">
        <v>21</v>
      </c>
      <c r="P30" t="s">
        <v>21</v>
      </c>
      <c r="Q30">
        <v>1</v>
      </c>
      <c r="X30">
        <v>16.670000000000002</v>
      </c>
      <c r="Y30">
        <v>2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93</v>
      </c>
      <c r="AG30">
        <v>0</v>
      </c>
      <c r="AH30">
        <v>2</v>
      </c>
      <c r="AI30">
        <v>145040973</v>
      </c>
      <c r="AJ30">
        <v>28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ROW(Source!A41)</f>
        <v>41</v>
      </c>
      <c r="B31">
        <v>145040974</v>
      </c>
      <c r="C31">
        <v>145040937</v>
      </c>
      <c r="D31">
        <v>140789464</v>
      </c>
      <c r="E31">
        <v>1</v>
      </c>
      <c r="F31">
        <v>1</v>
      </c>
      <c r="G31">
        <v>1</v>
      </c>
      <c r="H31">
        <v>3</v>
      </c>
      <c r="I31" t="s">
        <v>189</v>
      </c>
      <c r="J31" t="s">
        <v>192</v>
      </c>
      <c r="K31" t="s">
        <v>190</v>
      </c>
      <c r="L31">
        <v>1301</v>
      </c>
      <c r="N31">
        <v>1003</v>
      </c>
      <c r="O31" t="s">
        <v>191</v>
      </c>
      <c r="P31" t="s">
        <v>191</v>
      </c>
      <c r="Q31">
        <v>1</v>
      </c>
      <c r="X31">
        <v>80.95</v>
      </c>
      <c r="Y31">
        <v>4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93</v>
      </c>
      <c r="AG31">
        <v>0</v>
      </c>
      <c r="AH31">
        <v>2</v>
      </c>
      <c r="AI31">
        <v>145040974</v>
      </c>
      <c r="AJ31">
        <v>29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ROW(Source!A41)</f>
        <v>41</v>
      </c>
      <c r="B32">
        <v>145040975</v>
      </c>
      <c r="C32">
        <v>145040937</v>
      </c>
      <c r="D32">
        <v>140789482</v>
      </c>
      <c r="E32">
        <v>1</v>
      </c>
      <c r="F32">
        <v>1</v>
      </c>
      <c r="G32">
        <v>1</v>
      </c>
      <c r="H32">
        <v>3</v>
      </c>
      <c r="I32" t="s">
        <v>194</v>
      </c>
      <c r="J32" t="s">
        <v>196</v>
      </c>
      <c r="K32" t="s">
        <v>195</v>
      </c>
      <c r="L32">
        <v>1301</v>
      </c>
      <c r="N32">
        <v>1003</v>
      </c>
      <c r="O32" t="s">
        <v>191</v>
      </c>
      <c r="P32" t="s">
        <v>191</v>
      </c>
      <c r="Q32">
        <v>1</v>
      </c>
      <c r="X32">
        <v>171.83</v>
      </c>
      <c r="Y32">
        <v>5.5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93</v>
      </c>
      <c r="AG32">
        <v>0</v>
      </c>
      <c r="AH32">
        <v>2</v>
      </c>
      <c r="AI32">
        <v>145040975</v>
      </c>
      <c r="AJ32">
        <v>30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ROW(Source!A41)</f>
        <v>41</v>
      </c>
      <c r="B33">
        <v>145040976</v>
      </c>
      <c r="C33">
        <v>145040937</v>
      </c>
      <c r="D33">
        <v>140789572</v>
      </c>
      <c r="E33">
        <v>1</v>
      </c>
      <c r="F33">
        <v>1</v>
      </c>
      <c r="G33">
        <v>1</v>
      </c>
      <c r="H33">
        <v>3</v>
      </c>
      <c r="I33" t="s">
        <v>198</v>
      </c>
      <c r="J33" t="s">
        <v>200</v>
      </c>
      <c r="K33" t="s">
        <v>199</v>
      </c>
      <c r="L33">
        <v>1425</v>
      </c>
      <c r="N33">
        <v>1013</v>
      </c>
      <c r="O33" t="s">
        <v>21</v>
      </c>
      <c r="P33" t="s">
        <v>21</v>
      </c>
      <c r="Q33">
        <v>1</v>
      </c>
      <c r="X33">
        <v>2.14</v>
      </c>
      <c r="Y33">
        <v>68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93</v>
      </c>
      <c r="AG33">
        <v>0</v>
      </c>
      <c r="AH33">
        <v>2</v>
      </c>
      <c r="AI33">
        <v>145040976</v>
      </c>
      <c r="AJ33">
        <v>31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ROW(Source!A41)</f>
        <v>41</v>
      </c>
      <c r="B34">
        <v>145040977</v>
      </c>
      <c r="C34">
        <v>145040937</v>
      </c>
      <c r="D34">
        <v>140789614</v>
      </c>
      <c r="E34">
        <v>1</v>
      </c>
      <c r="F34">
        <v>1</v>
      </c>
      <c r="G34">
        <v>1</v>
      </c>
      <c r="H34">
        <v>3</v>
      </c>
      <c r="I34" t="s">
        <v>202</v>
      </c>
      <c r="J34" t="s">
        <v>204</v>
      </c>
      <c r="K34" t="s">
        <v>203</v>
      </c>
      <c r="L34">
        <v>1425</v>
      </c>
      <c r="N34">
        <v>1013</v>
      </c>
      <c r="O34" t="s">
        <v>21</v>
      </c>
      <c r="P34" t="s">
        <v>21</v>
      </c>
      <c r="Q34">
        <v>1</v>
      </c>
      <c r="X34">
        <v>0.36</v>
      </c>
      <c r="Y34">
        <v>160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F34" t="s">
        <v>93</v>
      </c>
      <c r="AG34">
        <v>0</v>
      </c>
      <c r="AH34">
        <v>2</v>
      </c>
      <c r="AI34">
        <v>145040977</v>
      </c>
      <c r="AJ34">
        <v>32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ROW(Source!A41)</f>
        <v>41</v>
      </c>
      <c r="B35">
        <v>145040978</v>
      </c>
      <c r="C35">
        <v>145040937</v>
      </c>
      <c r="D35">
        <v>140804066</v>
      </c>
      <c r="E35">
        <v>1</v>
      </c>
      <c r="F35">
        <v>1</v>
      </c>
      <c r="G35">
        <v>1</v>
      </c>
      <c r="H35">
        <v>3</v>
      </c>
      <c r="I35" t="s">
        <v>657</v>
      </c>
      <c r="J35" t="s">
        <v>658</v>
      </c>
      <c r="K35" t="s">
        <v>659</v>
      </c>
      <c r="L35">
        <v>1346</v>
      </c>
      <c r="N35">
        <v>1009</v>
      </c>
      <c r="O35" t="s">
        <v>154</v>
      </c>
      <c r="P35" t="s">
        <v>154</v>
      </c>
      <c r="Q35">
        <v>1</v>
      </c>
      <c r="X35">
        <v>0.56999999999999995</v>
      </c>
      <c r="Y35">
        <v>13.08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F35" t="s">
        <v>93</v>
      </c>
      <c r="AG35">
        <v>0</v>
      </c>
      <c r="AH35">
        <v>2</v>
      </c>
      <c r="AI35">
        <v>145040978</v>
      </c>
      <c r="AJ35">
        <v>33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ROW(Source!A41)</f>
        <v>41</v>
      </c>
      <c r="B36">
        <v>145040979</v>
      </c>
      <c r="C36">
        <v>145040937</v>
      </c>
      <c r="D36">
        <v>140805258</v>
      </c>
      <c r="E36">
        <v>1</v>
      </c>
      <c r="F36">
        <v>1</v>
      </c>
      <c r="G36">
        <v>1</v>
      </c>
      <c r="H36">
        <v>3</v>
      </c>
      <c r="I36" t="s">
        <v>660</v>
      </c>
      <c r="J36" t="s">
        <v>661</v>
      </c>
      <c r="K36" t="s">
        <v>662</v>
      </c>
      <c r="L36">
        <v>1346</v>
      </c>
      <c r="N36">
        <v>1009</v>
      </c>
      <c r="O36" t="s">
        <v>154</v>
      </c>
      <c r="P36" t="s">
        <v>154</v>
      </c>
      <c r="Q36">
        <v>1</v>
      </c>
      <c r="X36">
        <v>41.4</v>
      </c>
      <c r="Y36">
        <v>2.7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 t="s">
        <v>93</v>
      </c>
      <c r="AG36">
        <v>0</v>
      </c>
      <c r="AH36">
        <v>2</v>
      </c>
      <c r="AI36">
        <v>145040979</v>
      </c>
      <c r="AJ36">
        <v>34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ROW(Source!A42)</f>
        <v>42</v>
      </c>
      <c r="B37">
        <v>145106338</v>
      </c>
      <c r="C37">
        <v>145106337</v>
      </c>
      <c r="D37">
        <v>140760008</v>
      </c>
      <c r="E37">
        <v>70</v>
      </c>
      <c r="F37">
        <v>1</v>
      </c>
      <c r="G37">
        <v>1</v>
      </c>
      <c r="H37">
        <v>1</v>
      </c>
      <c r="I37" t="s">
        <v>663</v>
      </c>
      <c r="J37" t="s">
        <v>3</v>
      </c>
      <c r="K37" t="s">
        <v>664</v>
      </c>
      <c r="L37">
        <v>1191</v>
      </c>
      <c r="N37">
        <v>1013</v>
      </c>
      <c r="O37" t="s">
        <v>608</v>
      </c>
      <c r="P37" t="s">
        <v>608</v>
      </c>
      <c r="Q37">
        <v>1</v>
      </c>
      <c r="X37">
        <v>49.75</v>
      </c>
      <c r="Y37">
        <v>0</v>
      </c>
      <c r="Z37">
        <v>0</v>
      </c>
      <c r="AA37">
        <v>0</v>
      </c>
      <c r="AB37">
        <v>9.18</v>
      </c>
      <c r="AC37">
        <v>0</v>
      </c>
      <c r="AD37">
        <v>1</v>
      </c>
      <c r="AE37">
        <v>1</v>
      </c>
      <c r="AF37" t="s">
        <v>94</v>
      </c>
      <c r="AG37">
        <v>39.800000000000004</v>
      </c>
      <c r="AH37">
        <v>2</v>
      </c>
      <c r="AI37">
        <v>145106338</v>
      </c>
      <c r="AJ37">
        <v>35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ROW(Source!A42)</f>
        <v>42</v>
      </c>
      <c r="B38">
        <v>145106339</v>
      </c>
      <c r="C38">
        <v>145106337</v>
      </c>
      <c r="D38">
        <v>140760225</v>
      </c>
      <c r="E38">
        <v>70</v>
      </c>
      <c r="F38">
        <v>1</v>
      </c>
      <c r="G38">
        <v>1</v>
      </c>
      <c r="H38">
        <v>1</v>
      </c>
      <c r="I38" t="s">
        <v>609</v>
      </c>
      <c r="J38" t="s">
        <v>3</v>
      </c>
      <c r="K38" t="s">
        <v>610</v>
      </c>
      <c r="L38">
        <v>1191</v>
      </c>
      <c r="N38">
        <v>1013</v>
      </c>
      <c r="O38" t="s">
        <v>608</v>
      </c>
      <c r="P38" t="s">
        <v>608</v>
      </c>
      <c r="Q38">
        <v>1</v>
      </c>
      <c r="X38">
        <v>0.16</v>
      </c>
      <c r="Y38">
        <v>0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2</v>
      </c>
      <c r="AF38" t="s">
        <v>94</v>
      </c>
      <c r="AG38">
        <v>0.128</v>
      </c>
      <c r="AH38">
        <v>2</v>
      </c>
      <c r="AI38">
        <v>145106339</v>
      </c>
      <c r="AJ38">
        <v>36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ROW(Source!A42)</f>
        <v>42</v>
      </c>
      <c r="B39">
        <v>145106340</v>
      </c>
      <c r="C39">
        <v>145106337</v>
      </c>
      <c r="D39">
        <v>140923107</v>
      </c>
      <c r="E39">
        <v>1</v>
      </c>
      <c r="F39">
        <v>1</v>
      </c>
      <c r="G39">
        <v>1</v>
      </c>
      <c r="H39">
        <v>2</v>
      </c>
      <c r="I39" t="s">
        <v>665</v>
      </c>
      <c r="J39" t="s">
        <v>666</v>
      </c>
      <c r="K39" t="s">
        <v>667</v>
      </c>
      <c r="L39">
        <v>1367</v>
      </c>
      <c r="N39">
        <v>1011</v>
      </c>
      <c r="O39" t="s">
        <v>614</v>
      </c>
      <c r="P39" t="s">
        <v>614</v>
      </c>
      <c r="Q39">
        <v>1</v>
      </c>
      <c r="X39">
        <v>2.1999999999999999E-2</v>
      </c>
      <c r="Y39">
        <v>0</v>
      </c>
      <c r="Z39">
        <v>82.31</v>
      </c>
      <c r="AA39">
        <v>10.06</v>
      </c>
      <c r="AB39">
        <v>0</v>
      </c>
      <c r="AC39">
        <v>0</v>
      </c>
      <c r="AD39">
        <v>1</v>
      </c>
      <c r="AE39">
        <v>0</v>
      </c>
      <c r="AF39" t="s">
        <v>94</v>
      </c>
      <c r="AG39">
        <v>1.7600000000000001E-2</v>
      </c>
      <c r="AH39">
        <v>2</v>
      </c>
      <c r="AI39">
        <v>145106340</v>
      </c>
      <c r="AJ39">
        <v>37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ROW(Source!A42)</f>
        <v>42</v>
      </c>
      <c r="B40">
        <v>145106341</v>
      </c>
      <c r="C40">
        <v>145106337</v>
      </c>
      <c r="D40">
        <v>140923145</v>
      </c>
      <c r="E40">
        <v>1</v>
      </c>
      <c r="F40">
        <v>1</v>
      </c>
      <c r="G40">
        <v>1</v>
      </c>
      <c r="H40">
        <v>2</v>
      </c>
      <c r="I40" t="s">
        <v>611</v>
      </c>
      <c r="J40" t="s">
        <v>612</v>
      </c>
      <c r="K40" t="s">
        <v>613</v>
      </c>
      <c r="L40">
        <v>1367</v>
      </c>
      <c r="N40">
        <v>1011</v>
      </c>
      <c r="O40" t="s">
        <v>614</v>
      </c>
      <c r="P40" t="s">
        <v>614</v>
      </c>
      <c r="Q40">
        <v>1</v>
      </c>
      <c r="X40">
        <v>0.11</v>
      </c>
      <c r="Y40">
        <v>0</v>
      </c>
      <c r="Z40">
        <v>31.26</v>
      </c>
      <c r="AA40">
        <v>13.5</v>
      </c>
      <c r="AB40">
        <v>0</v>
      </c>
      <c r="AC40">
        <v>0</v>
      </c>
      <c r="AD40">
        <v>1</v>
      </c>
      <c r="AE40">
        <v>0</v>
      </c>
      <c r="AF40" t="s">
        <v>94</v>
      </c>
      <c r="AG40">
        <v>8.8000000000000009E-2</v>
      </c>
      <c r="AH40">
        <v>2</v>
      </c>
      <c r="AI40">
        <v>145106341</v>
      </c>
      <c r="AJ40">
        <v>38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ROW(Source!A42)</f>
        <v>42</v>
      </c>
      <c r="B41">
        <v>145106342</v>
      </c>
      <c r="C41">
        <v>145106337</v>
      </c>
      <c r="D41">
        <v>140923885</v>
      </c>
      <c r="E41">
        <v>1</v>
      </c>
      <c r="F41">
        <v>1</v>
      </c>
      <c r="G41">
        <v>1</v>
      </c>
      <c r="H41">
        <v>2</v>
      </c>
      <c r="I41" t="s">
        <v>668</v>
      </c>
      <c r="J41" t="s">
        <v>669</v>
      </c>
      <c r="K41" t="s">
        <v>670</v>
      </c>
      <c r="L41">
        <v>1367</v>
      </c>
      <c r="N41">
        <v>1011</v>
      </c>
      <c r="O41" t="s">
        <v>614</v>
      </c>
      <c r="P41" t="s">
        <v>614</v>
      </c>
      <c r="Q41">
        <v>1</v>
      </c>
      <c r="X41">
        <v>0.03</v>
      </c>
      <c r="Y41">
        <v>0</v>
      </c>
      <c r="Z41">
        <v>65.709999999999994</v>
      </c>
      <c r="AA41">
        <v>11.6</v>
      </c>
      <c r="AB41">
        <v>0</v>
      </c>
      <c r="AC41">
        <v>0</v>
      </c>
      <c r="AD41">
        <v>1</v>
      </c>
      <c r="AE41">
        <v>0</v>
      </c>
      <c r="AF41" t="s">
        <v>94</v>
      </c>
      <c r="AG41">
        <v>2.4E-2</v>
      </c>
      <c r="AH41">
        <v>2</v>
      </c>
      <c r="AI41">
        <v>145106342</v>
      </c>
      <c r="AJ41">
        <v>39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ROW(Source!A42)</f>
        <v>42</v>
      </c>
      <c r="B42">
        <v>145106343</v>
      </c>
      <c r="C42">
        <v>145106337</v>
      </c>
      <c r="D42">
        <v>140775118</v>
      </c>
      <c r="E42">
        <v>1</v>
      </c>
      <c r="F42">
        <v>1</v>
      </c>
      <c r="G42">
        <v>1</v>
      </c>
      <c r="H42">
        <v>3</v>
      </c>
      <c r="I42" t="s">
        <v>671</v>
      </c>
      <c r="J42" t="s">
        <v>672</v>
      </c>
      <c r="K42" t="s">
        <v>673</v>
      </c>
      <c r="L42">
        <v>1348</v>
      </c>
      <c r="N42">
        <v>1009</v>
      </c>
      <c r="O42" t="s">
        <v>49</v>
      </c>
      <c r="P42" t="s">
        <v>49</v>
      </c>
      <c r="Q42">
        <v>1000</v>
      </c>
      <c r="X42">
        <v>1.1E-4</v>
      </c>
      <c r="Y42">
        <v>11978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93</v>
      </c>
      <c r="AG42">
        <v>0</v>
      </c>
      <c r="AH42">
        <v>2</v>
      </c>
      <c r="AI42">
        <v>145106343</v>
      </c>
      <c r="AJ42">
        <v>40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ROW(Source!A42)</f>
        <v>42</v>
      </c>
      <c r="B43">
        <v>145106344</v>
      </c>
      <c r="C43">
        <v>145106337</v>
      </c>
      <c r="D43">
        <v>140775542</v>
      </c>
      <c r="E43">
        <v>1</v>
      </c>
      <c r="F43">
        <v>1</v>
      </c>
      <c r="G43">
        <v>1</v>
      </c>
      <c r="H43">
        <v>3</v>
      </c>
      <c r="I43" t="s">
        <v>674</v>
      </c>
      <c r="J43" t="s">
        <v>675</v>
      </c>
      <c r="K43" t="s">
        <v>676</v>
      </c>
      <c r="L43">
        <v>1348</v>
      </c>
      <c r="N43">
        <v>1009</v>
      </c>
      <c r="O43" t="s">
        <v>49</v>
      </c>
      <c r="P43" t="s">
        <v>49</v>
      </c>
      <c r="Q43">
        <v>1000</v>
      </c>
      <c r="X43">
        <v>9.0000000000000006E-5</v>
      </c>
      <c r="Y43">
        <v>17555.75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F43" t="s">
        <v>93</v>
      </c>
      <c r="AG43">
        <v>0</v>
      </c>
      <c r="AH43">
        <v>2</v>
      </c>
      <c r="AI43">
        <v>145106344</v>
      </c>
      <c r="AJ43">
        <v>41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ROW(Source!A42)</f>
        <v>42</v>
      </c>
      <c r="B44">
        <v>145106345</v>
      </c>
      <c r="C44">
        <v>145106337</v>
      </c>
      <c r="D44">
        <v>140775863</v>
      </c>
      <c r="E44">
        <v>1</v>
      </c>
      <c r="F44">
        <v>1</v>
      </c>
      <c r="G44">
        <v>1</v>
      </c>
      <c r="H44">
        <v>3</v>
      </c>
      <c r="I44" t="s">
        <v>677</v>
      </c>
      <c r="J44" t="s">
        <v>678</v>
      </c>
      <c r="K44" t="s">
        <v>679</v>
      </c>
      <c r="L44">
        <v>1327</v>
      </c>
      <c r="N44">
        <v>1005</v>
      </c>
      <c r="O44" t="s">
        <v>72</v>
      </c>
      <c r="P44" t="s">
        <v>72</v>
      </c>
      <c r="Q44">
        <v>1</v>
      </c>
      <c r="X44">
        <v>0.5</v>
      </c>
      <c r="Y44">
        <v>72.319999999999993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F44" t="s">
        <v>93</v>
      </c>
      <c r="AG44">
        <v>0</v>
      </c>
      <c r="AH44">
        <v>2</v>
      </c>
      <c r="AI44">
        <v>145106345</v>
      </c>
      <c r="AJ44">
        <v>42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ROW(Source!A42)</f>
        <v>42</v>
      </c>
      <c r="B45">
        <v>145106346</v>
      </c>
      <c r="C45">
        <v>145106337</v>
      </c>
      <c r="D45">
        <v>140776226</v>
      </c>
      <c r="E45">
        <v>1</v>
      </c>
      <c r="F45">
        <v>1</v>
      </c>
      <c r="G45">
        <v>1</v>
      </c>
      <c r="H45">
        <v>3</v>
      </c>
      <c r="I45" t="s">
        <v>680</v>
      </c>
      <c r="J45" t="s">
        <v>681</v>
      </c>
      <c r="K45" t="s">
        <v>682</v>
      </c>
      <c r="L45">
        <v>1346</v>
      </c>
      <c r="N45">
        <v>1009</v>
      </c>
      <c r="O45" t="s">
        <v>154</v>
      </c>
      <c r="P45" t="s">
        <v>154</v>
      </c>
      <c r="Q45">
        <v>1</v>
      </c>
      <c r="X45">
        <v>0.26</v>
      </c>
      <c r="Y45">
        <v>1.82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F45" t="s">
        <v>93</v>
      </c>
      <c r="AG45">
        <v>0</v>
      </c>
      <c r="AH45">
        <v>2</v>
      </c>
      <c r="AI45">
        <v>145106346</v>
      </c>
      <c r="AJ45">
        <v>43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ROW(Source!A42)</f>
        <v>42</v>
      </c>
      <c r="B46">
        <v>145106347</v>
      </c>
      <c r="C46">
        <v>145106337</v>
      </c>
      <c r="D46">
        <v>140796354</v>
      </c>
      <c r="E46">
        <v>1</v>
      </c>
      <c r="F46">
        <v>1</v>
      </c>
      <c r="G46">
        <v>1</v>
      </c>
      <c r="H46">
        <v>3</v>
      </c>
      <c r="I46" t="s">
        <v>683</v>
      </c>
      <c r="J46" t="s">
        <v>684</v>
      </c>
      <c r="K46" t="s">
        <v>685</v>
      </c>
      <c r="L46">
        <v>1339</v>
      </c>
      <c r="N46">
        <v>1007</v>
      </c>
      <c r="O46" t="s">
        <v>638</v>
      </c>
      <c r="P46" t="s">
        <v>638</v>
      </c>
      <c r="Q46">
        <v>1</v>
      </c>
      <c r="X46">
        <v>5.0000000000000001E-3</v>
      </c>
      <c r="Y46">
        <v>1056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93</v>
      </c>
      <c r="AG46">
        <v>0</v>
      </c>
      <c r="AH46">
        <v>2</v>
      </c>
      <c r="AI46">
        <v>145106347</v>
      </c>
      <c r="AJ46">
        <v>44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ROW(Source!A42)</f>
        <v>42</v>
      </c>
      <c r="B47">
        <v>145106348</v>
      </c>
      <c r="C47">
        <v>145106337</v>
      </c>
      <c r="D47">
        <v>140762635</v>
      </c>
      <c r="E47">
        <v>70</v>
      </c>
      <c r="F47">
        <v>1</v>
      </c>
      <c r="G47">
        <v>1</v>
      </c>
      <c r="H47">
        <v>3</v>
      </c>
      <c r="I47" t="s">
        <v>819</v>
      </c>
      <c r="J47" t="s">
        <v>3</v>
      </c>
      <c r="K47" t="s">
        <v>820</v>
      </c>
      <c r="L47">
        <v>1339</v>
      </c>
      <c r="N47">
        <v>1007</v>
      </c>
      <c r="O47" t="s">
        <v>638</v>
      </c>
      <c r="P47" t="s">
        <v>638</v>
      </c>
      <c r="Q47">
        <v>1</v>
      </c>
      <c r="X47">
        <v>0.03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 t="s">
        <v>93</v>
      </c>
      <c r="AG47">
        <v>0</v>
      </c>
      <c r="AH47">
        <v>3</v>
      </c>
      <c r="AI47">
        <v>-1</v>
      </c>
      <c r="AJ47" t="s">
        <v>3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ROW(Source!A42)</f>
        <v>42</v>
      </c>
      <c r="B48">
        <v>145106349</v>
      </c>
      <c r="C48">
        <v>145106337</v>
      </c>
      <c r="D48">
        <v>140762712</v>
      </c>
      <c r="E48">
        <v>70</v>
      </c>
      <c r="F48">
        <v>1</v>
      </c>
      <c r="G48">
        <v>1</v>
      </c>
      <c r="H48">
        <v>3</v>
      </c>
      <c r="I48" t="s">
        <v>821</v>
      </c>
      <c r="J48" t="s">
        <v>3</v>
      </c>
      <c r="K48" t="s">
        <v>822</v>
      </c>
      <c r="L48">
        <v>1327</v>
      </c>
      <c r="N48">
        <v>1005</v>
      </c>
      <c r="O48" t="s">
        <v>72</v>
      </c>
      <c r="P48" t="s">
        <v>72</v>
      </c>
      <c r="Q48">
        <v>1</v>
      </c>
      <c r="X48">
        <v>101.4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 t="s">
        <v>93</v>
      </c>
      <c r="AG48">
        <v>0</v>
      </c>
      <c r="AH48">
        <v>3</v>
      </c>
      <c r="AI48">
        <v>-1</v>
      </c>
      <c r="AJ48" t="s">
        <v>3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ROW(Source!A42)</f>
        <v>42</v>
      </c>
      <c r="B49">
        <v>145106350</v>
      </c>
      <c r="C49">
        <v>145106337</v>
      </c>
      <c r="D49">
        <v>140798269</v>
      </c>
      <c r="E49">
        <v>1</v>
      </c>
      <c r="F49">
        <v>1</v>
      </c>
      <c r="G49">
        <v>1</v>
      </c>
      <c r="H49">
        <v>3</v>
      </c>
      <c r="I49" t="s">
        <v>686</v>
      </c>
      <c r="J49" t="s">
        <v>687</v>
      </c>
      <c r="K49" t="s">
        <v>688</v>
      </c>
      <c r="L49">
        <v>1301</v>
      </c>
      <c r="N49">
        <v>1003</v>
      </c>
      <c r="O49" t="s">
        <v>191</v>
      </c>
      <c r="P49" t="s">
        <v>191</v>
      </c>
      <c r="Q49">
        <v>1</v>
      </c>
      <c r="X49">
        <v>40.4</v>
      </c>
      <c r="Y49">
        <v>5.3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93</v>
      </c>
      <c r="AG49">
        <v>0</v>
      </c>
      <c r="AH49">
        <v>2</v>
      </c>
      <c r="AI49">
        <v>145106350</v>
      </c>
      <c r="AJ49">
        <v>45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ROW(Source!A42)</f>
        <v>42</v>
      </c>
      <c r="B50">
        <v>145106351</v>
      </c>
      <c r="C50">
        <v>145106337</v>
      </c>
      <c r="D50">
        <v>140798270</v>
      </c>
      <c r="E50">
        <v>1</v>
      </c>
      <c r="F50">
        <v>1</v>
      </c>
      <c r="G50">
        <v>1</v>
      </c>
      <c r="H50">
        <v>3</v>
      </c>
      <c r="I50" t="s">
        <v>689</v>
      </c>
      <c r="J50" t="s">
        <v>690</v>
      </c>
      <c r="K50" t="s">
        <v>691</v>
      </c>
      <c r="L50">
        <v>1301</v>
      </c>
      <c r="N50">
        <v>1003</v>
      </c>
      <c r="O50" t="s">
        <v>191</v>
      </c>
      <c r="P50" t="s">
        <v>191</v>
      </c>
      <c r="Q50">
        <v>1</v>
      </c>
      <c r="X50">
        <v>88.21</v>
      </c>
      <c r="Y50">
        <v>5.3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93</v>
      </c>
      <c r="AG50">
        <v>0</v>
      </c>
      <c r="AH50">
        <v>2</v>
      </c>
      <c r="AI50">
        <v>145106351</v>
      </c>
      <c r="AJ50">
        <v>46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ROW(Source!A42)</f>
        <v>42</v>
      </c>
      <c r="B51">
        <v>145106352</v>
      </c>
      <c r="C51">
        <v>145106337</v>
      </c>
      <c r="D51">
        <v>140803186</v>
      </c>
      <c r="E51">
        <v>1</v>
      </c>
      <c r="F51">
        <v>1</v>
      </c>
      <c r="G51">
        <v>1</v>
      </c>
      <c r="H51">
        <v>3</v>
      </c>
      <c r="I51" t="s">
        <v>692</v>
      </c>
      <c r="J51" t="s">
        <v>693</v>
      </c>
      <c r="K51" t="s">
        <v>694</v>
      </c>
      <c r="L51">
        <v>1346</v>
      </c>
      <c r="N51">
        <v>1009</v>
      </c>
      <c r="O51" t="s">
        <v>154</v>
      </c>
      <c r="P51" t="s">
        <v>154</v>
      </c>
      <c r="Q51">
        <v>1</v>
      </c>
      <c r="X51">
        <v>0.36</v>
      </c>
      <c r="Y51">
        <v>15.9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93</v>
      </c>
      <c r="AG51">
        <v>0</v>
      </c>
      <c r="AH51">
        <v>2</v>
      </c>
      <c r="AI51">
        <v>145106352</v>
      </c>
      <c r="AJ51">
        <v>47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ROW(Source!A42)</f>
        <v>42</v>
      </c>
      <c r="B52">
        <v>145106353</v>
      </c>
      <c r="C52">
        <v>145106337</v>
      </c>
      <c r="D52">
        <v>140763391</v>
      </c>
      <c r="E52">
        <v>70</v>
      </c>
      <c r="F52">
        <v>1</v>
      </c>
      <c r="G52">
        <v>1</v>
      </c>
      <c r="H52">
        <v>3</v>
      </c>
      <c r="I52" t="s">
        <v>823</v>
      </c>
      <c r="J52" t="s">
        <v>3</v>
      </c>
      <c r="K52" t="s">
        <v>824</v>
      </c>
      <c r="L52">
        <v>1348</v>
      </c>
      <c r="N52">
        <v>1009</v>
      </c>
      <c r="O52" t="s">
        <v>49</v>
      </c>
      <c r="P52" t="s">
        <v>49</v>
      </c>
      <c r="Q52">
        <v>1000</v>
      </c>
      <c r="X52">
        <v>1.2600000000000001E-3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 t="s">
        <v>93</v>
      </c>
      <c r="AG52">
        <v>0</v>
      </c>
      <c r="AH52">
        <v>3</v>
      </c>
      <c r="AI52">
        <v>-1</v>
      </c>
      <c r="AJ52" t="s">
        <v>3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ROW(Source!A42)</f>
        <v>42</v>
      </c>
      <c r="B53">
        <v>145106354</v>
      </c>
      <c r="C53">
        <v>145106337</v>
      </c>
      <c r="D53">
        <v>140805027</v>
      </c>
      <c r="E53">
        <v>1</v>
      </c>
      <c r="F53">
        <v>1</v>
      </c>
      <c r="G53">
        <v>1</v>
      </c>
      <c r="H53">
        <v>3</v>
      </c>
      <c r="I53" t="s">
        <v>695</v>
      </c>
      <c r="J53" t="s">
        <v>696</v>
      </c>
      <c r="K53" t="s">
        <v>697</v>
      </c>
      <c r="L53">
        <v>1348</v>
      </c>
      <c r="N53">
        <v>1009</v>
      </c>
      <c r="O53" t="s">
        <v>49</v>
      </c>
      <c r="P53" t="s">
        <v>49</v>
      </c>
      <c r="Q53">
        <v>1000</v>
      </c>
      <c r="X53">
        <v>3.2599999999999999E-3</v>
      </c>
      <c r="Y53">
        <v>15255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93</v>
      </c>
      <c r="AG53">
        <v>0</v>
      </c>
      <c r="AH53">
        <v>2</v>
      </c>
      <c r="AI53">
        <v>145106354</v>
      </c>
      <c r="AJ53">
        <v>48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ROW(Source!A43)</f>
        <v>43</v>
      </c>
      <c r="B54">
        <v>145027177</v>
      </c>
      <c r="C54">
        <v>145027154</v>
      </c>
      <c r="D54">
        <v>140760008</v>
      </c>
      <c r="E54">
        <v>70</v>
      </c>
      <c r="F54">
        <v>1</v>
      </c>
      <c r="G54">
        <v>1</v>
      </c>
      <c r="H54">
        <v>1</v>
      </c>
      <c r="I54" t="s">
        <v>663</v>
      </c>
      <c r="J54" t="s">
        <v>3</v>
      </c>
      <c r="K54" t="s">
        <v>664</v>
      </c>
      <c r="L54">
        <v>1191</v>
      </c>
      <c r="N54">
        <v>1013</v>
      </c>
      <c r="O54" t="s">
        <v>608</v>
      </c>
      <c r="P54" t="s">
        <v>608</v>
      </c>
      <c r="Q54">
        <v>1</v>
      </c>
      <c r="X54">
        <v>142.46</v>
      </c>
      <c r="Y54">
        <v>0</v>
      </c>
      <c r="Z54">
        <v>0</v>
      </c>
      <c r="AA54">
        <v>0</v>
      </c>
      <c r="AB54">
        <v>9.18</v>
      </c>
      <c r="AC54">
        <v>0</v>
      </c>
      <c r="AD54">
        <v>1</v>
      </c>
      <c r="AE54">
        <v>1</v>
      </c>
      <c r="AF54" t="s">
        <v>3</v>
      </c>
      <c r="AG54">
        <v>142.46</v>
      </c>
      <c r="AH54">
        <v>2</v>
      </c>
      <c r="AI54">
        <v>145027155</v>
      </c>
      <c r="AJ54">
        <v>49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ROW(Source!A43)</f>
        <v>43</v>
      </c>
      <c r="B55">
        <v>145027178</v>
      </c>
      <c r="C55">
        <v>145027154</v>
      </c>
      <c r="D55">
        <v>140760225</v>
      </c>
      <c r="E55">
        <v>70</v>
      </c>
      <c r="F55">
        <v>1</v>
      </c>
      <c r="G55">
        <v>1</v>
      </c>
      <c r="H55">
        <v>1</v>
      </c>
      <c r="I55" t="s">
        <v>609</v>
      </c>
      <c r="J55" t="s">
        <v>3</v>
      </c>
      <c r="K55" t="s">
        <v>610</v>
      </c>
      <c r="L55">
        <v>1191</v>
      </c>
      <c r="N55">
        <v>1013</v>
      </c>
      <c r="O55" t="s">
        <v>608</v>
      </c>
      <c r="P55" t="s">
        <v>608</v>
      </c>
      <c r="Q55">
        <v>1</v>
      </c>
      <c r="X55">
        <v>0.02</v>
      </c>
      <c r="Y55">
        <v>0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2</v>
      </c>
      <c r="AF55" t="s">
        <v>3</v>
      </c>
      <c r="AG55">
        <v>0.02</v>
      </c>
      <c r="AH55">
        <v>2</v>
      </c>
      <c r="AI55">
        <v>145027157</v>
      </c>
      <c r="AJ55">
        <v>50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ROW(Source!A43)</f>
        <v>43</v>
      </c>
      <c r="B56">
        <v>145027179</v>
      </c>
      <c r="C56">
        <v>145027154</v>
      </c>
      <c r="D56">
        <v>140923145</v>
      </c>
      <c r="E56">
        <v>1</v>
      </c>
      <c r="F56">
        <v>1</v>
      </c>
      <c r="G56">
        <v>1</v>
      </c>
      <c r="H56">
        <v>2</v>
      </c>
      <c r="I56" t="s">
        <v>611</v>
      </c>
      <c r="J56" t="s">
        <v>612</v>
      </c>
      <c r="K56" t="s">
        <v>613</v>
      </c>
      <c r="L56">
        <v>1367</v>
      </c>
      <c r="N56">
        <v>1011</v>
      </c>
      <c r="O56" t="s">
        <v>614</v>
      </c>
      <c r="P56" t="s">
        <v>614</v>
      </c>
      <c r="Q56">
        <v>1</v>
      </c>
      <c r="X56">
        <v>0.02</v>
      </c>
      <c r="Y56">
        <v>0</v>
      </c>
      <c r="Z56">
        <v>31.26</v>
      </c>
      <c r="AA56">
        <v>13.5</v>
      </c>
      <c r="AB56">
        <v>0</v>
      </c>
      <c r="AC56">
        <v>0</v>
      </c>
      <c r="AD56">
        <v>1</v>
      </c>
      <c r="AE56">
        <v>0</v>
      </c>
      <c r="AF56" t="s">
        <v>3</v>
      </c>
      <c r="AG56">
        <v>0.02</v>
      </c>
      <c r="AH56">
        <v>2</v>
      </c>
      <c r="AI56">
        <v>145027158</v>
      </c>
      <c r="AJ56">
        <v>51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ROW(Source!A43)</f>
        <v>43</v>
      </c>
      <c r="B57">
        <v>145027180</v>
      </c>
      <c r="C57">
        <v>145027154</v>
      </c>
      <c r="D57">
        <v>140923885</v>
      </c>
      <c r="E57">
        <v>1</v>
      </c>
      <c r="F57">
        <v>1</v>
      </c>
      <c r="G57">
        <v>1</v>
      </c>
      <c r="H57">
        <v>2</v>
      </c>
      <c r="I57" t="s">
        <v>668</v>
      </c>
      <c r="J57" t="s">
        <v>669</v>
      </c>
      <c r="K57" t="s">
        <v>670</v>
      </c>
      <c r="L57">
        <v>1367</v>
      </c>
      <c r="N57">
        <v>1011</v>
      </c>
      <c r="O57" t="s">
        <v>614</v>
      </c>
      <c r="P57" t="s">
        <v>614</v>
      </c>
      <c r="Q57">
        <v>1</v>
      </c>
      <c r="X57">
        <v>2E-3</v>
      </c>
      <c r="Y57">
        <v>0</v>
      </c>
      <c r="Z57">
        <v>65.709999999999994</v>
      </c>
      <c r="AA57">
        <v>11.6</v>
      </c>
      <c r="AB57">
        <v>0</v>
      </c>
      <c r="AC57">
        <v>0</v>
      </c>
      <c r="AD57">
        <v>1</v>
      </c>
      <c r="AE57">
        <v>0</v>
      </c>
      <c r="AF57" t="s">
        <v>3</v>
      </c>
      <c r="AG57">
        <v>2E-3</v>
      </c>
      <c r="AH57">
        <v>2</v>
      </c>
      <c r="AI57">
        <v>145027160</v>
      </c>
      <c r="AJ57">
        <v>52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ROW(Source!A43)</f>
        <v>43</v>
      </c>
      <c r="B58">
        <v>145027181</v>
      </c>
      <c r="C58">
        <v>145027154</v>
      </c>
      <c r="D58">
        <v>140772533</v>
      </c>
      <c r="E58">
        <v>1</v>
      </c>
      <c r="F58">
        <v>1</v>
      </c>
      <c r="G58">
        <v>1</v>
      </c>
      <c r="H58">
        <v>3</v>
      </c>
      <c r="I58" t="s">
        <v>117</v>
      </c>
      <c r="J58" t="s">
        <v>119</v>
      </c>
      <c r="K58" t="s">
        <v>118</v>
      </c>
      <c r="L58">
        <v>1327</v>
      </c>
      <c r="N58">
        <v>1005</v>
      </c>
      <c r="O58" t="s">
        <v>72</v>
      </c>
      <c r="P58" t="s">
        <v>72</v>
      </c>
      <c r="Q58">
        <v>1</v>
      </c>
      <c r="X58">
        <v>103</v>
      </c>
      <c r="Y58">
        <v>42.94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F58" t="s">
        <v>3</v>
      </c>
      <c r="AG58">
        <v>103</v>
      </c>
      <c r="AH58">
        <v>2</v>
      </c>
      <c r="AI58">
        <v>145027166</v>
      </c>
      <c r="AJ58">
        <v>53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ROW(Source!A43)</f>
        <v>43</v>
      </c>
      <c r="B59">
        <v>145027182</v>
      </c>
      <c r="C59">
        <v>145027154</v>
      </c>
      <c r="D59">
        <v>140775183</v>
      </c>
      <c r="E59">
        <v>1</v>
      </c>
      <c r="F59">
        <v>1</v>
      </c>
      <c r="G59">
        <v>1</v>
      </c>
      <c r="H59">
        <v>3</v>
      </c>
      <c r="I59" t="s">
        <v>121</v>
      </c>
      <c r="J59" t="s">
        <v>123</v>
      </c>
      <c r="K59" t="s">
        <v>122</v>
      </c>
      <c r="L59">
        <v>1425</v>
      </c>
      <c r="N59">
        <v>1013</v>
      </c>
      <c r="O59" t="s">
        <v>21</v>
      </c>
      <c r="P59" t="s">
        <v>21</v>
      </c>
      <c r="Q59">
        <v>1</v>
      </c>
      <c r="X59">
        <v>3.03</v>
      </c>
      <c r="Y59">
        <v>70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3.03</v>
      </c>
      <c r="AH59">
        <v>2</v>
      </c>
      <c r="AI59">
        <v>145027174</v>
      </c>
      <c r="AJ59">
        <v>54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ROW(Source!A43)</f>
        <v>43</v>
      </c>
      <c r="B60">
        <v>145027183</v>
      </c>
      <c r="C60">
        <v>145027154</v>
      </c>
      <c r="D60">
        <v>140793429</v>
      </c>
      <c r="E60">
        <v>1</v>
      </c>
      <c r="F60">
        <v>1</v>
      </c>
      <c r="G60">
        <v>1</v>
      </c>
      <c r="H60">
        <v>3</v>
      </c>
      <c r="I60" t="s">
        <v>125</v>
      </c>
      <c r="J60" t="s">
        <v>127</v>
      </c>
      <c r="K60" t="s">
        <v>126</v>
      </c>
      <c r="L60">
        <v>1425</v>
      </c>
      <c r="N60">
        <v>1013</v>
      </c>
      <c r="O60" t="s">
        <v>21</v>
      </c>
      <c r="P60" t="s">
        <v>21</v>
      </c>
      <c r="Q60">
        <v>1</v>
      </c>
      <c r="X60">
        <v>0.7</v>
      </c>
      <c r="Y60">
        <v>366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0.7</v>
      </c>
      <c r="AH60">
        <v>2</v>
      </c>
      <c r="AI60">
        <v>145027175</v>
      </c>
      <c r="AJ60">
        <v>55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ROW(Source!A43)</f>
        <v>43</v>
      </c>
      <c r="B61">
        <v>145027184</v>
      </c>
      <c r="C61">
        <v>145027154</v>
      </c>
      <c r="D61">
        <v>140765019</v>
      </c>
      <c r="E61">
        <v>70</v>
      </c>
      <c r="F61">
        <v>1</v>
      </c>
      <c r="G61">
        <v>1</v>
      </c>
      <c r="H61">
        <v>3</v>
      </c>
      <c r="I61" t="s">
        <v>114</v>
      </c>
      <c r="J61" t="s">
        <v>3</v>
      </c>
      <c r="K61" t="s">
        <v>115</v>
      </c>
      <c r="L61">
        <v>1348</v>
      </c>
      <c r="N61">
        <v>1009</v>
      </c>
      <c r="O61" t="s">
        <v>49</v>
      </c>
      <c r="P61" t="s">
        <v>49</v>
      </c>
      <c r="Q61">
        <v>1000</v>
      </c>
      <c r="X61">
        <v>0.25620999999999999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 t="s">
        <v>3</v>
      </c>
      <c r="AG61">
        <v>0.25620999999999999</v>
      </c>
      <c r="AH61">
        <v>2</v>
      </c>
      <c r="AI61">
        <v>145027176</v>
      </c>
      <c r="AJ61">
        <v>56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ROW(Source!A50)</f>
        <v>50</v>
      </c>
      <c r="B62">
        <v>145027236</v>
      </c>
      <c r="C62">
        <v>145027231</v>
      </c>
      <c r="D62">
        <v>140759979</v>
      </c>
      <c r="E62">
        <v>70</v>
      </c>
      <c r="F62">
        <v>1</v>
      </c>
      <c r="G62">
        <v>1</v>
      </c>
      <c r="H62">
        <v>1</v>
      </c>
      <c r="I62" t="s">
        <v>698</v>
      </c>
      <c r="J62" t="s">
        <v>3</v>
      </c>
      <c r="K62" t="s">
        <v>699</v>
      </c>
      <c r="L62">
        <v>1191</v>
      </c>
      <c r="N62">
        <v>1013</v>
      </c>
      <c r="O62" t="s">
        <v>608</v>
      </c>
      <c r="P62" t="s">
        <v>608</v>
      </c>
      <c r="Q62">
        <v>1</v>
      </c>
      <c r="X62">
        <v>69.87</v>
      </c>
      <c r="Y62">
        <v>0</v>
      </c>
      <c r="Z62">
        <v>0</v>
      </c>
      <c r="AA62">
        <v>0</v>
      </c>
      <c r="AB62">
        <v>8.5299999999999994</v>
      </c>
      <c r="AC62">
        <v>0</v>
      </c>
      <c r="AD62">
        <v>1</v>
      </c>
      <c r="AE62">
        <v>1</v>
      </c>
      <c r="AF62" t="s">
        <v>3</v>
      </c>
      <c r="AG62">
        <v>69.87</v>
      </c>
      <c r="AH62">
        <v>2</v>
      </c>
      <c r="AI62">
        <v>145027232</v>
      </c>
      <c r="AJ62">
        <v>57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ROW(Source!A50)</f>
        <v>50</v>
      </c>
      <c r="B63">
        <v>145027237</v>
      </c>
      <c r="C63">
        <v>145027231</v>
      </c>
      <c r="D63">
        <v>140760225</v>
      </c>
      <c r="E63">
        <v>70</v>
      </c>
      <c r="F63">
        <v>1</v>
      </c>
      <c r="G63">
        <v>1</v>
      </c>
      <c r="H63">
        <v>1</v>
      </c>
      <c r="I63" t="s">
        <v>609</v>
      </c>
      <c r="J63" t="s">
        <v>3</v>
      </c>
      <c r="K63" t="s">
        <v>610</v>
      </c>
      <c r="L63">
        <v>1191</v>
      </c>
      <c r="N63">
        <v>1013</v>
      </c>
      <c r="O63" t="s">
        <v>608</v>
      </c>
      <c r="P63" t="s">
        <v>608</v>
      </c>
      <c r="Q63">
        <v>1</v>
      </c>
      <c r="X63">
        <v>1.44</v>
      </c>
      <c r="Y63">
        <v>0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2</v>
      </c>
      <c r="AF63" t="s">
        <v>3</v>
      </c>
      <c r="AG63">
        <v>1.44</v>
      </c>
      <c r="AH63">
        <v>2</v>
      </c>
      <c r="AI63">
        <v>145027233</v>
      </c>
      <c r="AJ63">
        <v>58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ROW(Source!A50)</f>
        <v>50</v>
      </c>
      <c r="B64">
        <v>145027238</v>
      </c>
      <c r="C64">
        <v>145027231</v>
      </c>
      <c r="D64">
        <v>140923145</v>
      </c>
      <c r="E64">
        <v>1</v>
      </c>
      <c r="F64">
        <v>1</v>
      </c>
      <c r="G64">
        <v>1</v>
      </c>
      <c r="H64">
        <v>2</v>
      </c>
      <c r="I64" t="s">
        <v>611</v>
      </c>
      <c r="J64" t="s">
        <v>612</v>
      </c>
      <c r="K64" t="s">
        <v>613</v>
      </c>
      <c r="L64">
        <v>1367</v>
      </c>
      <c r="N64">
        <v>1011</v>
      </c>
      <c r="O64" t="s">
        <v>614</v>
      </c>
      <c r="P64" t="s">
        <v>614</v>
      </c>
      <c r="Q64">
        <v>1</v>
      </c>
      <c r="X64">
        <v>1.44</v>
      </c>
      <c r="Y64">
        <v>0</v>
      </c>
      <c r="Z64">
        <v>31.26</v>
      </c>
      <c r="AA64">
        <v>13.5</v>
      </c>
      <c r="AB64">
        <v>0</v>
      </c>
      <c r="AC64">
        <v>0</v>
      </c>
      <c r="AD64">
        <v>1</v>
      </c>
      <c r="AE64">
        <v>0</v>
      </c>
      <c r="AF64" t="s">
        <v>3</v>
      </c>
      <c r="AG64">
        <v>1.44</v>
      </c>
      <c r="AH64">
        <v>2</v>
      </c>
      <c r="AI64">
        <v>145027234</v>
      </c>
      <c r="AJ64">
        <v>59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ROW(Source!A50)</f>
        <v>50</v>
      </c>
      <c r="B65">
        <v>145027239</v>
      </c>
      <c r="C65">
        <v>145027231</v>
      </c>
      <c r="D65">
        <v>140765020</v>
      </c>
      <c r="E65">
        <v>70</v>
      </c>
      <c r="F65">
        <v>1</v>
      </c>
      <c r="G65">
        <v>1</v>
      </c>
      <c r="H65">
        <v>3</v>
      </c>
      <c r="I65" t="s">
        <v>47</v>
      </c>
      <c r="J65" t="s">
        <v>3</v>
      </c>
      <c r="K65" t="s">
        <v>48</v>
      </c>
      <c r="L65">
        <v>1348</v>
      </c>
      <c r="N65">
        <v>1009</v>
      </c>
      <c r="O65" t="s">
        <v>49</v>
      </c>
      <c r="P65" t="s">
        <v>49</v>
      </c>
      <c r="Q65">
        <v>1000</v>
      </c>
      <c r="X65">
        <v>5.2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 t="s">
        <v>3</v>
      </c>
      <c r="AG65">
        <v>5.2</v>
      </c>
      <c r="AH65">
        <v>2</v>
      </c>
      <c r="AI65">
        <v>145027235</v>
      </c>
      <c r="AJ65">
        <v>60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ROW(Source!A52)</f>
        <v>52</v>
      </c>
      <c r="B66">
        <v>145027248</v>
      </c>
      <c r="C66">
        <v>145027241</v>
      </c>
      <c r="D66">
        <v>140759938</v>
      </c>
      <c r="E66">
        <v>70</v>
      </c>
      <c r="F66">
        <v>1</v>
      </c>
      <c r="G66">
        <v>1</v>
      </c>
      <c r="H66">
        <v>1</v>
      </c>
      <c r="I66" t="s">
        <v>700</v>
      </c>
      <c r="J66" t="s">
        <v>3</v>
      </c>
      <c r="K66" t="s">
        <v>701</v>
      </c>
      <c r="L66">
        <v>1191</v>
      </c>
      <c r="N66">
        <v>1013</v>
      </c>
      <c r="O66" t="s">
        <v>608</v>
      </c>
      <c r="P66" t="s">
        <v>608</v>
      </c>
      <c r="Q66">
        <v>1</v>
      </c>
      <c r="X66">
        <v>74.3</v>
      </c>
      <c r="Y66">
        <v>0</v>
      </c>
      <c r="Z66">
        <v>0</v>
      </c>
      <c r="AA66">
        <v>0</v>
      </c>
      <c r="AB66">
        <v>7.87</v>
      </c>
      <c r="AC66">
        <v>0</v>
      </c>
      <c r="AD66">
        <v>1</v>
      </c>
      <c r="AE66">
        <v>1</v>
      </c>
      <c r="AF66" t="s">
        <v>3</v>
      </c>
      <c r="AG66">
        <v>74.3</v>
      </c>
      <c r="AH66">
        <v>2</v>
      </c>
      <c r="AI66">
        <v>145027242</v>
      </c>
      <c r="AJ66">
        <v>61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ROW(Source!A52)</f>
        <v>52</v>
      </c>
      <c r="B67">
        <v>145027249</v>
      </c>
      <c r="C67">
        <v>145027241</v>
      </c>
      <c r="D67">
        <v>140760225</v>
      </c>
      <c r="E67">
        <v>70</v>
      </c>
      <c r="F67">
        <v>1</v>
      </c>
      <c r="G67">
        <v>1</v>
      </c>
      <c r="H67">
        <v>1</v>
      </c>
      <c r="I67" t="s">
        <v>609</v>
      </c>
      <c r="J67" t="s">
        <v>3</v>
      </c>
      <c r="K67" t="s">
        <v>610</v>
      </c>
      <c r="L67">
        <v>1191</v>
      </c>
      <c r="N67">
        <v>1013</v>
      </c>
      <c r="O67" t="s">
        <v>608</v>
      </c>
      <c r="P67" t="s">
        <v>608</v>
      </c>
      <c r="Q67">
        <v>1</v>
      </c>
      <c r="X67">
        <v>0.35</v>
      </c>
      <c r="Y67">
        <v>0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2</v>
      </c>
      <c r="AF67" t="s">
        <v>3</v>
      </c>
      <c r="AG67">
        <v>0.35</v>
      </c>
      <c r="AH67">
        <v>2</v>
      </c>
      <c r="AI67">
        <v>145027243</v>
      </c>
      <c r="AJ67">
        <v>62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ROW(Source!A52)</f>
        <v>52</v>
      </c>
      <c r="B68">
        <v>145027250</v>
      </c>
      <c r="C68">
        <v>145027241</v>
      </c>
      <c r="D68">
        <v>140923145</v>
      </c>
      <c r="E68">
        <v>1</v>
      </c>
      <c r="F68">
        <v>1</v>
      </c>
      <c r="G68">
        <v>1</v>
      </c>
      <c r="H68">
        <v>2</v>
      </c>
      <c r="I68" t="s">
        <v>611</v>
      </c>
      <c r="J68" t="s">
        <v>612</v>
      </c>
      <c r="K68" t="s">
        <v>613</v>
      </c>
      <c r="L68">
        <v>1367</v>
      </c>
      <c r="N68">
        <v>1011</v>
      </c>
      <c r="O68" t="s">
        <v>614</v>
      </c>
      <c r="P68" t="s">
        <v>614</v>
      </c>
      <c r="Q68">
        <v>1</v>
      </c>
      <c r="X68">
        <v>0.35</v>
      </c>
      <c r="Y68">
        <v>0</v>
      </c>
      <c r="Z68">
        <v>31.26</v>
      </c>
      <c r="AA68">
        <v>13.5</v>
      </c>
      <c r="AB68">
        <v>0</v>
      </c>
      <c r="AC68">
        <v>0</v>
      </c>
      <c r="AD68">
        <v>1</v>
      </c>
      <c r="AE68">
        <v>0</v>
      </c>
      <c r="AF68" t="s">
        <v>3</v>
      </c>
      <c r="AG68">
        <v>0.35</v>
      </c>
      <c r="AH68">
        <v>2</v>
      </c>
      <c r="AI68">
        <v>145027244</v>
      </c>
      <c r="AJ68">
        <v>63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ROW(Source!A52)</f>
        <v>52</v>
      </c>
      <c r="B69">
        <v>145027251</v>
      </c>
      <c r="C69">
        <v>145027241</v>
      </c>
      <c r="D69">
        <v>140924121</v>
      </c>
      <c r="E69">
        <v>1</v>
      </c>
      <c r="F69">
        <v>1</v>
      </c>
      <c r="G69">
        <v>1</v>
      </c>
      <c r="H69">
        <v>2</v>
      </c>
      <c r="I69" t="s">
        <v>619</v>
      </c>
      <c r="J69" t="s">
        <v>620</v>
      </c>
      <c r="K69" t="s">
        <v>621</v>
      </c>
      <c r="L69">
        <v>1367</v>
      </c>
      <c r="N69">
        <v>1011</v>
      </c>
      <c r="O69" t="s">
        <v>614</v>
      </c>
      <c r="P69" t="s">
        <v>614</v>
      </c>
      <c r="Q69">
        <v>1</v>
      </c>
      <c r="X69">
        <v>1.64</v>
      </c>
      <c r="Y69">
        <v>0</v>
      </c>
      <c r="Z69">
        <v>48.81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1.64</v>
      </c>
      <c r="AH69">
        <v>2</v>
      </c>
      <c r="AI69">
        <v>145027245</v>
      </c>
      <c r="AJ69">
        <v>64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ROW(Source!A52)</f>
        <v>52</v>
      </c>
      <c r="B70">
        <v>145027252</v>
      </c>
      <c r="C70">
        <v>145027241</v>
      </c>
      <c r="D70">
        <v>140924577</v>
      </c>
      <c r="E70">
        <v>1</v>
      </c>
      <c r="F70">
        <v>1</v>
      </c>
      <c r="G70">
        <v>1</v>
      </c>
      <c r="H70">
        <v>2</v>
      </c>
      <c r="I70" t="s">
        <v>622</v>
      </c>
      <c r="J70" t="s">
        <v>623</v>
      </c>
      <c r="K70" t="s">
        <v>624</v>
      </c>
      <c r="L70">
        <v>1367</v>
      </c>
      <c r="N70">
        <v>1011</v>
      </c>
      <c r="O70" t="s">
        <v>614</v>
      </c>
      <c r="P70" t="s">
        <v>614</v>
      </c>
      <c r="Q70">
        <v>1</v>
      </c>
      <c r="X70">
        <v>3.28</v>
      </c>
      <c r="Y70">
        <v>0</v>
      </c>
      <c r="Z70">
        <v>1.53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3.28</v>
      </c>
      <c r="AH70">
        <v>2</v>
      </c>
      <c r="AI70">
        <v>145027246</v>
      </c>
      <c r="AJ70">
        <v>65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ROW(Source!A52)</f>
        <v>52</v>
      </c>
      <c r="B71">
        <v>145027253</v>
      </c>
      <c r="C71">
        <v>145027241</v>
      </c>
      <c r="D71">
        <v>140765020</v>
      </c>
      <c r="E71">
        <v>70</v>
      </c>
      <c r="F71">
        <v>1</v>
      </c>
      <c r="G71">
        <v>1</v>
      </c>
      <c r="H71">
        <v>3</v>
      </c>
      <c r="I71" t="s">
        <v>47</v>
      </c>
      <c r="J71" t="s">
        <v>3</v>
      </c>
      <c r="K71" t="s">
        <v>48</v>
      </c>
      <c r="L71">
        <v>1348</v>
      </c>
      <c r="N71">
        <v>1009</v>
      </c>
      <c r="O71" t="s">
        <v>49</v>
      </c>
      <c r="P71" t="s">
        <v>49</v>
      </c>
      <c r="Q71">
        <v>1000</v>
      </c>
      <c r="X71">
        <v>4.41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 t="s">
        <v>3</v>
      </c>
      <c r="AG71">
        <v>4.41</v>
      </c>
      <c r="AH71">
        <v>2</v>
      </c>
      <c r="AI71">
        <v>145027247</v>
      </c>
      <c r="AJ71">
        <v>66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ROW(Source!A54)</f>
        <v>54</v>
      </c>
      <c r="B72">
        <v>145039079</v>
      </c>
      <c r="C72">
        <v>145039078</v>
      </c>
      <c r="D72">
        <v>140760008</v>
      </c>
      <c r="E72">
        <v>70</v>
      </c>
      <c r="F72">
        <v>1</v>
      </c>
      <c r="G72">
        <v>1</v>
      </c>
      <c r="H72">
        <v>1</v>
      </c>
      <c r="I72" t="s">
        <v>663</v>
      </c>
      <c r="J72" t="s">
        <v>3</v>
      </c>
      <c r="K72" t="s">
        <v>664</v>
      </c>
      <c r="L72">
        <v>1191</v>
      </c>
      <c r="N72">
        <v>1013</v>
      </c>
      <c r="O72" t="s">
        <v>608</v>
      </c>
      <c r="P72" t="s">
        <v>608</v>
      </c>
      <c r="Q72">
        <v>1</v>
      </c>
      <c r="X72">
        <v>3.69</v>
      </c>
      <c r="Y72">
        <v>0</v>
      </c>
      <c r="Z72">
        <v>0</v>
      </c>
      <c r="AA72">
        <v>0</v>
      </c>
      <c r="AB72">
        <v>9.18</v>
      </c>
      <c r="AC72">
        <v>0</v>
      </c>
      <c r="AD72">
        <v>1</v>
      </c>
      <c r="AE72">
        <v>1</v>
      </c>
      <c r="AF72" t="s">
        <v>149</v>
      </c>
      <c r="AG72">
        <v>4.2435</v>
      </c>
      <c r="AH72">
        <v>2</v>
      </c>
      <c r="AI72">
        <v>145039079</v>
      </c>
      <c r="AJ72">
        <v>67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ROW(Source!A54)</f>
        <v>54</v>
      </c>
      <c r="B73">
        <v>145039080</v>
      </c>
      <c r="C73">
        <v>145039078</v>
      </c>
      <c r="D73">
        <v>140760225</v>
      </c>
      <c r="E73">
        <v>70</v>
      </c>
      <c r="F73">
        <v>1</v>
      </c>
      <c r="G73">
        <v>1</v>
      </c>
      <c r="H73">
        <v>1</v>
      </c>
      <c r="I73" t="s">
        <v>609</v>
      </c>
      <c r="J73" t="s">
        <v>3</v>
      </c>
      <c r="K73" t="s">
        <v>610</v>
      </c>
      <c r="L73">
        <v>1191</v>
      </c>
      <c r="N73">
        <v>1013</v>
      </c>
      <c r="O73" t="s">
        <v>608</v>
      </c>
      <c r="P73" t="s">
        <v>608</v>
      </c>
      <c r="Q73">
        <v>1</v>
      </c>
      <c r="X73">
        <v>0.05</v>
      </c>
      <c r="Y73">
        <v>0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2</v>
      </c>
      <c r="AF73" t="s">
        <v>148</v>
      </c>
      <c r="AG73">
        <v>6.25E-2</v>
      </c>
      <c r="AH73">
        <v>2</v>
      </c>
      <c r="AI73">
        <v>145039080</v>
      </c>
      <c r="AJ73">
        <v>68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ROW(Source!A54)</f>
        <v>54</v>
      </c>
      <c r="B74">
        <v>145039081</v>
      </c>
      <c r="C74">
        <v>145039078</v>
      </c>
      <c r="D74">
        <v>140923143</v>
      </c>
      <c r="E74">
        <v>1</v>
      </c>
      <c r="F74">
        <v>1</v>
      </c>
      <c r="G74">
        <v>1</v>
      </c>
      <c r="H74">
        <v>2</v>
      </c>
      <c r="I74" t="s">
        <v>702</v>
      </c>
      <c r="J74" t="s">
        <v>703</v>
      </c>
      <c r="K74" t="s">
        <v>704</v>
      </c>
      <c r="L74">
        <v>1367</v>
      </c>
      <c r="N74">
        <v>1011</v>
      </c>
      <c r="O74" t="s">
        <v>614</v>
      </c>
      <c r="P74" t="s">
        <v>614</v>
      </c>
      <c r="Q74">
        <v>1</v>
      </c>
      <c r="X74">
        <v>0.01</v>
      </c>
      <c r="Y74">
        <v>0</v>
      </c>
      <c r="Z74">
        <v>27.66</v>
      </c>
      <c r="AA74">
        <v>11.6</v>
      </c>
      <c r="AB74">
        <v>0</v>
      </c>
      <c r="AC74">
        <v>0</v>
      </c>
      <c r="AD74">
        <v>1</v>
      </c>
      <c r="AE74">
        <v>0</v>
      </c>
      <c r="AF74" t="s">
        <v>148</v>
      </c>
      <c r="AG74">
        <v>1.2500000000000001E-2</v>
      </c>
      <c r="AH74">
        <v>2</v>
      </c>
      <c r="AI74">
        <v>145039081</v>
      </c>
      <c r="AJ74">
        <v>69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ROW(Source!A54)</f>
        <v>54</v>
      </c>
      <c r="B75">
        <v>145039082</v>
      </c>
      <c r="C75">
        <v>145039078</v>
      </c>
      <c r="D75">
        <v>140923885</v>
      </c>
      <c r="E75">
        <v>1</v>
      </c>
      <c r="F75">
        <v>1</v>
      </c>
      <c r="G75">
        <v>1</v>
      </c>
      <c r="H75">
        <v>2</v>
      </c>
      <c r="I75" t="s">
        <v>668</v>
      </c>
      <c r="J75" t="s">
        <v>669</v>
      </c>
      <c r="K75" t="s">
        <v>670</v>
      </c>
      <c r="L75">
        <v>1367</v>
      </c>
      <c r="N75">
        <v>1011</v>
      </c>
      <c r="O75" t="s">
        <v>614</v>
      </c>
      <c r="P75" t="s">
        <v>614</v>
      </c>
      <c r="Q75">
        <v>1</v>
      </c>
      <c r="X75">
        <v>0.04</v>
      </c>
      <c r="Y75">
        <v>0</v>
      </c>
      <c r="Z75">
        <v>65.709999999999994</v>
      </c>
      <c r="AA75">
        <v>11.6</v>
      </c>
      <c r="AB75">
        <v>0</v>
      </c>
      <c r="AC75">
        <v>0</v>
      </c>
      <c r="AD75">
        <v>1</v>
      </c>
      <c r="AE75">
        <v>0</v>
      </c>
      <c r="AF75" t="s">
        <v>148</v>
      </c>
      <c r="AG75">
        <v>0.05</v>
      </c>
      <c r="AH75">
        <v>2</v>
      </c>
      <c r="AI75">
        <v>145039082</v>
      </c>
      <c r="AJ75">
        <v>70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ROW(Source!A54)</f>
        <v>54</v>
      </c>
      <c r="B76">
        <v>145039083</v>
      </c>
      <c r="C76">
        <v>145039078</v>
      </c>
      <c r="D76">
        <v>140924526</v>
      </c>
      <c r="E76">
        <v>1</v>
      </c>
      <c r="F76">
        <v>1</v>
      </c>
      <c r="G76">
        <v>1</v>
      </c>
      <c r="H76">
        <v>2</v>
      </c>
      <c r="I76" t="s">
        <v>705</v>
      </c>
      <c r="J76" t="s">
        <v>706</v>
      </c>
      <c r="K76" t="s">
        <v>707</v>
      </c>
      <c r="L76">
        <v>1367</v>
      </c>
      <c r="N76">
        <v>1011</v>
      </c>
      <c r="O76" t="s">
        <v>614</v>
      </c>
      <c r="P76" t="s">
        <v>614</v>
      </c>
      <c r="Q76">
        <v>1</v>
      </c>
      <c r="X76">
        <v>2.82</v>
      </c>
      <c r="Y76">
        <v>0</v>
      </c>
      <c r="Z76">
        <v>6.82</v>
      </c>
      <c r="AA76">
        <v>0</v>
      </c>
      <c r="AB76">
        <v>0</v>
      </c>
      <c r="AC76">
        <v>0</v>
      </c>
      <c r="AD76">
        <v>1</v>
      </c>
      <c r="AE76">
        <v>0</v>
      </c>
      <c r="AF76" t="s">
        <v>148</v>
      </c>
      <c r="AG76">
        <v>3.5249999999999999</v>
      </c>
      <c r="AH76">
        <v>2</v>
      </c>
      <c r="AI76">
        <v>145039083</v>
      </c>
      <c r="AJ76">
        <v>71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ROW(Source!A54)</f>
        <v>54</v>
      </c>
      <c r="B77">
        <v>145039084</v>
      </c>
      <c r="C77">
        <v>145039078</v>
      </c>
      <c r="D77">
        <v>140772680</v>
      </c>
      <c r="E77">
        <v>1</v>
      </c>
      <c r="F77">
        <v>1</v>
      </c>
      <c r="G77">
        <v>1</v>
      </c>
      <c r="H77">
        <v>3</v>
      </c>
      <c r="I77" t="s">
        <v>635</v>
      </c>
      <c r="J77" t="s">
        <v>636</v>
      </c>
      <c r="K77" t="s">
        <v>637</v>
      </c>
      <c r="L77">
        <v>1339</v>
      </c>
      <c r="N77">
        <v>1007</v>
      </c>
      <c r="O77" t="s">
        <v>638</v>
      </c>
      <c r="P77" t="s">
        <v>638</v>
      </c>
      <c r="Q77">
        <v>1</v>
      </c>
      <c r="X77">
        <v>0.01</v>
      </c>
      <c r="Y77">
        <v>2.44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0</v>
      </c>
      <c r="AF77" t="s">
        <v>3</v>
      </c>
      <c r="AG77">
        <v>0.01</v>
      </c>
      <c r="AH77">
        <v>2</v>
      </c>
      <c r="AI77">
        <v>145039084</v>
      </c>
      <c r="AJ77">
        <v>72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ROW(Source!A54)</f>
        <v>54</v>
      </c>
      <c r="B78">
        <v>145039085</v>
      </c>
      <c r="C78">
        <v>145039078</v>
      </c>
      <c r="D78">
        <v>140776226</v>
      </c>
      <c r="E78">
        <v>1</v>
      </c>
      <c r="F78">
        <v>1</v>
      </c>
      <c r="G78">
        <v>1</v>
      </c>
      <c r="H78">
        <v>3</v>
      </c>
      <c r="I78" t="s">
        <v>680</v>
      </c>
      <c r="J78" t="s">
        <v>681</v>
      </c>
      <c r="K78" t="s">
        <v>682</v>
      </c>
      <c r="L78">
        <v>1346</v>
      </c>
      <c r="N78">
        <v>1009</v>
      </c>
      <c r="O78" t="s">
        <v>154</v>
      </c>
      <c r="P78" t="s">
        <v>154</v>
      </c>
      <c r="Q78">
        <v>1</v>
      </c>
      <c r="X78">
        <v>1</v>
      </c>
      <c r="Y78">
        <v>1.82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0</v>
      </c>
      <c r="AF78" t="s">
        <v>3</v>
      </c>
      <c r="AG78">
        <v>1</v>
      </c>
      <c r="AH78">
        <v>2</v>
      </c>
      <c r="AI78">
        <v>145039085</v>
      </c>
      <c r="AJ78">
        <v>73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ROW(Source!A54)</f>
        <v>54</v>
      </c>
      <c r="B79">
        <v>145039086</v>
      </c>
      <c r="C79">
        <v>145039078</v>
      </c>
      <c r="D79">
        <v>140763283</v>
      </c>
      <c r="E79">
        <v>70</v>
      </c>
      <c r="F79">
        <v>1</v>
      </c>
      <c r="G79">
        <v>1</v>
      </c>
      <c r="H79">
        <v>3</v>
      </c>
      <c r="I79" t="s">
        <v>825</v>
      </c>
      <c r="J79" t="s">
        <v>3</v>
      </c>
      <c r="K79" t="s">
        <v>826</v>
      </c>
      <c r="L79">
        <v>1346</v>
      </c>
      <c r="N79">
        <v>1009</v>
      </c>
      <c r="O79" t="s">
        <v>154</v>
      </c>
      <c r="P79" t="s">
        <v>154</v>
      </c>
      <c r="Q79">
        <v>1</v>
      </c>
      <c r="X79">
        <v>13.8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 t="s">
        <v>3</v>
      </c>
      <c r="AG79">
        <v>13.8</v>
      </c>
      <c r="AH79">
        <v>3</v>
      </c>
      <c r="AI79">
        <v>-1</v>
      </c>
      <c r="AJ79" t="s">
        <v>3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ROW(Source!A56)</f>
        <v>56</v>
      </c>
      <c r="B80">
        <v>145027267</v>
      </c>
      <c r="C80">
        <v>145027255</v>
      </c>
      <c r="D80">
        <v>140759985</v>
      </c>
      <c r="E80">
        <v>70</v>
      </c>
      <c r="F80">
        <v>1</v>
      </c>
      <c r="G80">
        <v>1</v>
      </c>
      <c r="H80">
        <v>1</v>
      </c>
      <c r="I80" t="s">
        <v>708</v>
      </c>
      <c r="J80" t="s">
        <v>3</v>
      </c>
      <c r="K80" t="s">
        <v>709</v>
      </c>
      <c r="L80">
        <v>1191</v>
      </c>
      <c r="N80">
        <v>1013</v>
      </c>
      <c r="O80" t="s">
        <v>608</v>
      </c>
      <c r="P80" t="s">
        <v>608</v>
      </c>
      <c r="Q80">
        <v>1</v>
      </c>
      <c r="X80">
        <v>119.78</v>
      </c>
      <c r="Y80">
        <v>0</v>
      </c>
      <c r="Z80">
        <v>0</v>
      </c>
      <c r="AA80">
        <v>0</v>
      </c>
      <c r="AB80">
        <v>8.74</v>
      </c>
      <c r="AC80">
        <v>0</v>
      </c>
      <c r="AD80">
        <v>1</v>
      </c>
      <c r="AE80">
        <v>1</v>
      </c>
      <c r="AF80" t="s">
        <v>149</v>
      </c>
      <c r="AG80">
        <v>137.74699999999999</v>
      </c>
      <c r="AH80">
        <v>2</v>
      </c>
      <c r="AI80">
        <v>145027256</v>
      </c>
      <c r="AJ80">
        <v>74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ROW(Source!A56)</f>
        <v>56</v>
      </c>
      <c r="B81">
        <v>145027268</v>
      </c>
      <c r="C81">
        <v>145027255</v>
      </c>
      <c r="D81">
        <v>140760225</v>
      </c>
      <c r="E81">
        <v>70</v>
      </c>
      <c r="F81">
        <v>1</v>
      </c>
      <c r="G81">
        <v>1</v>
      </c>
      <c r="H81">
        <v>1</v>
      </c>
      <c r="I81" t="s">
        <v>609</v>
      </c>
      <c r="J81" t="s">
        <v>3</v>
      </c>
      <c r="K81" t="s">
        <v>610</v>
      </c>
      <c r="L81">
        <v>1191</v>
      </c>
      <c r="N81">
        <v>1013</v>
      </c>
      <c r="O81" t="s">
        <v>608</v>
      </c>
      <c r="P81" t="s">
        <v>608</v>
      </c>
      <c r="Q81">
        <v>1</v>
      </c>
      <c r="X81">
        <v>4.5</v>
      </c>
      <c r="Y81">
        <v>0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2</v>
      </c>
      <c r="AF81" t="s">
        <v>148</v>
      </c>
      <c r="AG81">
        <v>5.625</v>
      </c>
      <c r="AH81">
        <v>2</v>
      </c>
      <c r="AI81">
        <v>145027257</v>
      </c>
      <c r="AJ81">
        <v>75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ROW(Source!A56)</f>
        <v>56</v>
      </c>
      <c r="B82">
        <v>145027269</v>
      </c>
      <c r="C82">
        <v>145027255</v>
      </c>
      <c r="D82">
        <v>140923105</v>
      </c>
      <c r="E82">
        <v>1</v>
      </c>
      <c r="F82">
        <v>1</v>
      </c>
      <c r="G82">
        <v>1</v>
      </c>
      <c r="H82">
        <v>2</v>
      </c>
      <c r="I82" t="s">
        <v>710</v>
      </c>
      <c r="J82" t="s">
        <v>711</v>
      </c>
      <c r="K82" t="s">
        <v>712</v>
      </c>
      <c r="L82">
        <v>1367</v>
      </c>
      <c r="N82">
        <v>1011</v>
      </c>
      <c r="O82" t="s">
        <v>614</v>
      </c>
      <c r="P82" t="s">
        <v>614</v>
      </c>
      <c r="Q82">
        <v>1</v>
      </c>
      <c r="X82">
        <v>0.36</v>
      </c>
      <c r="Y82">
        <v>0</v>
      </c>
      <c r="Z82">
        <v>89.99</v>
      </c>
      <c r="AA82">
        <v>10.06</v>
      </c>
      <c r="AB82">
        <v>0</v>
      </c>
      <c r="AC82">
        <v>0</v>
      </c>
      <c r="AD82">
        <v>1</v>
      </c>
      <c r="AE82">
        <v>0</v>
      </c>
      <c r="AF82" t="s">
        <v>148</v>
      </c>
      <c r="AG82">
        <v>0.44999999999999996</v>
      </c>
      <c r="AH82">
        <v>2</v>
      </c>
      <c r="AI82">
        <v>145027258</v>
      </c>
      <c r="AJ82">
        <v>76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ROW(Source!A56)</f>
        <v>56</v>
      </c>
      <c r="B83">
        <v>145027270</v>
      </c>
      <c r="C83">
        <v>145027255</v>
      </c>
      <c r="D83">
        <v>140923145</v>
      </c>
      <c r="E83">
        <v>1</v>
      </c>
      <c r="F83">
        <v>1</v>
      </c>
      <c r="G83">
        <v>1</v>
      </c>
      <c r="H83">
        <v>2</v>
      </c>
      <c r="I83" t="s">
        <v>611</v>
      </c>
      <c r="J83" t="s">
        <v>612</v>
      </c>
      <c r="K83" t="s">
        <v>613</v>
      </c>
      <c r="L83">
        <v>1367</v>
      </c>
      <c r="N83">
        <v>1011</v>
      </c>
      <c r="O83" t="s">
        <v>614</v>
      </c>
      <c r="P83" t="s">
        <v>614</v>
      </c>
      <c r="Q83">
        <v>1</v>
      </c>
      <c r="X83">
        <v>2.2999999999999998</v>
      </c>
      <c r="Y83">
        <v>0</v>
      </c>
      <c r="Z83">
        <v>31.26</v>
      </c>
      <c r="AA83">
        <v>13.5</v>
      </c>
      <c r="AB83">
        <v>0</v>
      </c>
      <c r="AC83">
        <v>0</v>
      </c>
      <c r="AD83">
        <v>1</v>
      </c>
      <c r="AE83">
        <v>0</v>
      </c>
      <c r="AF83" t="s">
        <v>148</v>
      </c>
      <c r="AG83">
        <v>2.875</v>
      </c>
      <c r="AH83">
        <v>2</v>
      </c>
      <c r="AI83">
        <v>145027259</v>
      </c>
      <c r="AJ83">
        <v>77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ROW(Source!A56)</f>
        <v>56</v>
      </c>
      <c r="B84">
        <v>145027271</v>
      </c>
      <c r="C84">
        <v>145027255</v>
      </c>
      <c r="D84">
        <v>140923268</v>
      </c>
      <c r="E84">
        <v>1</v>
      </c>
      <c r="F84">
        <v>1</v>
      </c>
      <c r="G84">
        <v>1</v>
      </c>
      <c r="H84">
        <v>2</v>
      </c>
      <c r="I84" t="s">
        <v>713</v>
      </c>
      <c r="J84" t="s">
        <v>714</v>
      </c>
      <c r="K84" t="s">
        <v>715</v>
      </c>
      <c r="L84">
        <v>1367</v>
      </c>
      <c r="N84">
        <v>1011</v>
      </c>
      <c r="O84" t="s">
        <v>614</v>
      </c>
      <c r="P84" t="s">
        <v>614</v>
      </c>
      <c r="Q84">
        <v>1</v>
      </c>
      <c r="X84">
        <v>1.56</v>
      </c>
      <c r="Y84">
        <v>0</v>
      </c>
      <c r="Z84">
        <v>12.39</v>
      </c>
      <c r="AA84">
        <v>10.06</v>
      </c>
      <c r="AB84">
        <v>0</v>
      </c>
      <c r="AC84">
        <v>0</v>
      </c>
      <c r="AD84">
        <v>1</v>
      </c>
      <c r="AE84">
        <v>0</v>
      </c>
      <c r="AF84" t="s">
        <v>148</v>
      </c>
      <c r="AG84">
        <v>1.9500000000000002</v>
      </c>
      <c r="AH84">
        <v>2</v>
      </c>
      <c r="AI84">
        <v>145027260</v>
      </c>
      <c r="AJ84">
        <v>78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ROW(Source!A56)</f>
        <v>56</v>
      </c>
      <c r="B85">
        <v>145027272</v>
      </c>
      <c r="C85">
        <v>145027255</v>
      </c>
      <c r="D85">
        <v>140923885</v>
      </c>
      <c r="E85">
        <v>1</v>
      </c>
      <c r="F85">
        <v>1</v>
      </c>
      <c r="G85">
        <v>1</v>
      </c>
      <c r="H85">
        <v>2</v>
      </c>
      <c r="I85" t="s">
        <v>668</v>
      </c>
      <c r="J85" t="s">
        <v>669</v>
      </c>
      <c r="K85" t="s">
        <v>670</v>
      </c>
      <c r="L85">
        <v>1367</v>
      </c>
      <c r="N85">
        <v>1011</v>
      </c>
      <c r="O85" t="s">
        <v>614</v>
      </c>
      <c r="P85" t="s">
        <v>614</v>
      </c>
      <c r="Q85">
        <v>1</v>
      </c>
      <c r="X85">
        <v>0.28000000000000003</v>
      </c>
      <c r="Y85">
        <v>0</v>
      </c>
      <c r="Z85">
        <v>65.709999999999994</v>
      </c>
      <c r="AA85">
        <v>11.6</v>
      </c>
      <c r="AB85">
        <v>0</v>
      </c>
      <c r="AC85">
        <v>0</v>
      </c>
      <c r="AD85">
        <v>1</v>
      </c>
      <c r="AE85">
        <v>0</v>
      </c>
      <c r="AF85" t="s">
        <v>148</v>
      </c>
      <c r="AG85">
        <v>0.35000000000000003</v>
      </c>
      <c r="AH85">
        <v>2</v>
      </c>
      <c r="AI85">
        <v>145027261</v>
      </c>
      <c r="AJ85">
        <v>79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ROW(Source!A56)</f>
        <v>56</v>
      </c>
      <c r="B86">
        <v>145027273</v>
      </c>
      <c r="C86">
        <v>145027255</v>
      </c>
      <c r="D86">
        <v>140772680</v>
      </c>
      <c r="E86">
        <v>1</v>
      </c>
      <c r="F86">
        <v>1</v>
      </c>
      <c r="G86">
        <v>1</v>
      </c>
      <c r="H86">
        <v>3</v>
      </c>
      <c r="I86" t="s">
        <v>635</v>
      </c>
      <c r="J86" t="s">
        <v>636</v>
      </c>
      <c r="K86" t="s">
        <v>637</v>
      </c>
      <c r="L86">
        <v>1339</v>
      </c>
      <c r="N86">
        <v>1007</v>
      </c>
      <c r="O86" t="s">
        <v>638</v>
      </c>
      <c r="P86" t="s">
        <v>638</v>
      </c>
      <c r="Q86">
        <v>1</v>
      </c>
      <c r="X86">
        <v>0.1</v>
      </c>
      <c r="Y86">
        <v>2.44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0.1</v>
      </c>
      <c r="AH86">
        <v>2</v>
      </c>
      <c r="AI86">
        <v>145027262</v>
      </c>
      <c r="AJ86">
        <v>80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ROW(Source!A56)</f>
        <v>56</v>
      </c>
      <c r="B87">
        <v>145027274</v>
      </c>
      <c r="C87">
        <v>145027255</v>
      </c>
      <c r="D87">
        <v>140776226</v>
      </c>
      <c r="E87">
        <v>1</v>
      </c>
      <c r="F87">
        <v>1</v>
      </c>
      <c r="G87">
        <v>1</v>
      </c>
      <c r="H87">
        <v>3</v>
      </c>
      <c r="I87" t="s">
        <v>680</v>
      </c>
      <c r="J87" t="s">
        <v>681</v>
      </c>
      <c r="K87" t="s">
        <v>682</v>
      </c>
      <c r="L87">
        <v>1346</v>
      </c>
      <c r="N87">
        <v>1009</v>
      </c>
      <c r="O87" t="s">
        <v>154</v>
      </c>
      <c r="P87" t="s">
        <v>154</v>
      </c>
      <c r="Q87">
        <v>1</v>
      </c>
      <c r="X87">
        <v>0.5</v>
      </c>
      <c r="Y87">
        <v>1.82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0</v>
      </c>
      <c r="AF87" t="s">
        <v>3</v>
      </c>
      <c r="AG87">
        <v>0.5</v>
      </c>
      <c r="AH87">
        <v>2</v>
      </c>
      <c r="AI87">
        <v>145027263</v>
      </c>
      <c r="AJ87">
        <v>81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ROW(Source!A56)</f>
        <v>56</v>
      </c>
      <c r="B88">
        <v>145027275</v>
      </c>
      <c r="C88">
        <v>145027255</v>
      </c>
      <c r="D88">
        <v>140778268</v>
      </c>
      <c r="E88">
        <v>1</v>
      </c>
      <c r="F88">
        <v>1</v>
      </c>
      <c r="G88">
        <v>1</v>
      </c>
      <c r="H88">
        <v>3</v>
      </c>
      <c r="I88" t="s">
        <v>170</v>
      </c>
      <c r="J88" t="s">
        <v>172</v>
      </c>
      <c r="K88" t="s">
        <v>171</v>
      </c>
      <c r="L88">
        <v>1348</v>
      </c>
      <c r="N88">
        <v>1009</v>
      </c>
      <c r="O88" t="s">
        <v>49</v>
      </c>
      <c r="P88" t="s">
        <v>49</v>
      </c>
      <c r="Q88">
        <v>1000</v>
      </c>
      <c r="X88">
        <v>0.05</v>
      </c>
      <c r="Y88">
        <v>6513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F88" t="s">
        <v>3</v>
      </c>
      <c r="AG88">
        <v>0.05</v>
      </c>
      <c r="AH88">
        <v>2</v>
      </c>
      <c r="AI88">
        <v>145027264</v>
      </c>
      <c r="AJ88">
        <v>82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ROW(Source!A56)</f>
        <v>56</v>
      </c>
      <c r="B89">
        <v>145027276</v>
      </c>
      <c r="C89">
        <v>145027255</v>
      </c>
      <c r="D89">
        <v>140788123</v>
      </c>
      <c r="E89">
        <v>1</v>
      </c>
      <c r="F89">
        <v>1</v>
      </c>
      <c r="G89">
        <v>1</v>
      </c>
      <c r="H89">
        <v>3</v>
      </c>
      <c r="I89" t="s">
        <v>166</v>
      </c>
      <c r="J89" t="s">
        <v>168</v>
      </c>
      <c r="K89" t="s">
        <v>167</v>
      </c>
      <c r="L89">
        <v>1327</v>
      </c>
      <c r="N89">
        <v>1005</v>
      </c>
      <c r="O89" t="s">
        <v>72</v>
      </c>
      <c r="P89" t="s">
        <v>72</v>
      </c>
      <c r="Q89">
        <v>1</v>
      </c>
      <c r="X89">
        <v>102</v>
      </c>
      <c r="Y89">
        <v>67.8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0</v>
      </c>
      <c r="AF89" t="s">
        <v>3</v>
      </c>
      <c r="AG89">
        <v>102</v>
      </c>
      <c r="AH89">
        <v>2</v>
      </c>
      <c r="AI89">
        <v>145027265</v>
      </c>
      <c r="AJ89">
        <v>83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ROW(Source!A56)</f>
        <v>56</v>
      </c>
      <c r="B90">
        <v>145027277</v>
      </c>
      <c r="C90">
        <v>145027255</v>
      </c>
      <c r="D90">
        <v>140803309</v>
      </c>
      <c r="E90">
        <v>1</v>
      </c>
      <c r="F90">
        <v>1</v>
      </c>
      <c r="G90">
        <v>1</v>
      </c>
      <c r="H90">
        <v>3</v>
      </c>
      <c r="I90" t="s">
        <v>174</v>
      </c>
      <c r="J90" t="s">
        <v>176</v>
      </c>
      <c r="K90" t="s">
        <v>175</v>
      </c>
      <c r="L90">
        <v>1346</v>
      </c>
      <c r="N90">
        <v>1009</v>
      </c>
      <c r="O90" t="s">
        <v>154</v>
      </c>
      <c r="P90" t="s">
        <v>154</v>
      </c>
      <c r="Q90">
        <v>1</v>
      </c>
      <c r="X90">
        <v>450</v>
      </c>
      <c r="Y90">
        <v>1.37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F90" t="s">
        <v>3</v>
      </c>
      <c r="AG90">
        <v>450</v>
      </c>
      <c r="AH90">
        <v>2</v>
      </c>
      <c r="AI90">
        <v>145027266</v>
      </c>
      <c r="AJ90">
        <v>84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ROW(Source!A63)</f>
        <v>63</v>
      </c>
      <c r="B91">
        <v>145041161</v>
      </c>
      <c r="C91">
        <v>145041144</v>
      </c>
      <c r="D91">
        <v>140755437</v>
      </c>
      <c r="E91">
        <v>70</v>
      </c>
      <c r="F91">
        <v>1</v>
      </c>
      <c r="G91">
        <v>1</v>
      </c>
      <c r="H91">
        <v>1</v>
      </c>
      <c r="I91" t="s">
        <v>630</v>
      </c>
      <c r="J91" t="s">
        <v>3</v>
      </c>
      <c r="K91" t="s">
        <v>631</v>
      </c>
      <c r="L91">
        <v>1191</v>
      </c>
      <c r="N91">
        <v>1013</v>
      </c>
      <c r="O91" t="s">
        <v>608</v>
      </c>
      <c r="P91" t="s">
        <v>608</v>
      </c>
      <c r="Q91">
        <v>1</v>
      </c>
      <c r="X91">
        <v>80.77</v>
      </c>
      <c r="Y91">
        <v>0</v>
      </c>
      <c r="Z91">
        <v>0</v>
      </c>
      <c r="AA91">
        <v>0</v>
      </c>
      <c r="AB91">
        <v>8.9700000000000006</v>
      </c>
      <c r="AC91">
        <v>0</v>
      </c>
      <c r="AD91">
        <v>1</v>
      </c>
      <c r="AE91">
        <v>1</v>
      </c>
      <c r="AF91" t="s">
        <v>149</v>
      </c>
      <c r="AG91">
        <v>92.885499999999993</v>
      </c>
      <c r="AH91">
        <v>2</v>
      </c>
      <c r="AI91">
        <v>145041145</v>
      </c>
      <c r="AJ91">
        <v>85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ROW(Source!A63)</f>
        <v>63</v>
      </c>
      <c r="B92">
        <v>145041162</v>
      </c>
      <c r="C92">
        <v>145041144</v>
      </c>
      <c r="D92">
        <v>140755491</v>
      </c>
      <c r="E92">
        <v>70</v>
      </c>
      <c r="F92">
        <v>1</v>
      </c>
      <c r="G92">
        <v>1</v>
      </c>
      <c r="H92">
        <v>1</v>
      </c>
      <c r="I92" t="s">
        <v>609</v>
      </c>
      <c r="J92" t="s">
        <v>3</v>
      </c>
      <c r="K92" t="s">
        <v>610</v>
      </c>
      <c r="L92">
        <v>1191</v>
      </c>
      <c r="N92">
        <v>1013</v>
      </c>
      <c r="O92" t="s">
        <v>608</v>
      </c>
      <c r="P92" t="s">
        <v>608</v>
      </c>
      <c r="Q92">
        <v>1</v>
      </c>
      <c r="X92">
        <v>0.14000000000000001</v>
      </c>
      <c r="Y92">
        <v>0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2</v>
      </c>
      <c r="AF92" t="s">
        <v>148</v>
      </c>
      <c r="AG92">
        <v>0.17500000000000002</v>
      </c>
      <c r="AH92">
        <v>2</v>
      </c>
      <c r="AI92">
        <v>145041146</v>
      </c>
      <c r="AJ92">
        <v>86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ROW(Source!A63)</f>
        <v>63</v>
      </c>
      <c r="B93">
        <v>145041163</v>
      </c>
      <c r="C93">
        <v>145041144</v>
      </c>
      <c r="D93">
        <v>140923142</v>
      </c>
      <c r="E93">
        <v>1</v>
      </c>
      <c r="F93">
        <v>1</v>
      </c>
      <c r="G93">
        <v>1</v>
      </c>
      <c r="H93">
        <v>2</v>
      </c>
      <c r="I93" t="s">
        <v>632</v>
      </c>
      <c r="J93" t="s">
        <v>633</v>
      </c>
      <c r="K93" t="s">
        <v>634</v>
      </c>
      <c r="L93">
        <v>1367</v>
      </c>
      <c r="N93">
        <v>1011</v>
      </c>
      <c r="O93" t="s">
        <v>614</v>
      </c>
      <c r="P93" t="s">
        <v>614</v>
      </c>
      <c r="Q93">
        <v>1</v>
      </c>
      <c r="X93">
        <v>0.14000000000000001</v>
      </c>
      <c r="Y93">
        <v>0</v>
      </c>
      <c r="Z93">
        <v>24.33</v>
      </c>
      <c r="AA93">
        <v>10.06</v>
      </c>
      <c r="AB93">
        <v>0</v>
      </c>
      <c r="AC93">
        <v>0</v>
      </c>
      <c r="AD93">
        <v>1</v>
      </c>
      <c r="AE93">
        <v>0</v>
      </c>
      <c r="AF93" t="s">
        <v>148</v>
      </c>
      <c r="AG93">
        <v>0.17500000000000002</v>
      </c>
      <c r="AH93">
        <v>2</v>
      </c>
      <c r="AI93">
        <v>145041147</v>
      </c>
      <c r="AJ93">
        <v>87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ROW(Source!A63)</f>
        <v>63</v>
      </c>
      <c r="B94">
        <v>145041164</v>
      </c>
      <c r="C94">
        <v>145041144</v>
      </c>
      <c r="D94">
        <v>140760310</v>
      </c>
      <c r="E94">
        <v>70</v>
      </c>
      <c r="F94">
        <v>1</v>
      </c>
      <c r="G94">
        <v>1</v>
      </c>
      <c r="H94">
        <v>3</v>
      </c>
      <c r="I94" t="s">
        <v>817</v>
      </c>
      <c r="J94" t="s">
        <v>3</v>
      </c>
      <c r="K94" t="s">
        <v>818</v>
      </c>
      <c r="L94">
        <v>1327</v>
      </c>
      <c r="N94">
        <v>1005</v>
      </c>
      <c r="O94" t="s">
        <v>72</v>
      </c>
      <c r="P94" t="s">
        <v>72</v>
      </c>
      <c r="Q94">
        <v>1</v>
      </c>
      <c r="X94">
        <v>105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 t="s">
        <v>3</v>
      </c>
      <c r="AG94">
        <v>105</v>
      </c>
      <c r="AH94">
        <v>3</v>
      </c>
      <c r="AI94">
        <v>-1</v>
      </c>
      <c r="AJ94" t="s">
        <v>3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ROW(Source!A63)</f>
        <v>63</v>
      </c>
      <c r="B95">
        <v>145041165</v>
      </c>
      <c r="C95">
        <v>145041144</v>
      </c>
      <c r="D95">
        <v>140772680</v>
      </c>
      <c r="E95">
        <v>1</v>
      </c>
      <c r="F95">
        <v>1</v>
      </c>
      <c r="G95">
        <v>1</v>
      </c>
      <c r="H95">
        <v>3</v>
      </c>
      <c r="I95" t="s">
        <v>635</v>
      </c>
      <c r="J95" t="s">
        <v>636</v>
      </c>
      <c r="K95" t="s">
        <v>637</v>
      </c>
      <c r="L95">
        <v>1339</v>
      </c>
      <c r="N95">
        <v>1007</v>
      </c>
      <c r="O95" t="s">
        <v>638</v>
      </c>
      <c r="P95" t="s">
        <v>638</v>
      </c>
      <c r="Q95">
        <v>1</v>
      </c>
      <c r="X95">
        <v>3.5000000000000003E-2</v>
      </c>
      <c r="Y95">
        <v>2.44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3.5000000000000003E-2</v>
      </c>
      <c r="AH95">
        <v>2</v>
      </c>
      <c r="AI95">
        <v>145041148</v>
      </c>
      <c r="AJ95">
        <v>88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ROW(Source!A63)</f>
        <v>63</v>
      </c>
      <c r="B96">
        <v>145041166</v>
      </c>
      <c r="C96">
        <v>145041144</v>
      </c>
      <c r="D96">
        <v>140772927</v>
      </c>
      <c r="E96">
        <v>1</v>
      </c>
      <c r="F96">
        <v>1</v>
      </c>
      <c r="G96">
        <v>1</v>
      </c>
      <c r="H96">
        <v>3</v>
      </c>
      <c r="I96" t="s">
        <v>639</v>
      </c>
      <c r="J96" t="s">
        <v>640</v>
      </c>
      <c r="K96" t="s">
        <v>641</v>
      </c>
      <c r="L96">
        <v>1301</v>
      </c>
      <c r="N96">
        <v>1003</v>
      </c>
      <c r="O96" t="s">
        <v>191</v>
      </c>
      <c r="P96" t="s">
        <v>191</v>
      </c>
      <c r="Q96">
        <v>1</v>
      </c>
      <c r="X96">
        <v>93.81</v>
      </c>
      <c r="Y96">
        <v>0.6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F96" t="s">
        <v>3</v>
      </c>
      <c r="AG96">
        <v>93.81</v>
      </c>
      <c r="AH96">
        <v>2</v>
      </c>
      <c r="AI96">
        <v>145041149</v>
      </c>
      <c r="AJ96">
        <v>89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ROW(Source!A63)</f>
        <v>63</v>
      </c>
      <c r="B97">
        <v>145041167</v>
      </c>
      <c r="C97">
        <v>145041144</v>
      </c>
      <c r="D97">
        <v>140772954</v>
      </c>
      <c r="E97">
        <v>1</v>
      </c>
      <c r="F97">
        <v>1</v>
      </c>
      <c r="G97">
        <v>1</v>
      </c>
      <c r="H97">
        <v>3</v>
      </c>
      <c r="I97" t="s">
        <v>642</v>
      </c>
      <c r="J97" t="s">
        <v>643</v>
      </c>
      <c r="K97" t="s">
        <v>644</v>
      </c>
      <c r="L97">
        <v>1301</v>
      </c>
      <c r="N97">
        <v>1003</v>
      </c>
      <c r="O97" t="s">
        <v>191</v>
      </c>
      <c r="P97" t="s">
        <v>191</v>
      </c>
      <c r="Q97">
        <v>1</v>
      </c>
      <c r="X97">
        <v>130</v>
      </c>
      <c r="Y97">
        <v>0.17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F97" t="s">
        <v>3</v>
      </c>
      <c r="AG97">
        <v>130</v>
      </c>
      <c r="AH97">
        <v>2</v>
      </c>
      <c r="AI97">
        <v>145041150</v>
      </c>
      <c r="AJ97">
        <v>90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ROW(Source!A63)</f>
        <v>63</v>
      </c>
      <c r="B98">
        <v>145041168</v>
      </c>
      <c r="C98">
        <v>145041144</v>
      </c>
      <c r="D98">
        <v>140772959</v>
      </c>
      <c r="E98">
        <v>1</v>
      </c>
      <c r="F98">
        <v>1</v>
      </c>
      <c r="G98">
        <v>1</v>
      </c>
      <c r="H98">
        <v>3</v>
      </c>
      <c r="I98" t="s">
        <v>645</v>
      </c>
      <c r="J98" t="s">
        <v>646</v>
      </c>
      <c r="K98" t="s">
        <v>647</v>
      </c>
      <c r="L98">
        <v>1308</v>
      </c>
      <c r="N98">
        <v>1003</v>
      </c>
      <c r="O98" t="s">
        <v>53</v>
      </c>
      <c r="P98" t="s">
        <v>53</v>
      </c>
      <c r="Q98">
        <v>100</v>
      </c>
      <c r="X98">
        <v>0.33329999999999999</v>
      </c>
      <c r="Y98">
        <v>173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0</v>
      </c>
      <c r="AF98" t="s">
        <v>3</v>
      </c>
      <c r="AG98">
        <v>0.33329999999999999</v>
      </c>
      <c r="AH98">
        <v>2</v>
      </c>
      <c r="AI98">
        <v>145041151</v>
      </c>
      <c r="AJ98">
        <v>91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ROW(Source!A63)</f>
        <v>63</v>
      </c>
      <c r="B99">
        <v>145041169</v>
      </c>
      <c r="C99">
        <v>145041144</v>
      </c>
      <c r="D99">
        <v>140775228</v>
      </c>
      <c r="E99">
        <v>1</v>
      </c>
      <c r="F99">
        <v>1</v>
      </c>
      <c r="G99">
        <v>1</v>
      </c>
      <c r="H99">
        <v>3</v>
      </c>
      <c r="I99" t="s">
        <v>648</v>
      </c>
      <c r="J99" t="s">
        <v>649</v>
      </c>
      <c r="K99" t="s">
        <v>650</v>
      </c>
      <c r="L99">
        <v>1425</v>
      </c>
      <c r="N99">
        <v>1013</v>
      </c>
      <c r="O99" t="s">
        <v>21</v>
      </c>
      <c r="P99" t="s">
        <v>21</v>
      </c>
      <c r="Q99">
        <v>1</v>
      </c>
      <c r="X99">
        <v>3.53</v>
      </c>
      <c r="Y99">
        <v>8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3.53</v>
      </c>
      <c r="AH99">
        <v>2</v>
      </c>
      <c r="AI99">
        <v>145041152</v>
      </c>
      <c r="AJ99">
        <v>92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ROW(Source!A63)</f>
        <v>63</v>
      </c>
      <c r="B100">
        <v>145041170</v>
      </c>
      <c r="C100">
        <v>145041144</v>
      </c>
      <c r="D100">
        <v>140775473</v>
      </c>
      <c r="E100">
        <v>1</v>
      </c>
      <c r="F100">
        <v>1</v>
      </c>
      <c r="G100">
        <v>1</v>
      </c>
      <c r="H100">
        <v>3</v>
      </c>
      <c r="I100" t="s">
        <v>651</v>
      </c>
      <c r="J100" t="s">
        <v>652</v>
      </c>
      <c r="K100" t="s">
        <v>653</v>
      </c>
      <c r="L100">
        <v>1425</v>
      </c>
      <c r="N100">
        <v>1013</v>
      </c>
      <c r="O100" t="s">
        <v>21</v>
      </c>
      <c r="P100" t="s">
        <v>21</v>
      </c>
      <c r="Q100">
        <v>1</v>
      </c>
      <c r="X100">
        <v>4.29</v>
      </c>
      <c r="Y100">
        <v>2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4.29</v>
      </c>
      <c r="AH100">
        <v>2</v>
      </c>
      <c r="AI100">
        <v>145041153</v>
      </c>
      <c r="AJ100">
        <v>93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ROW(Source!A63)</f>
        <v>63</v>
      </c>
      <c r="B101">
        <v>145041171</v>
      </c>
      <c r="C101">
        <v>145041144</v>
      </c>
      <c r="D101">
        <v>140775475</v>
      </c>
      <c r="E101">
        <v>1</v>
      </c>
      <c r="F101">
        <v>1</v>
      </c>
      <c r="G101">
        <v>1</v>
      </c>
      <c r="H101">
        <v>3</v>
      </c>
      <c r="I101" t="s">
        <v>654</v>
      </c>
      <c r="J101" t="s">
        <v>655</v>
      </c>
      <c r="K101" t="s">
        <v>656</v>
      </c>
      <c r="L101">
        <v>1425</v>
      </c>
      <c r="N101">
        <v>1013</v>
      </c>
      <c r="O101" t="s">
        <v>21</v>
      </c>
      <c r="P101" t="s">
        <v>21</v>
      </c>
      <c r="Q101">
        <v>1</v>
      </c>
      <c r="X101">
        <v>16.670000000000002</v>
      </c>
      <c r="Y101">
        <v>2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16.670000000000002</v>
      </c>
      <c r="AH101">
        <v>2</v>
      </c>
      <c r="AI101">
        <v>145041154</v>
      </c>
      <c r="AJ101">
        <v>94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ROW(Source!A63)</f>
        <v>63</v>
      </c>
      <c r="B102">
        <v>145041172</v>
      </c>
      <c r="C102">
        <v>145041144</v>
      </c>
      <c r="D102">
        <v>140789464</v>
      </c>
      <c r="E102">
        <v>1</v>
      </c>
      <c r="F102">
        <v>1</v>
      </c>
      <c r="G102">
        <v>1</v>
      </c>
      <c r="H102">
        <v>3</v>
      </c>
      <c r="I102" t="s">
        <v>189</v>
      </c>
      <c r="J102" t="s">
        <v>192</v>
      </c>
      <c r="K102" t="s">
        <v>190</v>
      </c>
      <c r="L102">
        <v>1301</v>
      </c>
      <c r="N102">
        <v>1003</v>
      </c>
      <c r="O102" t="s">
        <v>191</v>
      </c>
      <c r="P102" t="s">
        <v>191</v>
      </c>
      <c r="Q102">
        <v>1</v>
      </c>
      <c r="X102">
        <v>80.95</v>
      </c>
      <c r="Y102">
        <v>4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80.95</v>
      </c>
      <c r="AH102">
        <v>2</v>
      </c>
      <c r="AI102">
        <v>145041155</v>
      </c>
      <c r="AJ102">
        <v>95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ROW(Source!A63)</f>
        <v>63</v>
      </c>
      <c r="B103">
        <v>145041173</v>
      </c>
      <c r="C103">
        <v>145041144</v>
      </c>
      <c r="D103">
        <v>140789482</v>
      </c>
      <c r="E103">
        <v>1</v>
      </c>
      <c r="F103">
        <v>1</v>
      </c>
      <c r="G103">
        <v>1</v>
      </c>
      <c r="H103">
        <v>3</v>
      </c>
      <c r="I103" t="s">
        <v>194</v>
      </c>
      <c r="J103" t="s">
        <v>196</v>
      </c>
      <c r="K103" t="s">
        <v>195</v>
      </c>
      <c r="L103">
        <v>1301</v>
      </c>
      <c r="N103">
        <v>1003</v>
      </c>
      <c r="O103" t="s">
        <v>191</v>
      </c>
      <c r="P103" t="s">
        <v>191</v>
      </c>
      <c r="Q103">
        <v>1</v>
      </c>
      <c r="X103">
        <v>171.83</v>
      </c>
      <c r="Y103">
        <v>5.5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171.83</v>
      </c>
      <c r="AH103">
        <v>2</v>
      </c>
      <c r="AI103">
        <v>145041156</v>
      </c>
      <c r="AJ103">
        <v>96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2">
      <c r="A104">
        <f>ROW(Source!A63)</f>
        <v>63</v>
      </c>
      <c r="B104">
        <v>145041174</v>
      </c>
      <c r="C104">
        <v>145041144</v>
      </c>
      <c r="D104">
        <v>140789572</v>
      </c>
      <c r="E104">
        <v>1</v>
      </c>
      <c r="F104">
        <v>1</v>
      </c>
      <c r="G104">
        <v>1</v>
      </c>
      <c r="H104">
        <v>3</v>
      </c>
      <c r="I104" t="s">
        <v>198</v>
      </c>
      <c r="J104" t="s">
        <v>200</v>
      </c>
      <c r="K104" t="s">
        <v>199</v>
      </c>
      <c r="L104">
        <v>1425</v>
      </c>
      <c r="N104">
        <v>1013</v>
      </c>
      <c r="O104" t="s">
        <v>21</v>
      </c>
      <c r="P104" t="s">
        <v>21</v>
      </c>
      <c r="Q104">
        <v>1</v>
      </c>
      <c r="X104">
        <v>2.14</v>
      </c>
      <c r="Y104">
        <v>68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3</v>
      </c>
      <c r="AG104">
        <v>2.14</v>
      </c>
      <c r="AH104">
        <v>2</v>
      </c>
      <c r="AI104">
        <v>145041157</v>
      </c>
      <c r="AJ104">
        <v>97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ROW(Source!A63)</f>
        <v>63</v>
      </c>
      <c r="B105">
        <v>145041175</v>
      </c>
      <c r="C105">
        <v>145041144</v>
      </c>
      <c r="D105">
        <v>140789614</v>
      </c>
      <c r="E105">
        <v>1</v>
      </c>
      <c r="F105">
        <v>1</v>
      </c>
      <c r="G105">
        <v>1</v>
      </c>
      <c r="H105">
        <v>3</v>
      </c>
      <c r="I105" t="s">
        <v>202</v>
      </c>
      <c r="J105" t="s">
        <v>204</v>
      </c>
      <c r="K105" t="s">
        <v>203</v>
      </c>
      <c r="L105">
        <v>1425</v>
      </c>
      <c r="N105">
        <v>1013</v>
      </c>
      <c r="O105" t="s">
        <v>21</v>
      </c>
      <c r="P105" t="s">
        <v>21</v>
      </c>
      <c r="Q105">
        <v>1</v>
      </c>
      <c r="X105">
        <v>0.36</v>
      </c>
      <c r="Y105">
        <v>160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F105" t="s">
        <v>3</v>
      </c>
      <c r="AG105">
        <v>0.36</v>
      </c>
      <c r="AH105">
        <v>2</v>
      </c>
      <c r="AI105">
        <v>145041158</v>
      </c>
      <c r="AJ105">
        <v>98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ROW(Source!A63)</f>
        <v>63</v>
      </c>
      <c r="B106">
        <v>145041176</v>
      </c>
      <c r="C106">
        <v>145041144</v>
      </c>
      <c r="D106">
        <v>140804066</v>
      </c>
      <c r="E106">
        <v>1</v>
      </c>
      <c r="F106">
        <v>1</v>
      </c>
      <c r="G106">
        <v>1</v>
      </c>
      <c r="H106">
        <v>3</v>
      </c>
      <c r="I106" t="s">
        <v>657</v>
      </c>
      <c r="J106" t="s">
        <v>658</v>
      </c>
      <c r="K106" t="s">
        <v>659</v>
      </c>
      <c r="L106">
        <v>1346</v>
      </c>
      <c r="N106">
        <v>1009</v>
      </c>
      <c r="O106" t="s">
        <v>154</v>
      </c>
      <c r="P106" t="s">
        <v>154</v>
      </c>
      <c r="Q106">
        <v>1</v>
      </c>
      <c r="X106">
        <v>0.56999999999999995</v>
      </c>
      <c r="Y106">
        <v>13.08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F106" t="s">
        <v>3</v>
      </c>
      <c r="AG106">
        <v>0.56999999999999995</v>
      </c>
      <c r="AH106">
        <v>2</v>
      </c>
      <c r="AI106">
        <v>145041159</v>
      </c>
      <c r="AJ106">
        <v>99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ROW(Source!A63)</f>
        <v>63</v>
      </c>
      <c r="B107">
        <v>145041177</v>
      </c>
      <c r="C107">
        <v>145041144</v>
      </c>
      <c r="D107">
        <v>140805258</v>
      </c>
      <c r="E107">
        <v>1</v>
      </c>
      <c r="F107">
        <v>1</v>
      </c>
      <c r="G107">
        <v>1</v>
      </c>
      <c r="H107">
        <v>3</v>
      </c>
      <c r="I107" t="s">
        <v>660</v>
      </c>
      <c r="J107" t="s">
        <v>661</v>
      </c>
      <c r="K107" t="s">
        <v>662</v>
      </c>
      <c r="L107">
        <v>1346</v>
      </c>
      <c r="N107">
        <v>1009</v>
      </c>
      <c r="O107" t="s">
        <v>154</v>
      </c>
      <c r="P107" t="s">
        <v>154</v>
      </c>
      <c r="Q107">
        <v>1</v>
      </c>
      <c r="X107">
        <v>41.4</v>
      </c>
      <c r="Y107">
        <v>2.7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0</v>
      </c>
      <c r="AF107" t="s">
        <v>3</v>
      </c>
      <c r="AG107">
        <v>41.4</v>
      </c>
      <c r="AH107">
        <v>2</v>
      </c>
      <c r="AI107">
        <v>145041160</v>
      </c>
      <c r="AJ107">
        <v>100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ROW(Source!A73)</f>
        <v>73</v>
      </c>
      <c r="B108">
        <v>145039107</v>
      </c>
      <c r="C108">
        <v>145039089</v>
      </c>
      <c r="D108">
        <v>140760008</v>
      </c>
      <c r="E108">
        <v>70</v>
      </c>
      <c r="F108">
        <v>1</v>
      </c>
      <c r="G108">
        <v>1</v>
      </c>
      <c r="H108">
        <v>1</v>
      </c>
      <c r="I108" t="s">
        <v>663</v>
      </c>
      <c r="J108" t="s">
        <v>3</v>
      </c>
      <c r="K108" t="s">
        <v>664</v>
      </c>
      <c r="L108">
        <v>1191</v>
      </c>
      <c r="N108">
        <v>1013</v>
      </c>
      <c r="O108" t="s">
        <v>608</v>
      </c>
      <c r="P108" t="s">
        <v>608</v>
      </c>
      <c r="Q108">
        <v>1</v>
      </c>
      <c r="X108">
        <v>3.69</v>
      </c>
      <c r="Y108">
        <v>0</v>
      </c>
      <c r="Z108">
        <v>0</v>
      </c>
      <c r="AA108">
        <v>0</v>
      </c>
      <c r="AB108">
        <v>9.18</v>
      </c>
      <c r="AC108">
        <v>0</v>
      </c>
      <c r="AD108">
        <v>1</v>
      </c>
      <c r="AE108">
        <v>1</v>
      </c>
      <c r="AF108" t="s">
        <v>149</v>
      </c>
      <c r="AG108">
        <v>4.2435</v>
      </c>
      <c r="AH108">
        <v>2</v>
      </c>
      <c r="AI108">
        <v>145039107</v>
      </c>
      <c r="AJ108">
        <v>101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ROW(Source!A73)</f>
        <v>73</v>
      </c>
      <c r="B109">
        <v>145039108</v>
      </c>
      <c r="C109">
        <v>145039089</v>
      </c>
      <c r="D109">
        <v>140760225</v>
      </c>
      <c r="E109">
        <v>70</v>
      </c>
      <c r="F109">
        <v>1</v>
      </c>
      <c r="G109">
        <v>1</v>
      </c>
      <c r="H109">
        <v>1</v>
      </c>
      <c r="I109" t="s">
        <v>609</v>
      </c>
      <c r="J109" t="s">
        <v>3</v>
      </c>
      <c r="K109" t="s">
        <v>610</v>
      </c>
      <c r="L109">
        <v>1191</v>
      </c>
      <c r="N109">
        <v>1013</v>
      </c>
      <c r="O109" t="s">
        <v>608</v>
      </c>
      <c r="P109" t="s">
        <v>608</v>
      </c>
      <c r="Q109">
        <v>1</v>
      </c>
      <c r="X109">
        <v>0.05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2</v>
      </c>
      <c r="AF109" t="s">
        <v>148</v>
      </c>
      <c r="AG109">
        <v>6.25E-2</v>
      </c>
      <c r="AH109">
        <v>2</v>
      </c>
      <c r="AI109">
        <v>145039108</v>
      </c>
      <c r="AJ109">
        <v>102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ROW(Source!A73)</f>
        <v>73</v>
      </c>
      <c r="B110">
        <v>145039109</v>
      </c>
      <c r="C110">
        <v>145039089</v>
      </c>
      <c r="D110">
        <v>140923143</v>
      </c>
      <c r="E110">
        <v>1</v>
      </c>
      <c r="F110">
        <v>1</v>
      </c>
      <c r="G110">
        <v>1</v>
      </c>
      <c r="H110">
        <v>2</v>
      </c>
      <c r="I110" t="s">
        <v>702</v>
      </c>
      <c r="J110" t="s">
        <v>703</v>
      </c>
      <c r="K110" t="s">
        <v>704</v>
      </c>
      <c r="L110">
        <v>1367</v>
      </c>
      <c r="N110">
        <v>1011</v>
      </c>
      <c r="O110" t="s">
        <v>614</v>
      </c>
      <c r="P110" t="s">
        <v>614</v>
      </c>
      <c r="Q110">
        <v>1</v>
      </c>
      <c r="X110">
        <v>0.01</v>
      </c>
      <c r="Y110">
        <v>0</v>
      </c>
      <c r="Z110">
        <v>27.66</v>
      </c>
      <c r="AA110">
        <v>11.6</v>
      </c>
      <c r="AB110">
        <v>0</v>
      </c>
      <c r="AC110">
        <v>0</v>
      </c>
      <c r="AD110">
        <v>1</v>
      </c>
      <c r="AE110">
        <v>0</v>
      </c>
      <c r="AF110" t="s">
        <v>148</v>
      </c>
      <c r="AG110">
        <v>1.2500000000000001E-2</v>
      </c>
      <c r="AH110">
        <v>2</v>
      </c>
      <c r="AI110">
        <v>145039109</v>
      </c>
      <c r="AJ110">
        <v>103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ROW(Source!A73)</f>
        <v>73</v>
      </c>
      <c r="B111">
        <v>145039110</v>
      </c>
      <c r="C111">
        <v>145039089</v>
      </c>
      <c r="D111">
        <v>140923885</v>
      </c>
      <c r="E111">
        <v>1</v>
      </c>
      <c r="F111">
        <v>1</v>
      </c>
      <c r="G111">
        <v>1</v>
      </c>
      <c r="H111">
        <v>2</v>
      </c>
      <c r="I111" t="s">
        <v>668</v>
      </c>
      <c r="J111" t="s">
        <v>669</v>
      </c>
      <c r="K111" t="s">
        <v>670</v>
      </c>
      <c r="L111">
        <v>1367</v>
      </c>
      <c r="N111">
        <v>1011</v>
      </c>
      <c r="O111" t="s">
        <v>614</v>
      </c>
      <c r="P111" t="s">
        <v>614</v>
      </c>
      <c r="Q111">
        <v>1</v>
      </c>
      <c r="X111">
        <v>0.04</v>
      </c>
      <c r="Y111">
        <v>0</v>
      </c>
      <c r="Z111">
        <v>65.709999999999994</v>
      </c>
      <c r="AA111">
        <v>11.6</v>
      </c>
      <c r="AB111">
        <v>0</v>
      </c>
      <c r="AC111">
        <v>0</v>
      </c>
      <c r="AD111">
        <v>1</v>
      </c>
      <c r="AE111">
        <v>0</v>
      </c>
      <c r="AF111" t="s">
        <v>148</v>
      </c>
      <c r="AG111">
        <v>0.05</v>
      </c>
      <c r="AH111">
        <v>2</v>
      </c>
      <c r="AI111">
        <v>145039110</v>
      </c>
      <c r="AJ111">
        <v>104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ROW(Source!A73)</f>
        <v>73</v>
      </c>
      <c r="B112">
        <v>145039111</v>
      </c>
      <c r="C112">
        <v>145039089</v>
      </c>
      <c r="D112">
        <v>140924526</v>
      </c>
      <c r="E112">
        <v>1</v>
      </c>
      <c r="F112">
        <v>1</v>
      </c>
      <c r="G112">
        <v>1</v>
      </c>
      <c r="H112">
        <v>2</v>
      </c>
      <c r="I112" t="s">
        <v>705</v>
      </c>
      <c r="J112" t="s">
        <v>706</v>
      </c>
      <c r="K112" t="s">
        <v>707</v>
      </c>
      <c r="L112">
        <v>1367</v>
      </c>
      <c r="N112">
        <v>1011</v>
      </c>
      <c r="O112" t="s">
        <v>614</v>
      </c>
      <c r="P112" t="s">
        <v>614</v>
      </c>
      <c r="Q112">
        <v>1</v>
      </c>
      <c r="X112">
        <v>2.82</v>
      </c>
      <c r="Y112">
        <v>0</v>
      </c>
      <c r="Z112">
        <v>6.82</v>
      </c>
      <c r="AA112">
        <v>0</v>
      </c>
      <c r="AB112">
        <v>0</v>
      </c>
      <c r="AC112">
        <v>0</v>
      </c>
      <c r="AD112">
        <v>1</v>
      </c>
      <c r="AE112">
        <v>0</v>
      </c>
      <c r="AF112" t="s">
        <v>148</v>
      </c>
      <c r="AG112">
        <v>3.5249999999999999</v>
      </c>
      <c r="AH112">
        <v>2</v>
      </c>
      <c r="AI112">
        <v>145039111</v>
      </c>
      <c r="AJ112">
        <v>105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ROW(Source!A73)</f>
        <v>73</v>
      </c>
      <c r="B113">
        <v>145039112</v>
      </c>
      <c r="C113">
        <v>145039089</v>
      </c>
      <c r="D113">
        <v>140772680</v>
      </c>
      <c r="E113">
        <v>1</v>
      </c>
      <c r="F113">
        <v>1</v>
      </c>
      <c r="G113">
        <v>1</v>
      </c>
      <c r="H113">
        <v>3</v>
      </c>
      <c r="I113" t="s">
        <v>635</v>
      </c>
      <c r="J113" t="s">
        <v>636</v>
      </c>
      <c r="K113" t="s">
        <v>637</v>
      </c>
      <c r="L113">
        <v>1339</v>
      </c>
      <c r="N113">
        <v>1007</v>
      </c>
      <c r="O113" t="s">
        <v>638</v>
      </c>
      <c r="P113" t="s">
        <v>638</v>
      </c>
      <c r="Q113">
        <v>1</v>
      </c>
      <c r="X113">
        <v>0.01</v>
      </c>
      <c r="Y113">
        <v>2.44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F113" t="s">
        <v>3</v>
      </c>
      <c r="AG113">
        <v>0.01</v>
      </c>
      <c r="AH113">
        <v>2</v>
      </c>
      <c r="AI113">
        <v>145039112</v>
      </c>
      <c r="AJ113">
        <v>106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ROW(Source!A73)</f>
        <v>73</v>
      </c>
      <c r="B114">
        <v>145039113</v>
      </c>
      <c r="C114">
        <v>145039089</v>
      </c>
      <c r="D114">
        <v>140776226</v>
      </c>
      <c r="E114">
        <v>1</v>
      </c>
      <c r="F114">
        <v>1</v>
      </c>
      <c r="G114">
        <v>1</v>
      </c>
      <c r="H114">
        <v>3</v>
      </c>
      <c r="I114" t="s">
        <v>680</v>
      </c>
      <c r="J114" t="s">
        <v>681</v>
      </c>
      <c r="K114" t="s">
        <v>682</v>
      </c>
      <c r="L114">
        <v>1346</v>
      </c>
      <c r="N114">
        <v>1009</v>
      </c>
      <c r="O114" t="s">
        <v>154</v>
      </c>
      <c r="P114" t="s">
        <v>154</v>
      </c>
      <c r="Q114">
        <v>1</v>
      </c>
      <c r="X114">
        <v>1</v>
      </c>
      <c r="Y114">
        <v>1.82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0</v>
      </c>
      <c r="AF114" t="s">
        <v>3</v>
      </c>
      <c r="AG114">
        <v>1</v>
      </c>
      <c r="AH114">
        <v>2</v>
      </c>
      <c r="AI114">
        <v>145039113</v>
      </c>
      <c r="AJ114">
        <v>107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ROW(Source!A73)</f>
        <v>73</v>
      </c>
      <c r="B115">
        <v>145039114</v>
      </c>
      <c r="C115">
        <v>145039089</v>
      </c>
      <c r="D115">
        <v>140763283</v>
      </c>
      <c r="E115">
        <v>70</v>
      </c>
      <c r="F115">
        <v>1</v>
      </c>
      <c r="G115">
        <v>1</v>
      </c>
      <c r="H115">
        <v>3</v>
      </c>
      <c r="I115" t="s">
        <v>825</v>
      </c>
      <c r="J115" t="s">
        <v>3</v>
      </c>
      <c r="K115" t="s">
        <v>826</v>
      </c>
      <c r="L115">
        <v>1346</v>
      </c>
      <c r="N115">
        <v>1009</v>
      </c>
      <c r="O115" t="s">
        <v>154</v>
      </c>
      <c r="P115" t="s">
        <v>154</v>
      </c>
      <c r="Q115">
        <v>1</v>
      </c>
      <c r="X115">
        <v>13.8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 t="s">
        <v>3</v>
      </c>
      <c r="AG115">
        <v>13.8</v>
      </c>
      <c r="AH115">
        <v>3</v>
      </c>
      <c r="AI115">
        <v>-1</v>
      </c>
      <c r="AJ115" t="s">
        <v>3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ROW(Source!A75)</f>
        <v>75</v>
      </c>
      <c r="B116">
        <v>145033923</v>
      </c>
      <c r="C116">
        <v>145027284</v>
      </c>
      <c r="D116">
        <v>140760008</v>
      </c>
      <c r="E116">
        <v>70</v>
      </c>
      <c r="F116">
        <v>1</v>
      </c>
      <c r="G116">
        <v>1</v>
      </c>
      <c r="H116">
        <v>1</v>
      </c>
      <c r="I116" t="s">
        <v>663</v>
      </c>
      <c r="J116" t="s">
        <v>3</v>
      </c>
      <c r="K116" t="s">
        <v>664</v>
      </c>
      <c r="L116">
        <v>1191</v>
      </c>
      <c r="N116">
        <v>1013</v>
      </c>
      <c r="O116" t="s">
        <v>608</v>
      </c>
      <c r="P116" t="s">
        <v>608</v>
      </c>
      <c r="Q116">
        <v>1</v>
      </c>
      <c r="X116">
        <v>115.26</v>
      </c>
      <c r="Y116">
        <v>0</v>
      </c>
      <c r="Z116">
        <v>0</v>
      </c>
      <c r="AA116">
        <v>0</v>
      </c>
      <c r="AB116">
        <v>9.18</v>
      </c>
      <c r="AC116">
        <v>0</v>
      </c>
      <c r="AD116">
        <v>1</v>
      </c>
      <c r="AE116">
        <v>1</v>
      </c>
      <c r="AF116" t="s">
        <v>149</v>
      </c>
      <c r="AG116">
        <v>132.54900000000001</v>
      </c>
      <c r="AH116">
        <v>2</v>
      </c>
      <c r="AI116">
        <v>145033923</v>
      </c>
      <c r="AJ116">
        <v>108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ROW(Source!A75)</f>
        <v>75</v>
      </c>
      <c r="B117">
        <v>145033924</v>
      </c>
      <c r="C117">
        <v>145027284</v>
      </c>
      <c r="D117">
        <v>140760225</v>
      </c>
      <c r="E117">
        <v>70</v>
      </c>
      <c r="F117">
        <v>1</v>
      </c>
      <c r="G117">
        <v>1</v>
      </c>
      <c r="H117">
        <v>1</v>
      </c>
      <c r="I117" t="s">
        <v>609</v>
      </c>
      <c r="J117" t="s">
        <v>3</v>
      </c>
      <c r="K117" t="s">
        <v>610</v>
      </c>
      <c r="L117">
        <v>1191</v>
      </c>
      <c r="N117">
        <v>1013</v>
      </c>
      <c r="O117" t="s">
        <v>608</v>
      </c>
      <c r="P117" t="s">
        <v>608</v>
      </c>
      <c r="Q117">
        <v>1</v>
      </c>
      <c r="X117">
        <v>1.65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2</v>
      </c>
      <c r="AF117" t="s">
        <v>148</v>
      </c>
      <c r="AG117">
        <v>2.0625</v>
      </c>
      <c r="AH117">
        <v>2</v>
      </c>
      <c r="AI117">
        <v>145033924</v>
      </c>
      <c r="AJ117">
        <v>109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ROW(Source!A75)</f>
        <v>75</v>
      </c>
      <c r="B118">
        <v>145033925</v>
      </c>
      <c r="C118">
        <v>145027284</v>
      </c>
      <c r="D118">
        <v>140923105</v>
      </c>
      <c r="E118">
        <v>1</v>
      </c>
      <c r="F118">
        <v>1</v>
      </c>
      <c r="G118">
        <v>1</v>
      </c>
      <c r="H118">
        <v>2</v>
      </c>
      <c r="I118" t="s">
        <v>710</v>
      </c>
      <c r="J118" t="s">
        <v>711</v>
      </c>
      <c r="K118" t="s">
        <v>712</v>
      </c>
      <c r="L118">
        <v>1367</v>
      </c>
      <c r="N118">
        <v>1011</v>
      </c>
      <c r="O118" t="s">
        <v>614</v>
      </c>
      <c r="P118" t="s">
        <v>614</v>
      </c>
      <c r="Q118">
        <v>1</v>
      </c>
      <c r="X118">
        <v>0.08</v>
      </c>
      <c r="Y118">
        <v>0</v>
      </c>
      <c r="Z118">
        <v>89.99</v>
      </c>
      <c r="AA118">
        <v>10.06</v>
      </c>
      <c r="AB118">
        <v>0</v>
      </c>
      <c r="AC118">
        <v>0</v>
      </c>
      <c r="AD118">
        <v>1</v>
      </c>
      <c r="AE118">
        <v>0</v>
      </c>
      <c r="AF118" t="s">
        <v>148</v>
      </c>
      <c r="AG118">
        <v>0.1</v>
      </c>
      <c r="AH118">
        <v>2</v>
      </c>
      <c r="AI118">
        <v>145033925</v>
      </c>
      <c r="AJ118">
        <v>110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ROW(Source!A75)</f>
        <v>75</v>
      </c>
      <c r="B119">
        <v>145033926</v>
      </c>
      <c r="C119">
        <v>145027284</v>
      </c>
      <c r="D119">
        <v>140923145</v>
      </c>
      <c r="E119">
        <v>1</v>
      </c>
      <c r="F119">
        <v>1</v>
      </c>
      <c r="G119">
        <v>1</v>
      </c>
      <c r="H119">
        <v>2</v>
      </c>
      <c r="I119" t="s">
        <v>611</v>
      </c>
      <c r="J119" t="s">
        <v>612</v>
      </c>
      <c r="K119" t="s">
        <v>613</v>
      </c>
      <c r="L119">
        <v>1367</v>
      </c>
      <c r="N119">
        <v>1011</v>
      </c>
      <c r="O119" t="s">
        <v>614</v>
      </c>
      <c r="P119" t="s">
        <v>614</v>
      </c>
      <c r="Q119">
        <v>1</v>
      </c>
      <c r="X119">
        <v>0.27</v>
      </c>
      <c r="Y119">
        <v>0</v>
      </c>
      <c r="Z119">
        <v>31.26</v>
      </c>
      <c r="AA119">
        <v>13.5</v>
      </c>
      <c r="AB119">
        <v>0</v>
      </c>
      <c r="AC119">
        <v>0</v>
      </c>
      <c r="AD119">
        <v>1</v>
      </c>
      <c r="AE119">
        <v>0</v>
      </c>
      <c r="AF119" t="s">
        <v>148</v>
      </c>
      <c r="AG119">
        <v>0.33750000000000002</v>
      </c>
      <c r="AH119">
        <v>2</v>
      </c>
      <c r="AI119">
        <v>145033926</v>
      </c>
      <c r="AJ119">
        <v>111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ROW(Source!A75)</f>
        <v>75</v>
      </c>
      <c r="B120">
        <v>145033927</v>
      </c>
      <c r="C120">
        <v>145027284</v>
      </c>
      <c r="D120">
        <v>140923268</v>
      </c>
      <c r="E120">
        <v>1</v>
      </c>
      <c r="F120">
        <v>1</v>
      </c>
      <c r="G120">
        <v>1</v>
      </c>
      <c r="H120">
        <v>2</v>
      </c>
      <c r="I120" t="s">
        <v>713</v>
      </c>
      <c r="J120" t="s">
        <v>714</v>
      </c>
      <c r="K120" t="s">
        <v>715</v>
      </c>
      <c r="L120">
        <v>1367</v>
      </c>
      <c r="N120">
        <v>1011</v>
      </c>
      <c r="O120" t="s">
        <v>614</v>
      </c>
      <c r="P120" t="s">
        <v>614</v>
      </c>
      <c r="Q120">
        <v>1</v>
      </c>
      <c r="X120">
        <v>1.3</v>
      </c>
      <c r="Y120">
        <v>0</v>
      </c>
      <c r="Z120">
        <v>12.39</v>
      </c>
      <c r="AA120">
        <v>10.06</v>
      </c>
      <c r="AB120">
        <v>0</v>
      </c>
      <c r="AC120">
        <v>0</v>
      </c>
      <c r="AD120">
        <v>1</v>
      </c>
      <c r="AE120">
        <v>0</v>
      </c>
      <c r="AF120" t="s">
        <v>148</v>
      </c>
      <c r="AG120">
        <v>1.625</v>
      </c>
      <c r="AH120">
        <v>2</v>
      </c>
      <c r="AI120">
        <v>145033927</v>
      </c>
      <c r="AJ120">
        <v>112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ROW(Source!A75)</f>
        <v>75</v>
      </c>
      <c r="B121">
        <v>145033928</v>
      </c>
      <c r="C121">
        <v>145027284</v>
      </c>
      <c r="D121">
        <v>140772680</v>
      </c>
      <c r="E121">
        <v>1</v>
      </c>
      <c r="F121">
        <v>1</v>
      </c>
      <c r="G121">
        <v>1</v>
      </c>
      <c r="H121">
        <v>3</v>
      </c>
      <c r="I121" t="s">
        <v>635</v>
      </c>
      <c r="J121" t="s">
        <v>636</v>
      </c>
      <c r="K121" t="s">
        <v>637</v>
      </c>
      <c r="L121">
        <v>1339</v>
      </c>
      <c r="N121">
        <v>1007</v>
      </c>
      <c r="O121" t="s">
        <v>638</v>
      </c>
      <c r="P121" t="s">
        <v>638</v>
      </c>
      <c r="Q121">
        <v>1</v>
      </c>
      <c r="X121">
        <v>8.5000000000000006E-2</v>
      </c>
      <c r="Y121">
        <v>2.44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3</v>
      </c>
      <c r="AG121">
        <v>8.5000000000000006E-2</v>
      </c>
      <c r="AH121">
        <v>2</v>
      </c>
      <c r="AI121">
        <v>145033928</v>
      </c>
      <c r="AJ121">
        <v>113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">
      <c r="A122">
        <f>ROW(Source!A75)</f>
        <v>75</v>
      </c>
      <c r="B122">
        <v>145033929</v>
      </c>
      <c r="C122">
        <v>145027284</v>
      </c>
      <c r="D122">
        <v>140776226</v>
      </c>
      <c r="E122">
        <v>1</v>
      </c>
      <c r="F122">
        <v>1</v>
      </c>
      <c r="G122">
        <v>1</v>
      </c>
      <c r="H122">
        <v>3</v>
      </c>
      <c r="I122" t="s">
        <v>680</v>
      </c>
      <c r="J122" t="s">
        <v>681</v>
      </c>
      <c r="K122" t="s">
        <v>682</v>
      </c>
      <c r="L122">
        <v>1346</v>
      </c>
      <c r="N122">
        <v>1009</v>
      </c>
      <c r="O122" t="s">
        <v>154</v>
      </c>
      <c r="P122" t="s">
        <v>154</v>
      </c>
      <c r="Q122">
        <v>1</v>
      </c>
      <c r="X122">
        <v>0.5</v>
      </c>
      <c r="Y122">
        <v>1.82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0.5</v>
      </c>
      <c r="AH122">
        <v>2</v>
      </c>
      <c r="AI122">
        <v>145033929</v>
      </c>
      <c r="AJ122">
        <v>114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2">
      <c r="A123">
        <f>ROW(Source!A75)</f>
        <v>75</v>
      </c>
      <c r="B123">
        <v>145033930</v>
      </c>
      <c r="C123">
        <v>145027284</v>
      </c>
      <c r="D123">
        <v>140761159</v>
      </c>
      <c r="E123">
        <v>70</v>
      </c>
      <c r="F123">
        <v>1</v>
      </c>
      <c r="G123">
        <v>1</v>
      </c>
      <c r="H123">
        <v>3</v>
      </c>
      <c r="I123" t="s">
        <v>827</v>
      </c>
      <c r="J123" t="s">
        <v>3</v>
      </c>
      <c r="K123" t="s">
        <v>828</v>
      </c>
      <c r="L123">
        <v>1348</v>
      </c>
      <c r="N123">
        <v>1009</v>
      </c>
      <c r="O123" t="s">
        <v>49</v>
      </c>
      <c r="P123" t="s">
        <v>49</v>
      </c>
      <c r="Q123">
        <v>1000</v>
      </c>
      <c r="X123">
        <v>0.05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 t="s">
        <v>3</v>
      </c>
      <c r="AG123">
        <v>0.05</v>
      </c>
      <c r="AH123">
        <v>3</v>
      </c>
      <c r="AI123">
        <v>-1</v>
      </c>
      <c r="AJ123" t="s">
        <v>3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ROW(Source!A75)</f>
        <v>75</v>
      </c>
      <c r="B124">
        <v>145033931</v>
      </c>
      <c r="C124">
        <v>145027284</v>
      </c>
      <c r="D124">
        <v>140761843</v>
      </c>
      <c r="E124">
        <v>70</v>
      </c>
      <c r="F124">
        <v>1</v>
      </c>
      <c r="G124">
        <v>1</v>
      </c>
      <c r="H124">
        <v>3</v>
      </c>
      <c r="I124" t="s">
        <v>829</v>
      </c>
      <c r="J124" t="s">
        <v>3</v>
      </c>
      <c r="K124" t="s">
        <v>830</v>
      </c>
      <c r="L124">
        <v>1327</v>
      </c>
      <c r="N124">
        <v>1005</v>
      </c>
      <c r="O124" t="s">
        <v>72</v>
      </c>
      <c r="P124" t="s">
        <v>72</v>
      </c>
      <c r="Q124">
        <v>1</v>
      </c>
      <c r="X124">
        <v>100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 t="s">
        <v>3</v>
      </c>
      <c r="AG124">
        <v>100</v>
      </c>
      <c r="AH124">
        <v>3</v>
      </c>
      <c r="AI124">
        <v>-1</v>
      </c>
      <c r="AJ124" t="s">
        <v>3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ROW(Source!A75)</f>
        <v>75</v>
      </c>
      <c r="B125">
        <v>145033932</v>
      </c>
      <c r="C125">
        <v>145027284</v>
      </c>
      <c r="D125">
        <v>140763169</v>
      </c>
      <c r="E125">
        <v>70</v>
      </c>
      <c r="F125">
        <v>1</v>
      </c>
      <c r="G125">
        <v>1</v>
      </c>
      <c r="H125">
        <v>3</v>
      </c>
      <c r="I125" t="s">
        <v>831</v>
      </c>
      <c r="J125" t="s">
        <v>3</v>
      </c>
      <c r="K125" t="s">
        <v>832</v>
      </c>
      <c r="L125">
        <v>1348</v>
      </c>
      <c r="N125">
        <v>1009</v>
      </c>
      <c r="O125" t="s">
        <v>49</v>
      </c>
      <c r="P125" t="s">
        <v>49</v>
      </c>
      <c r="Q125">
        <v>1000</v>
      </c>
      <c r="X125">
        <v>0.375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 t="s">
        <v>3</v>
      </c>
      <c r="AG125">
        <v>0.375</v>
      </c>
      <c r="AH125">
        <v>3</v>
      </c>
      <c r="AI125">
        <v>-1</v>
      </c>
      <c r="AJ125" t="s">
        <v>3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ROW(Source!A79)</f>
        <v>79</v>
      </c>
      <c r="B126">
        <v>145034112</v>
      </c>
      <c r="C126">
        <v>145034105</v>
      </c>
      <c r="D126">
        <v>140755430</v>
      </c>
      <c r="E126">
        <v>70</v>
      </c>
      <c r="F126">
        <v>1</v>
      </c>
      <c r="G126">
        <v>1</v>
      </c>
      <c r="H126">
        <v>1</v>
      </c>
      <c r="I126" t="s">
        <v>716</v>
      </c>
      <c r="J126" t="s">
        <v>3</v>
      </c>
      <c r="K126" t="s">
        <v>717</v>
      </c>
      <c r="L126">
        <v>1191</v>
      </c>
      <c r="N126">
        <v>1013</v>
      </c>
      <c r="O126" t="s">
        <v>608</v>
      </c>
      <c r="P126" t="s">
        <v>608</v>
      </c>
      <c r="Q126">
        <v>1</v>
      </c>
      <c r="X126">
        <v>31.41</v>
      </c>
      <c r="Y126">
        <v>0</v>
      </c>
      <c r="Z126">
        <v>0</v>
      </c>
      <c r="AA126">
        <v>0</v>
      </c>
      <c r="AB126">
        <v>8.31</v>
      </c>
      <c r="AC126">
        <v>0</v>
      </c>
      <c r="AD126">
        <v>1</v>
      </c>
      <c r="AE126">
        <v>1</v>
      </c>
      <c r="AF126" t="s">
        <v>149</v>
      </c>
      <c r="AG126">
        <v>36.121499999999997</v>
      </c>
      <c r="AH126">
        <v>2</v>
      </c>
      <c r="AI126">
        <v>145034106</v>
      </c>
      <c r="AJ126">
        <v>115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ROW(Source!A79)</f>
        <v>79</v>
      </c>
      <c r="B127">
        <v>145034113</v>
      </c>
      <c r="C127">
        <v>145034105</v>
      </c>
      <c r="D127">
        <v>140755491</v>
      </c>
      <c r="E127">
        <v>70</v>
      </c>
      <c r="F127">
        <v>1</v>
      </c>
      <c r="G127">
        <v>1</v>
      </c>
      <c r="H127">
        <v>1</v>
      </c>
      <c r="I127" t="s">
        <v>609</v>
      </c>
      <c r="J127" t="s">
        <v>3</v>
      </c>
      <c r="K127" t="s">
        <v>610</v>
      </c>
      <c r="L127">
        <v>1191</v>
      </c>
      <c r="N127">
        <v>1013</v>
      </c>
      <c r="O127" t="s">
        <v>608</v>
      </c>
      <c r="P127" t="s">
        <v>608</v>
      </c>
      <c r="Q127">
        <v>1</v>
      </c>
      <c r="X127">
        <v>0.82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1</v>
      </c>
      <c r="AE127">
        <v>2</v>
      </c>
      <c r="AF127" t="s">
        <v>148</v>
      </c>
      <c r="AG127">
        <v>1.0249999999999999</v>
      </c>
      <c r="AH127">
        <v>2</v>
      </c>
      <c r="AI127">
        <v>145034107</v>
      </c>
      <c r="AJ127">
        <v>116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ROW(Source!A79)</f>
        <v>79</v>
      </c>
      <c r="B128">
        <v>145034114</v>
      </c>
      <c r="C128">
        <v>145034105</v>
      </c>
      <c r="D128">
        <v>140923145</v>
      </c>
      <c r="E128">
        <v>1</v>
      </c>
      <c r="F128">
        <v>1</v>
      </c>
      <c r="G128">
        <v>1</v>
      </c>
      <c r="H128">
        <v>2</v>
      </c>
      <c r="I128" t="s">
        <v>611</v>
      </c>
      <c r="J128" t="s">
        <v>612</v>
      </c>
      <c r="K128" t="s">
        <v>613</v>
      </c>
      <c r="L128">
        <v>1367</v>
      </c>
      <c r="N128">
        <v>1011</v>
      </c>
      <c r="O128" t="s">
        <v>614</v>
      </c>
      <c r="P128" t="s">
        <v>614</v>
      </c>
      <c r="Q128">
        <v>1</v>
      </c>
      <c r="X128">
        <v>0.34</v>
      </c>
      <c r="Y128">
        <v>0</v>
      </c>
      <c r="Z128">
        <v>31.26</v>
      </c>
      <c r="AA128">
        <v>13.5</v>
      </c>
      <c r="AB128">
        <v>0</v>
      </c>
      <c r="AC128">
        <v>0</v>
      </c>
      <c r="AD128">
        <v>1</v>
      </c>
      <c r="AE128">
        <v>0</v>
      </c>
      <c r="AF128" t="s">
        <v>148</v>
      </c>
      <c r="AG128">
        <v>0.42500000000000004</v>
      </c>
      <c r="AH128">
        <v>2</v>
      </c>
      <c r="AI128">
        <v>145034108</v>
      </c>
      <c r="AJ128">
        <v>117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ROW(Source!A79)</f>
        <v>79</v>
      </c>
      <c r="B129">
        <v>145034115</v>
      </c>
      <c r="C129">
        <v>145034105</v>
      </c>
      <c r="D129">
        <v>140923885</v>
      </c>
      <c r="E129">
        <v>1</v>
      </c>
      <c r="F129">
        <v>1</v>
      </c>
      <c r="G129">
        <v>1</v>
      </c>
      <c r="H129">
        <v>2</v>
      </c>
      <c r="I129" t="s">
        <v>668</v>
      </c>
      <c r="J129" t="s">
        <v>669</v>
      </c>
      <c r="K129" t="s">
        <v>670</v>
      </c>
      <c r="L129">
        <v>1367</v>
      </c>
      <c r="N129">
        <v>1011</v>
      </c>
      <c r="O129" t="s">
        <v>614</v>
      </c>
      <c r="P129" t="s">
        <v>614</v>
      </c>
      <c r="Q129">
        <v>1</v>
      </c>
      <c r="X129">
        <v>0.48</v>
      </c>
      <c r="Y129">
        <v>0</v>
      </c>
      <c r="Z129">
        <v>65.709999999999994</v>
      </c>
      <c r="AA129">
        <v>11.6</v>
      </c>
      <c r="AB129">
        <v>0</v>
      </c>
      <c r="AC129">
        <v>0</v>
      </c>
      <c r="AD129">
        <v>1</v>
      </c>
      <c r="AE129">
        <v>0</v>
      </c>
      <c r="AF129" t="s">
        <v>148</v>
      </c>
      <c r="AG129">
        <v>0.6</v>
      </c>
      <c r="AH129">
        <v>2</v>
      </c>
      <c r="AI129">
        <v>145034109</v>
      </c>
      <c r="AJ129">
        <v>118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ROW(Source!A79)</f>
        <v>79</v>
      </c>
      <c r="B130">
        <v>145034116</v>
      </c>
      <c r="C130">
        <v>145034105</v>
      </c>
      <c r="D130">
        <v>140760346</v>
      </c>
      <c r="E130">
        <v>70</v>
      </c>
      <c r="F130">
        <v>1</v>
      </c>
      <c r="G130">
        <v>1</v>
      </c>
      <c r="H130">
        <v>3</v>
      </c>
      <c r="I130" t="s">
        <v>833</v>
      </c>
      <c r="J130" t="s">
        <v>3</v>
      </c>
      <c r="K130" t="s">
        <v>834</v>
      </c>
      <c r="L130">
        <v>1327</v>
      </c>
      <c r="N130">
        <v>1005</v>
      </c>
      <c r="O130" t="s">
        <v>72</v>
      </c>
      <c r="P130" t="s">
        <v>72</v>
      </c>
      <c r="Q130">
        <v>1</v>
      </c>
      <c r="X130">
        <v>102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 t="s">
        <v>3</v>
      </c>
      <c r="AG130">
        <v>102</v>
      </c>
      <c r="AH130">
        <v>3</v>
      </c>
      <c r="AI130">
        <v>-1</v>
      </c>
      <c r="AJ130" t="s">
        <v>3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ROW(Source!A79)</f>
        <v>79</v>
      </c>
      <c r="B131">
        <v>145034117</v>
      </c>
      <c r="C131">
        <v>145034105</v>
      </c>
      <c r="D131">
        <v>140772692</v>
      </c>
      <c r="E131">
        <v>1</v>
      </c>
      <c r="F131">
        <v>1</v>
      </c>
      <c r="G131">
        <v>1</v>
      </c>
      <c r="H131">
        <v>3</v>
      </c>
      <c r="I131" t="s">
        <v>718</v>
      </c>
      <c r="J131" t="s">
        <v>719</v>
      </c>
      <c r="K131" t="s">
        <v>720</v>
      </c>
      <c r="L131">
        <v>1383</v>
      </c>
      <c r="N131">
        <v>1013</v>
      </c>
      <c r="O131" t="s">
        <v>721</v>
      </c>
      <c r="P131" t="s">
        <v>721</v>
      </c>
      <c r="Q131">
        <v>1</v>
      </c>
      <c r="X131">
        <v>2.65</v>
      </c>
      <c r="Y131">
        <v>0.4</v>
      </c>
      <c r="Z131">
        <v>0</v>
      </c>
      <c r="AA131">
        <v>0</v>
      </c>
      <c r="AB131">
        <v>0</v>
      </c>
      <c r="AC131">
        <v>0</v>
      </c>
      <c r="AD131">
        <v>1</v>
      </c>
      <c r="AE131">
        <v>0</v>
      </c>
      <c r="AF131" t="s">
        <v>3</v>
      </c>
      <c r="AG131">
        <v>2.65</v>
      </c>
      <c r="AH131">
        <v>2</v>
      </c>
      <c r="AI131">
        <v>145034110</v>
      </c>
      <c r="AJ131">
        <v>119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x14ac:dyDescent="0.2">
      <c r="A132">
        <f>ROW(Source!A79)</f>
        <v>79</v>
      </c>
      <c r="B132">
        <v>145034118</v>
      </c>
      <c r="C132">
        <v>145034105</v>
      </c>
      <c r="D132">
        <v>140773063</v>
      </c>
      <c r="E132">
        <v>1</v>
      </c>
      <c r="F132">
        <v>1</v>
      </c>
      <c r="G132">
        <v>1</v>
      </c>
      <c r="H132">
        <v>3</v>
      </c>
      <c r="I132" t="s">
        <v>722</v>
      </c>
      <c r="J132" t="s">
        <v>723</v>
      </c>
      <c r="K132" t="s">
        <v>724</v>
      </c>
      <c r="L132">
        <v>1308</v>
      </c>
      <c r="N132">
        <v>1003</v>
      </c>
      <c r="O132" t="s">
        <v>53</v>
      </c>
      <c r="P132" t="s">
        <v>53</v>
      </c>
      <c r="Q132">
        <v>100</v>
      </c>
      <c r="X132">
        <v>0.68</v>
      </c>
      <c r="Y132">
        <v>99.4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0</v>
      </c>
      <c r="AF132" t="s">
        <v>3</v>
      </c>
      <c r="AG132">
        <v>0.68</v>
      </c>
      <c r="AH132">
        <v>2</v>
      </c>
      <c r="AI132">
        <v>145034111</v>
      </c>
      <c r="AJ132">
        <v>120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2">
      <c r="A133">
        <f>ROW(Source!A81)</f>
        <v>81</v>
      </c>
      <c r="B133">
        <v>145034132</v>
      </c>
      <c r="C133">
        <v>145034120</v>
      </c>
      <c r="D133">
        <v>140755439</v>
      </c>
      <c r="E133">
        <v>70</v>
      </c>
      <c r="F133">
        <v>1</v>
      </c>
      <c r="G133">
        <v>1</v>
      </c>
      <c r="H133">
        <v>1</v>
      </c>
      <c r="I133" t="s">
        <v>663</v>
      </c>
      <c r="J133" t="s">
        <v>3</v>
      </c>
      <c r="K133" t="s">
        <v>664</v>
      </c>
      <c r="L133">
        <v>1191</v>
      </c>
      <c r="N133">
        <v>1013</v>
      </c>
      <c r="O133" t="s">
        <v>608</v>
      </c>
      <c r="P133" t="s">
        <v>608</v>
      </c>
      <c r="Q133">
        <v>1</v>
      </c>
      <c r="X133">
        <v>6.68</v>
      </c>
      <c r="Y133">
        <v>0</v>
      </c>
      <c r="Z133">
        <v>0</v>
      </c>
      <c r="AA133">
        <v>0</v>
      </c>
      <c r="AB133">
        <v>9.18</v>
      </c>
      <c r="AC133">
        <v>0</v>
      </c>
      <c r="AD133">
        <v>1</v>
      </c>
      <c r="AE133">
        <v>1</v>
      </c>
      <c r="AF133" t="s">
        <v>149</v>
      </c>
      <c r="AG133">
        <v>7.6819999999999995</v>
      </c>
      <c r="AH133">
        <v>2</v>
      </c>
      <c r="AI133">
        <v>145034121</v>
      </c>
      <c r="AJ133">
        <v>121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ROW(Source!A81)</f>
        <v>81</v>
      </c>
      <c r="B134">
        <v>145034133</v>
      </c>
      <c r="C134">
        <v>145034120</v>
      </c>
      <c r="D134">
        <v>140755491</v>
      </c>
      <c r="E134">
        <v>70</v>
      </c>
      <c r="F134">
        <v>1</v>
      </c>
      <c r="G134">
        <v>1</v>
      </c>
      <c r="H134">
        <v>1</v>
      </c>
      <c r="I134" t="s">
        <v>609</v>
      </c>
      <c r="J134" t="s">
        <v>3</v>
      </c>
      <c r="K134" t="s">
        <v>610</v>
      </c>
      <c r="L134">
        <v>1191</v>
      </c>
      <c r="N134">
        <v>1013</v>
      </c>
      <c r="O134" t="s">
        <v>608</v>
      </c>
      <c r="P134" t="s">
        <v>608</v>
      </c>
      <c r="Q134">
        <v>1</v>
      </c>
      <c r="X134">
        <v>0.04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2</v>
      </c>
      <c r="AF134" t="s">
        <v>148</v>
      </c>
      <c r="AG134">
        <v>0.05</v>
      </c>
      <c r="AH134">
        <v>2</v>
      </c>
      <c r="AI134">
        <v>145034122</v>
      </c>
      <c r="AJ134">
        <v>122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ROW(Source!A81)</f>
        <v>81</v>
      </c>
      <c r="B135">
        <v>145034134</v>
      </c>
      <c r="C135">
        <v>145034120</v>
      </c>
      <c r="D135">
        <v>140923145</v>
      </c>
      <c r="E135">
        <v>1</v>
      </c>
      <c r="F135">
        <v>1</v>
      </c>
      <c r="G135">
        <v>1</v>
      </c>
      <c r="H135">
        <v>2</v>
      </c>
      <c r="I135" t="s">
        <v>611</v>
      </c>
      <c r="J135" t="s">
        <v>612</v>
      </c>
      <c r="K135" t="s">
        <v>613</v>
      </c>
      <c r="L135">
        <v>1367</v>
      </c>
      <c r="N135">
        <v>1011</v>
      </c>
      <c r="O135" t="s">
        <v>614</v>
      </c>
      <c r="P135" t="s">
        <v>614</v>
      </c>
      <c r="Q135">
        <v>1</v>
      </c>
      <c r="X135">
        <v>5.0000000000000001E-3</v>
      </c>
      <c r="Y135">
        <v>0</v>
      </c>
      <c r="Z135">
        <v>31.26</v>
      </c>
      <c r="AA135">
        <v>13.5</v>
      </c>
      <c r="AB135">
        <v>0</v>
      </c>
      <c r="AC135">
        <v>0</v>
      </c>
      <c r="AD135">
        <v>1</v>
      </c>
      <c r="AE135">
        <v>0</v>
      </c>
      <c r="AF135" t="s">
        <v>148</v>
      </c>
      <c r="AG135">
        <v>6.2500000000000003E-3</v>
      </c>
      <c r="AH135">
        <v>2</v>
      </c>
      <c r="AI135">
        <v>145034123</v>
      </c>
      <c r="AJ135">
        <v>123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x14ac:dyDescent="0.2">
      <c r="A136">
        <f>ROW(Source!A81)</f>
        <v>81</v>
      </c>
      <c r="B136">
        <v>145034135</v>
      </c>
      <c r="C136">
        <v>145034120</v>
      </c>
      <c r="D136">
        <v>140923885</v>
      </c>
      <c r="E136">
        <v>1</v>
      </c>
      <c r="F136">
        <v>1</v>
      </c>
      <c r="G136">
        <v>1</v>
      </c>
      <c r="H136">
        <v>2</v>
      </c>
      <c r="I136" t="s">
        <v>668</v>
      </c>
      <c r="J136" t="s">
        <v>669</v>
      </c>
      <c r="K136" t="s">
        <v>670</v>
      </c>
      <c r="L136">
        <v>1367</v>
      </c>
      <c r="N136">
        <v>1011</v>
      </c>
      <c r="O136" t="s">
        <v>614</v>
      </c>
      <c r="P136" t="s">
        <v>614</v>
      </c>
      <c r="Q136">
        <v>1</v>
      </c>
      <c r="X136">
        <v>0.03</v>
      </c>
      <c r="Y136">
        <v>0</v>
      </c>
      <c r="Z136">
        <v>65.709999999999994</v>
      </c>
      <c r="AA136">
        <v>11.6</v>
      </c>
      <c r="AB136">
        <v>0</v>
      </c>
      <c r="AC136">
        <v>0</v>
      </c>
      <c r="AD136">
        <v>1</v>
      </c>
      <c r="AE136">
        <v>0</v>
      </c>
      <c r="AF136" t="s">
        <v>148</v>
      </c>
      <c r="AG136">
        <v>3.7499999999999999E-2</v>
      </c>
      <c r="AH136">
        <v>2</v>
      </c>
      <c r="AI136">
        <v>145034124</v>
      </c>
      <c r="AJ136">
        <v>124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ROW(Source!A81)</f>
        <v>81</v>
      </c>
      <c r="B137">
        <v>145034136</v>
      </c>
      <c r="C137">
        <v>145034120</v>
      </c>
      <c r="D137">
        <v>140775049</v>
      </c>
      <c r="E137">
        <v>1</v>
      </c>
      <c r="F137">
        <v>1</v>
      </c>
      <c r="G137">
        <v>1</v>
      </c>
      <c r="H137">
        <v>3</v>
      </c>
      <c r="I137" t="s">
        <v>725</v>
      </c>
      <c r="J137" t="s">
        <v>726</v>
      </c>
      <c r="K137" t="s">
        <v>727</v>
      </c>
      <c r="L137">
        <v>1425</v>
      </c>
      <c r="N137">
        <v>1013</v>
      </c>
      <c r="O137" t="s">
        <v>21</v>
      </c>
      <c r="P137" t="s">
        <v>21</v>
      </c>
      <c r="Q137">
        <v>1</v>
      </c>
      <c r="X137">
        <v>2.63</v>
      </c>
      <c r="Y137">
        <v>12</v>
      </c>
      <c r="Z137">
        <v>0</v>
      </c>
      <c r="AA137">
        <v>0</v>
      </c>
      <c r="AB137">
        <v>0</v>
      </c>
      <c r="AC137">
        <v>0</v>
      </c>
      <c r="AD137">
        <v>1</v>
      </c>
      <c r="AE137">
        <v>0</v>
      </c>
      <c r="AF137" t="s">
        <v>3</v>
      </c>
      <c r="AG137">
        <v>2.63</v>
      </c>
      <c r="AH137">
        <v>2</v>
      </c>
      <c r="AI137">
        <v>145034125</v>
      </c>
      <c r="AJ137">
        <v>125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ROW(Source!A81)</f>
        <v>81</v>
      </c>
      <c r="B138">
        <v>145034137</v>
      </c>
      <c r="C138">
        <v>145034120</v>
      </c>
      <c r="D138">
        <v>140775152</v>
      </c>
      <c r="E138">
        <v>1</v>
      </c>
      <c r="F138">
        <v>1</v>
      </c>
      <c r="G138">
        <v>1</v>
      </c>
      <c r="H138">
        <v>3</v>
      </c>
      <c r="I138" t="s">
        <v>728</v>
      </c>
      <c r="J138" t="s">
        <v>729</v>
      </c>
      <c r="K138" t="s">
        <v>730</v>
      </c>
      <c r="L138">
        <v>1407</v>
      </c>
      <c r="N138">
        <v>1013</v>
      </c>
      <c r="O138" t="s">
        <v>731</v>
      </c>
      <c r="P138" t="s">
        <v>731</v>
      </c>
      <c r="Q138">
        <v>1</v>
      </c>
      <c r="X138">
        <v>0.26300000000000001</v>
      </c>
      <c r="Y138">
        <v>160</v>
      </c>
      <c r="Z138">
        <v>0</v>
      </c>
      <c r="AA138">
        <v>0</v>
      </c>
      <c r="AB138">
        <v>0</v>
      </c>
      <c r="AC138">
        <v>0</v>
      </c>
      <c r="AD138">
        <v>1</v>
      </c>
      <c r="AE138">
        <v>0</v>
      </c>
      <c r="AF138" t="s">
        <v>3</v>
      </c>
      <c r="AG138">
        <v>0.26300000000000001</v>
      </c>
      <c r="AH138">
        <v>2</v>
      </c>
      <c r="AI138">
        <v>145034126</v>
      </c>
      <c r="AJ138">
        <v>126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ROW(Source!A81)</f>
        <v>81</v>
      </c>
      <c r="B139">
        <v>145034138</v>
      </c>
      <c r="C139">
        <v>145034120</v>
      </c>
      <c r="D139">
        <v>140762780</v>
      </c>
      <c r="E139">
        <v>70</v>
      </c>
      <c r="F139">
        <v>1</v>
      </c>
      <c r="G139">
        <v>1</v>
      </c>
      <c r="H139">
        <v>3</v>
      </c>
      <c r="I139" t="s">
        <v>835</v>
      </c>
      <c r="J139" t="s">
        <v>3</v>
      </c>
      <c r="K139" t="s">
        <v>836</v>
      </c>
      <c r="L139">
        <v>1301</v>
      </c>
      <c r="N139">
        <v>1003</v>
      </c>
      <c r="O139" t="s">
        <v>191</v>
      </c>
      <c r="P139" t="s">
        <v>191</v>
      </c>
      <c r="Q139">
        <v>1</v>
      </c>
      <c r="X139">
        <v>101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 t="s">
        <v>3</v>
      </c>
      <c r="AG139">
        <v>101</v>
      </c>
      <c r="AH139">
        <v>3</v>
      </c>
      <c r="AI139">
        <v>-1</v>
      </c>
      <c r="AJ139" t="s">
        <v>3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">
      <c r="A140">
        <f>ROW(Source!A81)</f>
        <v>81</v>
      </c>
      <c r="B140">
        <v>145034139</v>
      </c>
      <c r="C140">
        <v>145034120</v>
      </c>
      <c r="D140">
        <v>140798306</v>
      </c>
      <c r="E140">
        <v>1</v>
      </c>
      <c r="F140">
        <v>1</v>
      </c>
      <c r="G140">
        <v>1</v>
      </c>
      <c r="H140">
        <v>3</v>
      </c>
      <c r="I140" t="s">
        <v>241</v>
      </c>
      <c r="J140" t="s">
        <v>243</v>
      </c>
      <c r="K140" t="s">
        <v>242</v>
      </c>
      <c r="L140">
        <v>1425</v>
      </c>
      <c r="N140">
        <v>1013</v>
      </c>
      <c r="O140" t="s">
        <v>21</v>
      </c>
      <c r="P140" t="s">
        <v>21</v>
      </c>
      <c r="Q140">
        <v>1</v>
      </c>
      <c r="X140">
        <v>0.08</v>
      </c>
      <c r="Y140">
        <v>63</v>
      </c>
      <c r="Z140">
        <v>0</v>
      </c>
      <c r="AA140">
        <v>0</v>
      </c>
      <c r="AB140">
        <v>0</v>
      </c>
      <c r="AC140">
        <v>0</v>
      </c>
      <c r="AD140">
        <v>1</v>
      </c>
      <c r="AE140">
        <v>0</v>
      </c>
      <c r="AF140" t="s">
        <v>3</v>
      </c>
      <c r="AG140">
        <v>0.08</v>
      </c>
      <c r="AH140">
        <v>2</v>
      </c>
      <c r="AI140">
        <v>145034127</v>
      </c>
      <c r="AJ140">
        <v>127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x14ac:dyDescent="0.2">
      <c r="A141">
        <f>ROW(Source!A81)</f>
        <v>81</v>
      </c>
      <c r="B141">
        <v>145034140</v>
      </c>
      <c r="C141">
        <v>145034120</v>
      </c>
      <c r="D141">
        <v>140798308</v>
      </c>
      <c r="E141">
        <v>1</v>
      </c>
      <c r="F141">
        <v>1</v>
      </c>
      <c r="G141">
        <v>1</v>
      </c>
      <c r="H141">
        <v>3</v>
      </c>
      <c r="I141" t="s">
        <v>245</v>
      </c>
      <c r="J141" t="s">
        <v>247</v>
      </c>
      <c r="K141" t="s">
        <v>246</v>
      </c>
      <c r="L141">
        <v>1425</v>
      </c>
      <c r="N141">
        <v>1013</v>
      </c>
      <c r="O141" t="s">
        <v>21</v>
      </c>
      <c r="P141" t="s">
        <v>21</v>
      </c>
      <c r="Q141">
        <v>1</v>
      </c>
      <c r="X141">
        <v>0.08</v>
      </c>
      <c r="Y141">
        <v>63</v>
      </c>
      <c r="Z141">
        <v>0</v>
      </c>
      <c r="AA141">
        <v>0</v>
      </c>
      <c r="AB141">
        <v>0</v>
      </c>
      <c r="AC141">
        <v>0</v>
      </c>
      <c r="AD141">
        <v>1</v>
      </c>
      <c r="AE141">
        <v>0</v>
      </c>
      <c r="AF141" t="s">
        <v>3</v>
      </c>
      <c r="AG141">
        <v>0.08</v>
      </c>
      <c r="AH141">
        <v>2</v>
      </c>
      <c r="AI141">
        <v>145034128</v>
      </c>
      <c r="AJ141">
        <v>128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ROW(Source!A81)</f>
        <v>81</v>
      </c>
      <c r="B142">
        <v>145034141</v>
      </c>
      <c r="C142">
        <v>145034120</v>
      </c>
      <c r="D142">
        <v>140798310</v>
      </c>
      <c r="E142">
        <v>1</v>
      </c>
      <c r="F142">
        <v>1</v>
      </c>
      <c r="G142">
        <v>1</v>
      </c>
      <c r="H142">
        <v>3</v>
      </c>
      <c r="I142" t="s">
        <v>249</v>
      </c>
      <c r="J142" t="s">
        <v>251</v>
      </c>
      <c r="K142" t="s">
        <v>250</v>
      </c>
      <c r="L142">
        <v>1425</v>
      </c>
      <c r="N142">
        <v>1013</v>
      </c>
      <c r="O142" t="s">
        <v>21</v>
      </c>
      <c r="P142" t="s">
        <v>21</v>
      </c>
      <c r="Q142">
        <v>1</v>
      </c>
      <c r="X142">
        <v>0.4</v>
      </c>
      <c r="Y142">
        <v>128</v>
      </c>
      <c r="Z142">
        <v>0</v>
      </c>
      <c r="AA142">
        <v>0</v>
      </c>
      <c r="AB142">
        <v>0</v>
      </c>
      <c r="AC142">
        <v>0</v>
      </c>
      <c r="AD142">
        <v>1</v>
      </c>
      <c r="AE142">
        <v>0</v>
      </c>
      <c r="AF142" t="s">
        <v>3</v>
      </c>
      <c r="AG142">
        <v>0.4</v>
      </c>
      <c r="AH142">
        <v>2</v>
      </c>
      <c r="AI142">
        <v>145034129</v>
      </c>
      <c r="AJ142">
        <v>129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2">
      <c r="A143">
        <f>ROW(Source!A81)</f>
        <v>81</v>
      </c>
      <c r="B143">
        <v>145034142</v>
      </c>
      <c r="C143">
        <v>145034120</v>
      </c>
      <c r="D143">
        <v>140798312</v>
      </c>
      <c r="E143">
        <v>1</v>
      </c>
      <c r="F143">
        <v>1</v>
      </c>
      <c r="G143">
        <v>1</v>
      </c>
      <c r="H143">
        <v>3</v>
      </c>
      <c r="I143" t="s">
        <v>253</v>
      </c>
      <c r="J143" t="s">
        <v>255</v>
      </c>
      <c r="K143" t="s">
        <v>254</v>
      </c>
      <c r="L143">
        <v>1425</v>
      </c>
      <c r="N143">
        <v>1013</v>
      </c>
      <c r="O143" t="s">
        <v>21</v>
      </c>
      <c r="P143" t="s">
        <v>21</v>
      </c>
      <c r="Q143">
        <v>1</v>
      </c>
      <c r="X143">
        <v>7.0000000000000007E-2</v>
      </c>
      <c r="Y143">
        <v>128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0</v>
      </c>
      <c r="AF143" t="s">
        <v>3</v>
      </c>
      <c r="AG143">
        <v>7.0000000000000007E-2</v>
      </c>
      <c r="AH143">
        <v>2</v>
      </c>
      <c r="AI143">
        <v>145034130</v>
      </c>
      <c r="AJ143">
        <v>130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ROW(Source!A81)</f>
        <v>81</v>
      </c>
      <c r="B144">
        <v>145034143</v>
      </c>
      <c r="C144">
        <v>145034120</v>
      </c>
      <c r="D144">
        <v>140798314</v>
      </c>
      <c r="E144">
        <v>1</v>
      </c>
      <c r="F144">
        <v>1</v>
      </c>
      <c r="G144">
        <v>1</v>
      </c>
      <c r="H144">
        <v>3</v>
      </c>
      <c r="I144" t="s">
        <v>257</v>
      </c>
      <c r="J144" t="s">
        <v>259</v>
      </c>
      <c r="K144" t="s">
        <v>258</v>
      </c>
      <c r="L144">
        <v>1425</v>
      </c>
      <c r="N144">
        <v>1013</v>
      </c>
      <c r="O144" t="s">
        <v>21</v>
      </c>
      <c r="P144" t="s">
        <v>21</v>
      </c>
      <c r="Q144">
        <v>1</v>
      </c>
      <c r="X144">
        <v>7.0000000000000007E-2</v>
      </c>
      <c r="Y144">
        <v>128</v>
      </c>
      <c r="Z144">
        <v>0</v>
      </c>
      <c r="AA144">
        <v>0</v>
      </c>
      <c r="AB144">
        <v>0</v>
      </c>
      <c r="AC144">
        <v>0</v>
      </c>
      <c r="AD144">
        <v>1</v>
      </c>
      <c r="AE144">
        <v>0</v>
      </c>
      <c r="AF144" t="s">
        <v>3</v>
      </c>
      <c r="AG144">
        <v>7.0000000000000007E-2</v>
      </c>
      <c r="AH144">
        <v>2</v>
      </c>
      <c r="AI144">
        <v>145034131</v>
      </c>
      <c r="AJ144">
        <v>131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x14ac:dyDescent="0.2">
      <c r="A145">
        <f>ROW(Source!A89)</f>
        <v>89</v>
      </c>
      <c r="B145">
        <v>145027311</v>
      </c>
      <c r="C145">
        <v>145027305</v>
      </c>
      <c r="D145">
        <v>140759985</v>
      </c>
      <c r="E145">
        <v>70</v>
      </c>
      <c r="F145">
        <v>1</v>
      </c>
      <c r="G145">
        <v>1</v>
      </c>
      <c r="H145">
        <v>1</v>
      </c>
      <c r="I145" t="s">
        <v>708</v>
      </c>
      <c r="J145" t="s">
        <v>3</v>
      </c>
      <c r="K145" t="s">
        <v>709</v>
      </c>
      <c r="L145">
        <v>1191</v>
      </c>
      <c r="N145">
        <v>1013</v>
      </c>
      <c r="O145" t="s">
        <v>608</v>
      </c>
      <c r="P145" t="s">
        <v>608</v>
      </c>
      <c r="Q145">
        <v>1</v>
      </c>
      <c r="X145">
        <v>67.099999999999994</v>
      </c>
      <c r="Y145">
        <v>0</v>
      </c>
      <c r="Z145">
        <v>0</v>
      </c>
      <c r="AA145">
        <v>0</v>
      </c>
      <c r="AB145">
        <v>8.74</v>
      </c>
      <c r="AC145">
        <v>0</v>
      </c>
      <c r="AD145">
        <v>1</v>
      </c>
      <c r="AE145">
        <v>1</v>
      </c>
      <c r="AF145" t="s">
        <v>149</v>
      </c>
      <c r="AG145">
        <v>77.164999999999992</v>
      </c>
      <c r="AH145">
        <v>2</v>
      </c>
      <c r="AI145">
        <v>145027306</v>
      </c>
      <c r="AJ145">
        <v>132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x14ac:dyDescent="0.2">
      <c r="A146">
        <f>ROW(Source!A89)</f>
        <v>89</v>
      </c>
      <c r="B146">
        <v>145027312</v>
      </c>
      <c r="C146">
        <v>145027305</v>
      </c>
      <c r="D146">
        <v>140760225</v>
      </c>
      <c r="E146">
        <v>70</v>
      </c>
      <c r="F146">
        <v>1</v>
      </c>
      <c r="G146">
        <v>1</v>
      </c>
      <c r="H146">
        <v>1</v>
      </c>
      <c r="I146" t="s">
        <v>609</v>
      </c>
      <c r="J146" t="s">
        <v>3</v>
      </c>
      <c r="K146" t="s">
        <v>610</v>
      </c>
      <c r="L146">
        <v>1191</v>
      </c>
      <c r="N146">
        <v>1013</v>
      </c>
      <c r="O146" t="s">
        <v>608</v>
      </c>
      <c r="P146" t="s">
        <v>608</v>
      </c>
      <c r="Q146">
        <v>1</v>
      </c>
      <c r="X146">
        <v>3.32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1</v>
      </c>
      <c r="AE146">
        <v>2</v>
      </c>
      <c r="AF146" t="s">
        <v>148</v>
      </c>
      <c r="AG146">
        <v>4.1499999999999995</v>
      </c>
      <c r="AH146">
        <v>2</v>
      </c>
      <c r="AI146">
        <v>145027307</v>
      </c>
      <c r="AJ146">
        <v>133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x14ac:dyDescent="0.2">
      <c r="A147">
        <f>ROW(Source!A89)</f>
        <v>89</v>
      </c>
      <c r="B147">
        <v>145027313</v>
      </c>
      <c r="C147">
        <v>145027305</v>
      </c>
      <c r="D147">
        <v>140922951</v>
      </c>
      <c r="E147">
        <v>1</v>
      </c>
      <c r="F147">
        <v>1</v>
      </c>
      <c r="G147">
        <v>1</v>
      </c>
      <c r="H147">
        <v>2</v>
      </c>
      <c r="I147" t="s">
        <v>732</v>
      </c>
      <c r="J147" t="s">
        <v>733</v>
      </c>
      <c r="K147" t="s">
        <v>734</v>
      </c>
      <c r="L147">
        <v>1367</v>
      </c>
      <c r="N147">
        <v>1011</v>
      </c>
      <c r="O147" t="s">
        <v>614</v>
      </c>
      <c r="P147" t="s">
        <v>614</v>
      </c>
      <c r="Q147">
        <v>1</v>
      </c>
      <c r="X147">
        <v>1.26</v>
      </c>
      <c r="Y147">
        <v>0</v>
      </c>
      <c r="Z147">
        <v>115.4</v>
      </c>
      <c r="AA147">
        <v>13.5</v>
      </c>
      <c r="AB147">
        <v>0</v>
      </c>
      <c r="AC147">
        <v>0</v>
      </c>
      <c r="AD147">
        <v>1</v>
      </c>
      <c r="AE147">
        <v>0</v>
      </c>
      <c r="AF147" t="s">
        <v>148</v>
      </c>
      <c r="AG147">
        <v>1.575</v>
      </c>
      <c r="AH147">
        <v>2</v>
      </c>
      <c r="AI147">
        <v>145027308</v>
      </c>
      <c r="AJ147">
        <v>134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x14ac:dyDescent="0.2">
      <c r="A148">
        <f>ROW(Source!A89)</f>
        <v>89</v>
      </c>
      <c r="B148">
        <v>145027314</v>
      </c>
      <c r="C148">
        <v>145027305</v>
      </c>
      <c r="D148">
        <v>140923885</v>
      </c>
      <c r="E148">
        <v>1</v>
      </c>
      <c r="F148">
        <v>1</v>
      </c>
      <c r="G148">
        <v>1</v>
      </c>
      <c r="H148">
        <v>2</v>
      </c>
      <c r="I148" t="s">
        <v>668</v>
      </c>
      <c r="J148" t="s">
        <v>669</v>
      </c>
      <c r="K148" t="s">
        <v>670</v>
      </c>
      <c r="L148">
        <v>1367</v>
      </c>
      <c r="N148">
        <v>1011</v>
      </c>
      <c r="O148" t="s">
        <v>614</v>
      </c>
      <c r="P148" t="s">
        <v>614</v>
      </c>
      <c r="Q148">
        <v>1</v>
      </c>
      <c r="X148">
        <v>2.06</v>
      </c>
      <c r="Y148">
        <v>0</v>
      </c>
      <c r="Z148">
        <v>65.709999999999994</v>
      </c>
      <c r="AA148">
        <v>11.6</v>
      </c>
      <c r="AB148">
        <v>0</v>
      </c>
      <c r="AC148">
        <v>0</v>
      </c>
      <c r="AD148">
        <v>1</v>
      </c>
      <c r="AE148">
        <v>0</v>
      </c>
      <c r="AF148" t="s">
        <v>148</v>
      </c>
      <c r="AG148">
        <v>2.5750000000000002</v>
      </c>
      <c r="AH148">
        <v>2</v>
      </c>
      <c r="AI148">
        <v>145027309</v>
      </c>
      <c r="AJ148">
        <v>135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x14ac:dyDescent="0.2">
      <c r="A149">
        <f>ROW(Source!A89)</f>
        <v>89</v>
      </c>
      <c r="B149">
        <v>145027315</v>
      </c>
      <c r="C149">
        <v>145027305</v>
      </c>
      <c r="D149">
        <v>140760393</v>
      </c>
      <c r="E149">
        <v>70</v>
      </c>
      <c r="F149">
        <v>1</v>
      </c>
      <c r="G149">
        <v>1</v>
      </c>
      <c r="H149">
        <v>3</v>
      </c>
      <c r="I149" t="s">
        <v>837</v>
      </c>
      <c r="J149" t="s">
        <v>3</v>
      </c>
      <c r="K149" t="s">
        <v>838</v>
      </c>
      <c r="L149">
        <v>1377</v>
      </c>
      <c r="N149">
        <v>1013</v>
      </c>
      <c r="O149" t="s">
        <v>794</v>
      </c>
      <c r="P149" t="s">
        <v>794</v>
      </c>
      <c r="Q149">
        <v>1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1</v>
      </c>
      <c r="AD149">
        <v>0</v>
      </c>
      <c r="AE149">
        <v>0</v>
      </c>
      <c r="AF149" t="s">
        <v>3</v>
      </c>
      <c r="AG149">
        <v>0</v>
      </c>
      <c r="AH149">
        <v>3</v>
      </c>
      <c r="AI149">
        <v>-1</v>
      </c>
      <c r="AJ149" t="s">
        <v>3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x14ac:dyDescent="0.2">
      <c r="A150">
        <f>ROW(Source!A89)</f>
        <v>89</v>
      </c>
      <c r="B150">
        <v>145027316</v>
      </c>
      <c r="C150">
        <v>145027305</v>
      </c>
      <c r="D150">
        <v>140775118</v>
      </c>
      <c r="E150">
        <v>1</v>
      </c>
      <c r="F150">
        <v>1</v>
      </c>
      <c r="G150">
        <v>1</v>
      </c>
      <c r="H150">
        <v>3</v>
      </c>
      <c r="I150" t="s">
        <v>671</v>
      </c>
      <c r="J150" t="s">
        <v>672</v>
      </c>
      <c r="K150" t="s">
        <v>673</v>
      </c>
      <c r="L150">
        <v>1348</v>
      </c>
      <c r="N150">
        <v>1009</v>
      </c>
      <c r="O150" t="s">
        <v>49</v>
      </c>
      <c r="P150" t="s">
        <v>49</v>
      </c>
      <c r="Q150">
        <v>1000</v>
      </c>
      <c r="X150">
        <v>3.3999999999999998E-3</v>
      </c>
      <c r="Y150">
        <v>11978</v>
      </c>
      <c r="Z150">
        <v>0</v>
      </c>
      <c r="AA150">
        <v>0</v>
      </c>
      <c r="AB150">
        <v>0</v>
      </c>
      <c r="AC150">
        <v>0</v>
      </c>
      <c r="AD150">
        <v>1</v>
      </c>
      <c r="AE150">
        <v>0</v>
      </c>
      <c r="AF150" t="s">
        <v>3</v>
      </c>
      <c r="AG150">
        <v>3.3999999999999998E-3</v>
      </c>
      <c r="AH150">
        <v>2</v>
      </c>
      <c r="AI150">
        <v>145027310</v>
      </c>
      <c r="AJ150">
        <v>136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x14ac:dyDescent="0.2">
      <c r="A151">
        <f>ROW(Source!A89)</f>
        <v>89</v>
      </c>
      <c r="B151">
        <v>145027317</v>
      </c>
      <c r="C151">
        <v>145027305</v>
      </c>
      <c r="D151">
        <v>140762604</v>
      </c>
      <c r="E151">
        <v>70</v>
      </c>
      <c r="F151">
        <v>1</v>
      </c>
      <c r="G151">
        <v>1</v>
      </c>
      <c r="H151">
        <v>3</v>
      </c>
      <c r="I151" t="s">
        <v>839</v>
      </c>
      <c r="J151" t="s">
        <v>3</v>
      </c>
      <c r="K151" t="s">
        <v>840</v>
      </c>
      <c r="L151">
        <v>1327</v>
      </c>
      <c r="N151">
        <v>1005</v>
      </c>
      <c r="O151" t="s">
        <v>72</v>
      </c>
      <c r="P151" t="s">
        <v>72</v>
      </c>
      <c r="Q151">
        <v>1</v>
      </c>
      <c r="X151">
        <v>100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 t="s">
        <v>3</v>
      </c>
      <c r="AG151">
        <v>100</v>
      </c>
      <c r="AH151">
        <v>3</v>
      </c>
      <c r="AI151">
        <v>-1</v>
      </c>
      <c r="AJ151" t="s">
        <v>3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x14ac:dyDescent="0.2">
      <c r="A152">
        <f>ROW(Source!A95)</f>
        <v>95</v>
      </c>
      <c r="B152">
        <v>145027370</v>
      </c>
      <c r="C152">
        <v>145027364</v>
      </c>
      <c r="D152">
        <v>140760031</v>
      </c>
      <c r="E152">
        <v>70</v>
      </c>
      <c r="F152">
        <v>1</v>
      </c>
      <c r="G152">
        <v>1</v>
      </c>
      <c r="H152">
        <v>1</v>
      </c>
      <c r="I152" t="s">
        <v>606</v>
      </c>
      <c r="J152" t="s">
        <v>3</v>
      </c>
      <c r="K152" t="s">
        <v>607</v>
      </c>
      <c r="L152">
        <v>1191</v>
      </c>
      <c r="N152">
        <v>1013</v>
      </c>
      <c r="O152" t="s">
        <v>608</v>
      </c>
      <c r="P152" t="s">
        <v>608</v>
      </c>
      <c r="Q152">
        <v>1</v>
      </c>
      <c r="X152">
        <v>4.6500000000000004</v>
      </c>
      <c r="Y152">
        <v>0</v>
      </c>
      <c r="Z152">
        <v>0</v>
      </c>
      <c r="AA152">
        <v>0</v>
      </c>
      <c r="AB152">
        <v>9.6199999999999992</v>
      </c>
      <c r="AC152">
        <v>0</v>
      </c>
      <c r="AD152">
        <v>1</v>
      </c>
      <c r="AE152">
        <v>1</v>
      </c>
      <c r="AF152" t="s">
        <v>149</v>
      </c>
      <c r="AG152">
        <v>5.3475000000000001</v>
      </c>
      <c r="AH152">
        <v>2</v>
      </c>
      <c r="AI152">
        <v>145027365</v>
      </c>
      <c r="AJ152">
        <v>137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x14ac:dyDescent="0.2">
      <c r="A153">
        <f>ROW(Source!A95)</f>
        <v>95</v>
      </c>
      <c r="B153">
        <v>145027371</v>
      </c>
      <c r="C153">
        <v>145027364</v>
      </c>
      <c r="D153">
        <v>140760225</v>
      </c>
      <c r="E153">
        <v>70</v>
      </c>
      <c r="F153">
        <v>1</v>
      </c>
      <c r="G153">
        <v>1</v>
      </c>
      <c r="H153">
        <v>1</v>
      </c>
      <c r="I153" t="s">
        <v>609</v>
      </c>
      <c r="J153" t="s">
        <v>3</v>
      </c>
      <c r="K153" t="s">
        <v>610</v>
      </c>
      <c r="L153">
        <v>1191</v>
      </c>
      <c r="N153">
        <v>1013</v>
      </c>
      <c r="O153" t="s">
        <v>608</v>
      </c>
      <c r="P153" t="s">
        <v>608</v>
      </c>
      <c r="Q153">
        <v>1</v>
      </c>
      <c r="X153">
        <v>0.02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1</v>
      </c>
      <c r="AE153">
        <v>2</v>
      </c>
      <c r="AF153" t="s">
        <v>148</v>
      </c>
      <c r="AG153">
        <v>2.5000000000000001E-2</v>
      </c>
      <c r="AH153">
        <v>2</v>
      </c>
      <c r="AI153">
        <v>145027366</v>
      </c>
      <c r="AJ153">
        <v>138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x14ac:dyDescent="0.2">
      <c r="A154">
        <f>ROW(Source!A95)</f>
        <v>95</v>
      </c>
      <c r="B154">
        <v>145027372</v>
      </c>
      <c r="C154">
        <v>145027364</v>
      </c>
      <c r="D154">
        <v>140923145</v>
      </c>
      <c r="E154">
        <v>1</v>
      </c>
      <c r="F154">
        <v>1</v>
      </c>
      <c r="G154">
        <v>1</v>
      </c>
      <c r="H154">
        <v>2</v>
      </c>
      <c r="I154" t="s">
        <v>611</v>
      </c>
      <c r="J154" t="s">
        <v>612</v>
      </c>
      <c r="K154" t="s">
        <v>613</v>
      </c>
      <c r="L154">
        <v>1367</v>
      </c>
      <c r="N154">
        <v>1011</v>
      </c>
      <c r="O154" t="s">
        <v>614</v>
      </c>
      <c r="P154" t="s">
        <v>614</v>
      </c>
      <c r="Q154">
        <v>1</v>
      </c>
      <c r="X154">
        <v>0.01</v>
      </c>
      <c r="Y154">
        <v>0</v>
      </c>
      <c r="Z154">
        <v>31.26</v>
      </c>
      <c r="AA154">
        <v>13.5</v>
      </c>
      <c r="AB154">
        <v>0</v>
      </c>
      <c r="AC154">
        <v>0</v>
      </c>
      <c r="AD154">
        <v>1</v>
      </c>
      <c r="AE154">
        <v>0</v>
      </c>
      <c r="AF154" t="s">
        <v>148</v>
      </c>
      <c r="AG154">
        <v>1.2500000000000001E-2</v>
      </c>
      <c r="AH154">
        <v>2</v>
      </c>
      <c r="AI154">
        <v>145027367</v>
      </c>
      <c r="AJ154">
        <v>139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x14ac:dyDescent="0.2">
      <c r="A155">
        <f>ROW(Source!A95)</f>
        <v>95</v>
      </c>
      <c r="B155">
        <v>145027373</v>
      </c>
      <c r="C155">
        <v>145027364</v>
      </c>
      <c r="D155">
        <v>140923885</v>
      </c>
      <c r="E155">
        <v>1</v>
      </c>
      <c r="F155">
        <v>1</v>
      </c>
      <c r="G155">
        <v>1</v>
      </c>
      <c r="H155">
        <v>2</v>
      </c>
      <c r="I155" t="s">
        <v>668</v>
      </c>
      <c r="J155" t="s">
        <v>669</v>
      </c>
      <c r="K155" t="s">
        <v>670</v>
      </c>
      <c r="L155">
        <v>1367</v>
      </c>
      <c r="N155">
        <v>1011</v>
      </c>
      <c r="O155" t="s">
        <v>614</v>
      </c>
      <c r="P155" t="s">
        <v>614</v>
      </c>
      <c r="Q155">
        <v>1</v>
      </c>
      <c r="X155">
        <v>0.01</v>
      </c>
      <c r="Y155">
        <v>0</v>
      </c>
      <c r="Z155">
        <v>65.709999999999994</v>
      </c>
      <c r="AA155">
        <v>11.6</v>
      </c>
      <c r="AB155">
        <v>0</v>
      </c>
      <c r="AC155">
        <v>0</v>
      </c>
      <c r="AD155">
        <v>1</v>
      </c>
      <c r="AE155">
        <v>0</v>
      </c>
      <c r="AF155" t="s">
        <v>148</v>
      </c>
      <c r="AG155">
        <v>1.2500000000000001E-2</v>
      </c>
      <c r="AH155">
        <v>2</v>
      </c>
      <c r="AI155">
        <v>145027368</v>
      </c>
      <c r="AJ155">
        <v>140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x14ac:dyDescent="0.2">
      <c r="A156">
        <f>ROW(Source!A95)</f>
        <v>95</v>
      </c>
      <c r="B156">
        <v>145027374</v>
      </c>
      <c r="C156">
        <v>145027364</v>
      </c>
      <c r="D156">
        <v>140776226</v>
      </c>
      <c r="E156">
        <v>1</v>
      </c>
      <c r="F156">
        <v>1</v>
      </c>
      <c r="G156">
        <v>1</v>
      </c>
      <c r="H156">
        <v>3</v>
      </c>
      <c r="I156" t="s">
        <v>680</v>
      </c>
      <c r="J156" t="s">
        <v>681</v>
      </c>
      <c r="K156" t="s">
        <v>682</v>
      </c>
      <c r="L156">
        <v>1346</v>
      </c>
      <c r="N156">
        <v>1009</v>
      </c>
      <c r="O156" t="s">
        <v>154</v>
      </c>
      <c r="P156" t="s">
        <v>154</v>
      </c>
      <c r="Q156">
        <v>1</v>
      </c>
      <c r="X156">
        <v>0.1</v>
      </c>
      <c r="Y156">
        <v>1.82</v>
      </c>
      <c r="Z156">
        <v>0</v>
      </c>
      <c r="AA156">
        <v>0</v>
      </c>
      <c r="AB156">
        <v>0</v>
      </c>
      <c r="AC156">
        <v>0</v>
      </c>
      <c r="AD156">
        <v>1</v>
      </c>
      <c r="AE156">
        <v>0</v>
      </c>
      <c r="AF156" t="s">
        <v>3</v>
      </c>
      <c r="AG156">
        <v>0.1</v>
      </c>
      <c r="AH156">
        <v>2</v>
      </c>
      <c r="AI156">
        <v>145027369</v>
      </c>
      <c r="AJ156">
        <v>141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x14ac:dyDescent="0.2">
      <c r="A157">
        <f>ROW(Source!A95)</f>
        <v>95</v>
      </c>
      <c r="B157">
        <v>145027375</v>
      </c>
      <c r="C157">
        <v>145027364</v>
      </c>
      <c r="D157">
        <v>140763261</v>
      </c>
      <c r="E157">
        <v>70</v>
      </c>
      <c r="F157">
        <v>1</v>
      </c>
      <c r="G157">
        <v>1</v>
      </c>
      <c r="H157">
        <v>3</v>
      </c>
      <c r="I157" t="s">
        <v>841</v>
      </c>
      <c r="J157" t="s">
        <v>3</v>
      </c>
      <c r="K157" t="s">
        <v>842</v>
      </c>
      <c r="L157">
        <v>1348</v>
      </c>
      <c r="N157">
        <v>1009</v>
      </c>
      <c r="O157" t="s">
        <v>49</v>
      </c>
      <c r="P157" t="s">
        <v>49</v>
      </c>
      <c r="Q157">
        <v>1000</v>
      </c>
      <c r="X157">
        <v>1.03E-2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 t="s">
        <v>3</v>
      </c>
      <c r="AG157">
        <v>1.03E-2</v>
      </c>
      <c r="AH157">
        <v>3</v>
      </c>
      <c r="AI157">
        <v>-1</v>
      </c>
      <c r="AJ157" t="s">
        <v>3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x14ac:dyDescent="0.2">
      <c r="A158">
        <f>ROW(Source!A97)</f>
        <v>97</v>
      </c>
      <c r="B158">
        <v>145070561</v>
      </c>
      <c r="C158">
        <v>145034146</v>
      </c>
      <c r="D158">
        <v>140760001</v>
      </c>
      <c r="E158">
        <v>70</v>
      </c>
      <c r="F158">
        <v>1</v>
      </c>
      <c r="G158">
        <v>1</v>
      </c>
      <c r="H158">
        <v>1</v>
      </c>
      <c r="I158" t="s">
        <v>735</v>
      </c>
      <c r="J158" t="s">
        <v>3</v>
      </c>
      <c r="K158" t="s">
        <v>736</v>
      </c>
      <c r="L158">
        <v>1191</v>
      </c>
      <c r="N158">
        <v>1013</v>
      </c>
      <c r="O158" t="s">
        <v>608</v>
      </c>
      <c r="P158" t="s">
        <v>608</v>
      </c>
      <c r="Q158">
        <v>1</v>
      </c>
      <c r="X158">
        <v>42.3</v>
      </c>
      <c r="Y158">
        <v>0</v>
      </c>
      <c r="Z158">
        <v>0</v>
      </c>
      <c r="AA158">
        <v>0</v>
      </c>
      <c r="AB158">
        <v>9.07</v>
      </c>
      <c r="AC158">
        <v>0</v>
      </c>
      <c r="AD158">
        <v>1</v>
      </c>
      <c r="AE158">
        <v>1</v>
      </c>
      <c r="AF158" t="s">
        <v>149</v>
      </c>
      <c r="AG158">
        <v>48.644999999999996</v>
      </c>
      <c r="AH158">
        <v>2</v>
      </c>
      <c r="AI158">
        <v>145070561</v>
      </c>
      <c r="AJ158">
        <v>142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x14ac:dyDescent="0.2">
      <c r="A159">
        <f>ROW(Source!A97)</f>
        <v>97</v>
      </c>
      <c r="B159">
        <v>145070562</v>
      </c>
      <c r="C159">
        <v>145034146</v>
      </c>
      <c r="D159">
        <v>140760225</v>
      </c>
      <c r="E159">
        <v>70</v>
      </c>
      <c r="F159">
        <v>1</v>
      </c>
      <c r="G159">
        <v>1</v>
      </c>
      <c r="H159">
        <v>1</v>
      </c>
      <c r="I159" t="s">
        <v>609</v>
      </c>
      <c r="J159" t="s">
        <v>3</v>
      </c>
      <c r="K159" t="s">
        <v>610</v>
      </c>
      <c r="L159">
        <v>1191</v>
      </c>
      <c r="N159">
        <v>1013</v>
      </c>
      <c r="O159" t="s">
        <v>608</v>
      </c>
      <c r="P159" t="s">
        <v>608</v>
      </c>
      <c r="Q159">
        <v>1</v>
      </c>
      <c r="X159">
        <v>0.02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1</v>
      </c>
      <c r="AE159">
        <v>2</v>
      </c>
      <c r="AF159" t="s">
        <v>148</v>
      </c>
      <c r="AG159">
        <v>2.5000000000000001E-2</v>
      </c>
      <c r="AH159">
        <v>2</v>
      </c>
      <c r="AI159">
        <v>145070562</v>
      </c>
      <c r="AJ159">
        <v>143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x14ac:dyDescent="0.2">
      <c r="A160">
        <f>ROW(Source!A97)</f>
        <v>97</v>
      </c>
      <c r="B160">
        <v>145070563</v>
      </c>
      <c r="C160">
        <v>145034146</v>
      </c>
      <c r="D160">
        <v>140923145</v>
      </c>
      <c r="E160">
        <v>1</v>
      </c>
      <c r="F160">
        <v>1</v>
      </c>
      <c r="G160">
        <v>1</v>
      </c>
      <c r="H160">
        <v>2</v>
      </c>
      <c r="I160" t="s">
        <v>611</v>
      </c>
      <c r="J160" t="s">
        <v>612</v>
      </c>
      <c r="K160" t="s">
        <v>613</v>
      </c>
      <c r="L160">
        <v>1367</v>
      </c>
      <c r="N160">
        <v>1011</v>
      </c>
      <c r="O160" t="s">
        <v>614</v>
      </c>
      <c r="P160" t="s">
        <v>614</v>
      </c>
      <c r="Q160">
        <v>1</v>
      </c>
      <c r="X160">
        <v>0.01</v>
      </c>
      <c r="Y160">
        <v>0</v>
      </c>
      <c r="Z160">
        <v>31.26</v>
      </c>
      <c r="AA160">
        <v>13.5</v>
      </c>
      <c r="AB160">
        <v>0</v>
      </c>
      <c r="AC160">
        <v>0</v>
      </c>
      <c r="AD160">
        <v>1</v>
      </c>
      <c r="AE160">
        <v>0</v>
      </c>
      <c r="AF160" t="s">
        <v>148</v>
      </c>
      <c r="AG160">
        <v>1.2500000000000001E-2</v>
      </c>
      <c r="AH160">
        <v>2</v>
      </c>
      <c r="AI160">
        <v>145070563</v>
      </c>
      <c r="AJ160">
        <v>144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x14ac:dyDescent="0.2">
      <c r="A161">
        <f>ROW(Source!A97)</f>
        <v>97</v>
      </c>
      <c r="B161">
        <v>145070564</v>
      </c>
      <c r="C161">
        <v>145034146</v>
      </c>
      <c r="D161">
        <v>140923885</v>
      </c>
      <c r="E161">
        <v>1</v>
      </c>
      <c r="F161">
        <v>1</v>
      </c>
      <c r="G161">
        <v>1</v>
      </c>
      <c r="H161">
        <v>2</v>
      </c>
      <c r="I161" t="s">
        <v>668</v>
      </c>
      <c r="J161" t="s">
        <v>669</v>
      </c>
      <c r="K161" t="s">
        <v>670</v>
      </c>
      <c r="L161">
        <v>1367</v>
      </c>
      <c r="N161">
        <v>1011</v>
      </c>
      <c r="O161" t="s">
        <v>614</v>
      </c>
      <c r="P161" t="s">
        <v>614</v>
      </c>
      <c r="Q161">
        <v>1</v>
      </c>
      <c r="X161">
        <v>0.01</v>
      </c>
      <c r="Y161">
        <v>0</v>
      </c>
      <c r="Z161">
        <v>65.709999999999994</v>
      </c>
      <c r="AA161">
        <v>11.6</v>
      </c>
      <c r="AB161">
        <v>0</v>
      </c>
      <c r="AC161">
        <v>0</v>
      </c>
      <c r="AD161">
        <v>1</v>
      </c>
      <c r="AE161">
        <v>0</v>
      </c>
      <c r="AF161" t="s">
        <v>148</v>
      </c>
      <c r="AG161">
        <v>1.2500000000000001E-2</v>
      </c>
      <c r="AH161">
        <v>2</v>
      </c>
      <c r="AI161">
        <v>145070564</v>
      </c>
      <c r="AJ161">
        <v>145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x14ac:dyDescent="0.2">
      <c r="A162">
        <f>ROW(Source!A97)</f>
        <v>97</v>
      </c>
      <c r="B162">
        <v>145070565</v>
      </c>
      <c r="C162">
        <v>145034146</v>
      </c>
      <c r="D162">
        <v>140760333</v>
      </c>
      <c r="E162">
        <v>70</v>
      </c>
      <c r="F162">
        <v>1</v>
      </c>
      <c r="G162">
        <v>1</v>
      </c>
      <c r="H162">
        <v>3</v>
      </c>
      <c r="I162" t="s">
        <v>843</v>
      </c>
      <c r="J162" t="s">
        <v>3</v>
      </c>
      <c r="K162" t="s">
        <v>844</v>
      </c>
      <c r="L162">
        <v>1328</v>
      </c>
      <c r="N162">
        <v>1005</v>
      </c>
      <c r="O162" t="s">
        <v>40</v>
      </c>
      <c r="P162" t="s">
        <v>40</v>
      </c>
      <c r="Q162">
        <v>100</v>
      </c>
      <c r="X162">
        <v>1.1499999999999999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 t="s">
        <v>3</v>
      </c>
      <c r="AG162">
        <v>1.1499999999999999</v>
      </c>
      <c r="AH162">
        <v>3</v>
      </c>
      <c r="AI162">
        <v>-1</v>
      </c>
      <c r="AJ162" t="s">
        <v>3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x14ac:dyDescent="0.2">
      <c r="A163">
        <f>ROW(Source!A97)</f>
        <v>97</v>
      </c>
      <c r="B163">
        <v>145070566</v>
      </c>
      <c r="C163">
        <v>145034146</v>
      </c>
      <c r="D163">
        <v>140772671</v>
      </c>
      <c r="E163">
        <v>1</v>
      </c>
      <c r="F163">
        <v>1</v>
      </c>
      <c r="G163">
        <v>1</v>
      </c>
      <c r="H163">
        <v>3</v>
      </c>
      <c r="I163" t="s">
        <v>737</v>
      </c>
      <c r="J163" t="s">
        <v>738</v>
      </c>
      <c r="K163" t="s">
        <v>739</v>
      </c>
      <c r="L163">
        <v>1348</v>
      </c>
      <c r="N163">
        <v>1009</v>
      </c>
      <c r="O163" t="s">
        <v>49</v>
      </c>
      <c r="P163" t="s">
        <v>49</v>
      </c>
      <c r="Q163">
        <v>1000</v>
      </c>
      <c r="X163">
        <v>7.1000000000000004E-3</v>
      </c>
      <c r="Y163">
        <v>5650</v>
      </c>
      <c r="Z163">
        <v>0</v>
      </c>
      <c r="AA163">
        <v>0</v>
      </c>
      <c r="AB163">
        <v>0</v>
      </c>
      <c r="AC163">
        <v>0</v>
      </c>
      <c r="AD163">
        <v>1</v>
      </c>
      <c r="AE163">
        <v>0</v>
      </c>
      <c r="AF163" t="s">
        <v>3</v>
      </c>
      <c r="AG163">
        <v>7.1000000000000004E-3</v>
      </c>
      <c r="AH163">
        <v>2</v>
      </c>
      <c r="AI163">
        <v>145070566</v>
      </c>
      <c r="AJ163">
        <v>146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x14ac:dyDescent="0.2">
      <c r="A164">
        <f>ROW(Source!A97)</f>
        <v>97</v>
      </c>
      <c r="B164">
        <v>145070567</v>
      </c>
      <c r="C164">
        <v>145034146</v>
      </c>
      <c r="D164">
        <v>140772680</v>
      </c>
      <c r="E164">
        <v>1</v>
      </c>
      <c r="F164">
        <v>1</v>
      </c>
      <c r="G164">
        <v>1</v>
      </c>
      <c r="H164">
        <v>3</v>
      </c>
      <c r="I164" t="s">
        <v>635</v>
      </c>
      <c r="J164" t="s">
        <v>636</v>
      </c>
      <c r="K164" t="s">
        <v>637</v>
      </c>
      <c r="L164">
        <v>1339</v>
      </c>
      <c r="N164">
        <v>1007</v>
      </c>
      <c r="O164" t="s">
        <v>638</v>
      </c>
      <c r="P164" t="s">
        <v>638</v>
      </c>
      <c r="Q164">
        <v>1</v>
      </c>
      <c r="X164">
        <v>0.01</v>
      </c>
      <c r="Y164">
        <v>2.44</v>
      </c>
      <c r="Z164">
        <v>0</v>
      </c>
      <c r="AA164">
        <v>0</v>
      </c>
      <c r="AB164">
        <v>0</v>
      </c>
      <c r="AC164">
        <v>0</v>
      </c>
      <c r="AD164">
        <v>1</v>
      </c>
      <c r="AE164">
        <v>0</v>
      </c>
      <c r="AF164" t="s">
        <v>3</v>
      </c>
      <c r="AG164">
        <v>0.01</v>
      </c>
      <c r="AH164">
        <v>2</v>
      </c>
      <c r="AI164">
        <v>145070567</v>
      </c>
      <c r="AJ164">
        <v>147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x14ac:dyDescent="0.2">
      <c r="A165">
        <f>ROW(Source!A97)</f>
        <v>97</v>
      </c>
      <c r="B165">
        <v>145070568</v>
      </c>
      <c r="C165">
        <v>145034146</v>
      </c>
      <c r="D165">
        <v>140776226</v>
      </c>
      <c r="E165">
        <v>1</v>
      </c>
      <c r="F165">
        <v>1</v>
      </c>
      <c r="G165">
        <v>1</v>
      </c>
      <c r="H165">
        <v>3</v>
      </c>
      <c r="I165" t="s">
        <v>680</v>
      </c>
      <c r="J165" t="s">
        <v>681</v>
      </c>
      <c r="K165" t="s">
        <v>682</v>
      </c>
      <c r="L165">
        <v>1346</v>
      </c>
      <c r="N165">
        <v>1009</v>
      </c>
      <c r="O165" t="s">
        <v>154</v>
      </c>
      <c r="P165" t="s">
        <v>154</v>
      </c>
      <c r="Q165">
        <v>1</v>
      </c>
      <c r="X165">
        <v>0.01</v>
      </c>
      <c r="Y165">
        <v>1.82</v>
      </c>
      <c r="Z165">
        <v>0</v>
      </c>
      <c r="AA165">
        <v>0</v>
      </c>
      <c r="AB165">
        <v>0</v>
      </c>
      <c r="AC165">
        <v>0</v>
      </c>
      <c r="AD165">
        <v>1</v>
      </c>
      <c r="AE165">
        <v>0</v>
      </c>
      <c r="AF165" t="s">
        <v>3</v>
      </c>
      <c r="AG165">
        <v>0.01</v>
      </c>
      <c r="AH165">
        <v>2</v>
      </c>
      <c r="AI165">
        <v>145070568</v>
      </c>
      <c r="AJ165">
        <v>148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x14ac:dyDescent="0.2">
      <c r="A166">
        <f>ROW(Source!A97)</f>
        <v>97</v>
      </c>
      <c r="B166">
        <v>145070569</v>
      </c>
      <c r="C166">
        <v>145034146</v>
      </c>
      <c r="D166">
        <v>140777177</v>
      </c>
      <c r="E166">
        <v>1</v>
      </c>
      <c r="F166">
        <v>1</v>
      </c>
      <c r="G166">
        <v>1</v>
      </c>
      <c r="H166">
        <v>3</v>
      </c>
      <c r="I166" t="s">
        <v>740</v>
      </c>
      <c r="J166" t="s">
        <v>741</v>
      </c>
      <c r="K166" t="s">
        <v>742</v>
      </c>
      <c r="L166">
        <v>1339</v>
      </c>
      <c r="N166">
        <v>1007</v>
      </c>
      <c r="O166" t="s">
        <v>638</v>
      </c>
      <c r="P166" t="s">
        <v>638</v>
      </c>
      <c r="Q166">
        <v>1</v>
      </c>
      <c r="X166">
        <v>4.0000000000000002E-4</v>
      </c>
      <c r="Y166">
        <v>74.58</v>
      </c>
      <c r="Z166">
        <v>0</v>
      </c>
      <c r="AA166">
        <v>0</v>
      </c>
      <c r="AB166">
        <v>0</v>
      </c>
      <c r="AC166">
        <v>0</v>
      </c>
      <c r="AD166">
        <v>1</v>
      </c>
      <c r="AE166">
        <v>0</v>
      </c>
      <c r="AF166" t="s">
        <v>3</v>
      </c>
      <c r="AG166">
        <v>4.0000000000000002E-4</v>
      </c>
      <c r="AH166">
        <v>2</v>
      </c>
      <c r="AI166">
        <v>145070569</v>
      </c>
      <c r="AJ166">
        <v>149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x14ac:dyDescent="0.2">
      <c r="A167">
        <f>ROW(Source!A97)</f>
        <v>97</v>
      </c>
      <c r="B167">
        <v>145070570</v>
      </c>
      <c r="C167">
        <v>145034146</v>
      </c>
      <c r="D167">
        <v>140803197</v>
      </c>
      <c r="E167">
        <v>1</v>
      </c>
      <c r="F167">
        <v>1</v>
      </c>
      <c r="G167">
        <v>1</v>
      </c>
      <c r="H167">
        <v>3</v>
      </c>
      <c r="I167" t="s">
        <v>295</v>
      </c>
      <c r="J167" t="s">
        <v>297</v>
      </c>
      <c r="K167" t="s">
        <v>296</v>
      </c>
      <c r="L167">
        <v>1348</v>
      </c>
      <c r="N167">
        <v>1009</v>
      </c>
      <c r="O167" t="s">
        <v>49</v>
      </c>
      <c r="P167" t="s">
        <v>49</v>
      </c>
      <c r="Q167">
        <v>1000</v>
      </c>
      <c r="X167">
        <v>2.8999999999999998E-3</v>
      </c>
      <c r="Y167">
        <v>25990</v>
      </c>
      <c r="Z167">
        <v>0</v>
      </c>
      <c r="AA167">
        <v>0</v>
      </c>
      <c r="AB167">
        <v>0</v>
      </c>
      <c r="AC167">
        <v>0</v>
      </c>
      <c r="AD167">
        <v>1</v>
      </c>
      <c r="AE167">
        <v>0</v>
      </c>
      <c r="AF167" t="s">
        <v>3</v>
      </c>
      <c r="AG167">
        <v>2.8999999999999998E-3</v>
      </c>
      <c r="AH167">
        <v>2</v>
      </c>
      <c r="AI167">
        <v>145070570</v>
      </c>
      <c r="AJ167">
        <v>150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x14ac:dyDescent="0.2">
      <c r="A168">
        <f>ROW(Source!A97)</f>
        <v>97</v>
      </c>
      <c r="B168">
        <v>145070571</v>
      </c>
      <c r="C168">
        <v>145034146</v>
      </c>
      <c r="D168">
        <v>140805242</v>
      </c>
      <c r="E168">
        <v>1</v>
      </c>
      <c r="F168">
        <v>1</v>
      </c>
      <c r="G168">
        <v>1</v>
      </c>
      <c r="H168">
        <v>3</v>
      </c>
      <c r="I168" t="s">
        <v>743</v>
      </c>
      <c r="J168" t="s">
        <v>744</v>
      </c>
      <c r="K168" t="s">
        <v>745</v>
      </c>
      <c r="L168">
        <v>1348</v>
      </c>
      <c r="N168">
        <v>1009</v>
      </c>
      <c r="O168" t="s">
        <v>49</v>
      </c>
      <c r="P168" t="s">
        <v>49</v>
      </c>
      <c r="Q168">
        <v>1000</v>
      </c>
      <c r="X168">
        <v>9.7000000000000003E-3</v>
      </c>
      <c r="Y168">
        <v>4294</v>
      </c>
      <c r="Z168">
        <v>0</v>
      </c>
      <c r="AA168">
        <v>0</v>
      </c>
      <c r="AB168">
        <v>0</v>
      </c>
      <c r="AC168">
        <v>0</v>
      </c>
      <c r="AD168">
        <v>1</v>
      </c>
      <c r="AE168">
        <v>0</v>
      </c>
      <c r="AF168" t="s">
        <v>3</v>
      </c>
      <c r="AG168">
        <v>9.7000000000000003E-3</v>
      </c>
      <c r="AH168">
        <v>2</v>
      </c>
      <c r="AI168">
        <v>145070571</v>
      </c>
      <c r="AJ168">
        <v>151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x14ac:dyDescent="0.2">
      <c r="A169">
        <f>ROW(Source!A101)</f>
        <v>101</v>
      </c>
      <c r="B169">
        <v>145027385</v>
      </c>
      <c r="C169">
        <v>145027377</v>
      </c>
      <c r="D169">
        <v>140759985</v>
      </c>
      <c r="E169">
        <v>70</v>
      </c>
      <c r="F169">
        <v>1</v>
      </c>
      <c r="G169">
        <v>1</v>
      </c>
      <c r="H169">
        <v>1</v>
      </c>
      <c r="I169" t="s">
        <v>708</v>
      </c>
      <c r="J169" t="s">
        <v>3</v>
      </c>
      <c r="K169" t="s">
        <v>709</v>
      </c>
      <c r="L169">
        <v>1191</v>
      </c>
      <c r="N169">
        <v>1013</v>
      </c>
      <c r="O169" t="s">
        <v>608</v>
      </c>
      <c r="P169" t="s">
        <v>608</v>
      </c>
      <c r="Q169">
        <v>1</v>
      </c>
      <c r="X169">
        <v>43.56</v>
      </c>
      <c r="Y169">
        <v>0</v>
      </c>
      <c r="Z169">
        <v>0</v>
      </c>
      <c r="AA169">
        <v>0</v>
      </c>
      <c r="AB169">
        <v>8.74</v>
      </c>
      <c r="AC169">
        <v>0</v>
      </c>
      <c r="AD169">
        <v>1</v>
      </c>
      <c r="AE169">
        <v>1</v>
      </c>
      <c r="AF169" t="s">
        <v>149</v>
      </c>
      <c r="AG169">
        <v>50.094000000000001</v>
      </c>
      <c r="AH169">
        <v>2</v>
      </c>
      <c r="AI169">
        <v>145027378</v>
      </c>
      <c r="AJ169">
        <v>152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x14ac:dyDescent="0.2">
      <c r="A170">
        <f>ROW(Source!A101)</f>
        <v>101</v>
      </c>
      <c r="B170">
        <v>145027386</v>
      </c>
      <c r="C170">
        <v>145027377</v>
      </c>
      <c r="D170">
        <v>140760225</v>
      </c>
      <c r="E170">
        <v>70</v>
      </c>
      <c r="F170">
        <v>1</v>
      </c>
      <c r="G170">
        <v>1</v>
      </c>
      <c r="H170">
        <v>1</v>
      </c>
      <c r="I170" t="s">
        <v>609</v>
      </c>
      <c r="J170" t="s">
        <v>3</v>
      </c>
      <c r="K170" t="s">
        <v>610</v>
      </c>
      <c r="L170">
        <v>1191</v>
      </c>
      <c r="N170">
        <v>1013</v>
      </c>
      <c r="O170" t="s">
        <v>608</v>
      </c>
      <c r="P170" t="s">
        <v>608</v>
      </c>
      <c r="Q170">
        <v>1</v>
      </c>
      <c r="X170">
        <v>0.17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1</v>
      </c>
      <c r="AE170">
        <v>2</v>
      </c>
      <c r="AF170" t="s">
        <v>148</v>
      </c>
      <c r="AG170">
        <v>0.21250000000000002</v>
      </c>
      <c r="AH170">
        <v>2</v>
      </c>
      <c r="AI170">
        <v>145027379</v>
      </c>
      <c r="AJ170">
        <v>153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 x14ac:dyDescent="0.2">
      <c r="A171">
        <f>ROW(Source!A101)</f>
        <v>101</v>
      </c>
      <c r="B171">
        <v>145027387</v>
      </c>
      <c r="C171">
        <v>145027377</v>
      </c>
      <c r="D171">
        <v>140923143</v>
      </c>
      <c r="E171">
        <v>1</v>
      </c>
      <c r="F171">
        <v>1</v>
      </c>
      <c r="G171">
        <v>1</v>
      </c>
      <c r="H171">
        <v>2</v>
      </c>
      <c r="I171" t="s">
        <v>702</v>
      </c>
      <c r="J171" t="s">
        <v>703</v>
      </c>
      <c r="K171" t="s">
        <v>704</v>
      </c>
      <c r="L171">
        <v>1367</v>
      </c>
      <c r="N171">
        <v>1011</v>
      </c>
      <c r="O171" t="s">
        <v>614</v>
      </c>
      <c r="P171" t="s">
        <v>614</v>
      </c>
      <c r="Q171">
        <v>1</v>
      </c>
      <c r="X171">
        <v>0.02</v>
      </c>
      <c r="Y171">
        <v>0</v>
      </c>
      <c r="Z171">
        <v>27.66</v>
      </c>
      <c r="AA171">
        <v>11.6</v>
      </c>
      <c r="AB171">
        <v>0</v>
      </c>
      <c r="AC171">
        <v>0</v>
      </c>
      <c r="AD171">
        <v>1</v>
      </c>
      <c r="AE171">
        <v>0</v>
      </c>
      <c r="AF171" t="s">
        <v>148</v>
      </c>
      <c r="AG171">
        <v>2.5000000000000001E-2</v>
      </c>
      <c r="AH171">
        <v>2</v>
      </c>
      <c r="AI171">
        <v>145027380</v>
      </c>
      <c r="AJ171">
        <v>154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 x14ac:dyDescent="0.2">
      <c r="A172">
        <f>ROW(Source!A101)</f>
        <v>101</v>
      </c>
      <c r="B172">
        <v>145027388</v>
      </c>
      <c r="C172">
        <v>145027377</v>
      </c>
      <c r="D172">
        <v>140923885</v>
      </c>
      <c r="E172">
        <v>1</v>
      </c>
      <c r="F172">
        <v>1</v>
      </c>
      <c r="G172">
        <v>1</v>
      </c>
      <c r="H172">
        <v>2</v>
      </c>
      <c r="I172" t="s">
        <v>668</v>
      </c>
      <c r="J172" t="s">
        <v>669</v>
      </c>
      <c r="K172" t="s">
        <v>670</v>
      </c>
      <c r="L172">
        <v>1367</v>
      </c>
      <c r="N172">
        <v>1011</v>
      </c>
      <c r="O172" t="s">
        <v>614</v>
      </c>
      <c r="P172" t="s">
        <v>614</v>
      </c>
      <c r="Q172">
        <v>1</v>
      </c>
      <c r="X172">
        <v>0.15</v>
      </c>
      <c r="Y172">
        <v>0</v>
      </c>
      <c r="Z172">
        <v>65.709999999999994</v>
      </c>
      <c r="AA172">
        <v>11.6</v>
      </c>
      <c r="AB172">
        <v>0</v>
      </c>
      <c r="AC172">
        <v>0</v>
      </c>
      <c r="AD172">
        <v>1</v>
      </c>
      <c r="AE172">
        <v>0</v>
      </c>
      <c r="AF172" t="s">
        <v>148</v>
      </c>
      <c r="AG172">
        <v>0.1875</v>
      </c>
      <c r="AH172">
        <v>2</v>
      </c>
      <c r="AI172">
        <v>145027381</v>
      </c>
      <c r="AJ172">
        <v>155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</row>
    <row r="173" spans="1:44" x14ac:dyDescent="0.2">
      <c r="A173">
        <f>ROW(Source!A101)</f>
        <v>101</v>
      </c>
      <c r="B173">
        <v>145027389</v>
      </c>
      <c r="C173">
        <v>145027377</v>
      </c>
      <c r="D173">
        <v>140775863</v>
      </c>
      <c r="E173">
        <v>1</v>
      </c>
      <c r="F173">
        <v>1</v>
      </c>
      <c r="G173">
        <v>1</v>
      </c>
      <c r="H173">
        <v>3</v>
      </c>
      <c r="I173" t="s">
        <v>677</v>
      </c>
      <c r="J173" t="s">
        <v>678</v>
      </c>
      <c r="K173" t="s">
        <v>679</v>
      </c>
      <c r="L173">
        <v>1327</v>
      </c>
      <c r="N173">
        <v>1005</v>
      </c>
      <c r="O173" t="s">
        <v>72</v>
      </c>
      <c r="P173" t="s">
        <v>72</v>
      </c>
      <c r="Q173">
        <v>1</v>
      </c>
      <c r="X173">
        <v>0.84</v>
      </c>
      <c r="Y173">
        <v>72.319999999999993</v>
      </c>
      <c r="Z173">
        <v>0</v>
      </c>
      <c r="AA173">
        <v>0</v>
      </c>
      <c r="AB173">
        <v>0</v>
      </c>
      <c r="AC173">
        <v>0</v>
      </c>
      <c r="AD173">
        <v>1</v>
      </c>
      <c r="AE173">
        <v>0</v>
      </c>
      <c r="AF173" t="s">
        <v>3</v>
      </c>
      <c r="AG173">
        <v>0.84</v>
      </c>
      <c r="AH173">
        <v>2</v>
      </c>
      <c r="AI173">
        <v>145027382</v>
      </c>
      <c r="AJ173">
        <v>156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x14ac:dyDescent="0.2">
      <c r="A174">
        <f>ROW(Source!A101)</f>
        <v>101</v>
      </c>
      <c r="B174">
        <v>145027390</v>
      </c>
      <c r="C174">
        <v>145027377</v>
      </c>
      <c r="D174">
        <v>140776226</v>
      </c>
      <c r="E174">
        <v>1</v>
      </c>
      <c r="F174">
        <v>1</v>
      </c>
      <c r="G174">
        <v>1</v>
      </c>
      <c r="H174">
        <v>3</v>
      </c>
      <c r="I174" t="s">
        <v>680</v>
      </c>
      <c r="J174" t="s">
        <v>681</v>
      </c>
      <c r="K174" t="s">
        <v>682</v>
      </c>
      <c r="L174">
        <v>1346</v>
      </c>
      <c r="N174">
        <v>1009</v>
      </c>
      <c r="O174" t="s">
        <v>154</v>
      </c>
      <c r="P174" t="s">
        <v>154</v>
      </c>
      <c r="Q174">
        <v>1</v>
      </c>
      <c r="X174">
        <v>0.31</v>
      </c>
      <c r="Y174">
        <v>1.82</v>
      </c>
      <c r="Z174">
        <v>0</v>
      </c>
      <c r="AA174">
        <v>0</v>
      </c>
      <c r="AB174">
        <v>0</v>
      </c>
      <c r="AC174">
        <v>0</v>
      </c>
      <c r="AD174">
        <v>1</v>
      </c>
      <c r="AE174">
        <v>0</v>
      </c>
      <c r="AF174" t="s">
        <v>3</v>
      </c>
      <c r="AG174">
        <v>0.31</v>
      </c>
      <c r="AH174">
        <v>2</v>
      </c>
      <c r="AI174">
        <v>145027383</v>
      </c>
      <c r="AJ174">
        <v>157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x14ac:dyDescent="0.2">
      <c r="A175">
        <f>ROW(Source!A101)</f>
        <v>101</v>
      </c>
      <c r="B175">
        <v>145027391</v>
      </c>
      <c r="C175">
        <v>145027377</v>
      </c>
      <c r="D175">
        <v>140763266</v>
      </c>
      <c r="E175">
        <v>70</v>
      </c>
      <c r="F175">
        <v>1</v>
      </c>
      <c r="G175">
        <v>1</v>
      </c>
      <c r="H175">
        <v>3</v>
      </c>
      <c r="I175" t="s">
        <v>845</v>
      </c>
      <c r="J175" t="s">
        <v>3</v>
      </c>
      <c r="K175" t="s">
        <v>846</v>
      </c>
      <c r="L175">
        <v>1348</v>
      </c>
      <c r="N175">
        <v>1009</v>
      </c>
      <c r="O175" t="s">
        <v>49</v>
      </c>
      <c r="P175" t="s">
        <v>49</v>
      </c>
      <c r="Q175">
        <v>1000</v>
      </c>
      <c r="X175">
        <v>0.03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 t="s">
        <v>3</v>
      </c>
      <c r="AG175">
        <v>0.03</v>
      </c>
      <c r="AH175">
        <v>3</v>
      </c>
      <c r="AI175">
        <v>-1</v>
      </c>
      <c r="AJ175" t="s">
        <v>3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x14ac:dyDescent="0.2">
      <c r="A176">
        <f>ROW(Source!A101)</f>
        <v>101</v>
      </c>
      <c r="B176">
        <v>145027392</v>
      </c>
      <c r="C176">
        <v>145027377</v>
      </c>
      <c r="D176">
        <v>140763281</v>
      </c>
      <c r="E176">
        <v>70</v>
      </c>
      <c r="F176">
        <v>1</v>
      </c>
      <c r="G176">
        <v>1</v>
      </c>
      <c r="H176">
        <v>3</v>
      </c>
      <c r="I176" t="s">
        <v>825</v>
      </c>
      <c r="J176" t="s">
        <v>3</v>
      </c>
      <c r="K176" t="s">
        <v>842</v>
      </c>
      <c r="L176">
        <v>1348</v>
      </c>
      <c r="N176">
        <v>1009</v>
      </c>
      <c r="O176" t="s">
        <v>49</v>
      </c>
      <c r="P176" t="s">
        <v>49</v>
      </c>
      <c r="Q176">
        <v>1000</v>
      </c>
      <c r="X176">
        <v>0.02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 t="s">
        <v>3</v>
      </c>
      <c r="AG176">
        <v>0.02</v>
      </c>
      <c r="AH176">
        <v>3</v>
      </c>
      <c r="AI176">
        <v>-1</v>
      </c>
      <c r="AJ176" t="s">
        <v>3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x14ac:dyDescent="0.2">
      <c r="A177">
        <f>ROW(Source!A101)</f>
        <v>101</v>
      </c>
      <c r="B177">
        <v>145027393</v>
      </c>
      <c r="C177">
        <v>145027377</v>
      </c>
      <c r="D177">
        <v>140805249</v>
      </c>
      <c r="E177">
        <v>1</v>
      </c>
      <c r="F177">
        <v>1</v>
      </c>
      <c r="G177">
        <v>1</v>
      </c>
      <c r="H177">
        <v>3</v>
      </c>
      <c r="I177" t="s">
        <v>309</v>
      </c>
      <c r="J177" t="s">
        <v>311</v>
      </c>
      <c r="K177" t="s">
        <v>310</v>
      </c>
      <c r="L177">
        <v>1348</v>
      </c>
      <c r="N177">
        <v>1009</v>
      </c>
      <c r="O177" t="s">
        <v>49</v>
      </c>
      <c r="P177" t="s">
        <v>49</v>
      </c>
      <c r="Q177">
        <v>1000</v>
      </c>
      <c r="X177">
        <v>5.0999999999999997E-2</v>
      </c>
      <c r="Y177">
        <v>11397.1</v>
      </c>
      <c r="Z177">
        <v>0</v>
      </c>
      <c r="AA177">
        <v>0</v>
      </c>
      <c r="AB177">
        <v>0</v>
      </c>
      <c r="AC177">
        <v>0</v>
      </c>
      <c r="AD177">
        <v>1</v>
      </c>
      <c r="AE177">
        <v>0</v>
      </c>
      <c r="AF177" t="s">
        <v>3</v>
      </c>
      <c r="AG177">
        <v>5.0999999999999997E-2</v>
      </c>
      <c r="AH177">
        <v>2</v>
      </c>
      <c r="AI177">
        <v>145027384</v>
      </c>
      <c r="AJ177">
        <v>158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x14ac:dyDescent="0.2">
      <c r="A178">
        <f>ROW(Source!A141)</f>
        <v>141</v>
      </c>
      <c r="B178">
        <v>145027402</v>
      </c>
      <c r="C178">
        <v>145027398</v>
      </c>
      <c r="D178">
        <v>140759938</v>
      </c>
      <c r="E178">
        <v>70</v>
      </c>
      <c r="F178">
        <v>1</v>
      </c>
      <c r="G178">
        <v>1</v>
      </c>
      <c r="H178">
        <v>1</v>
      </c>
      <c r="I178" t="s">
        <v>700</v>
      </c>
      <c r="J178" t="s">
        <v>3</v>
      </c>
      <c r="K178" t="s">
        <v>701</v>
      </c>
      <c r="L178">
        <v>1191</v>
      </c>
      <c r="N178">
        <v>1013</v>
      </c>
      <c r="O178" t="s">
        <v>608</v>
      </c>
      <c r="P178" t="s">
        <v>608</v>
      </c>
      <c r="Q178">
        <v>1</v>
      </c>
      <c r="X178">
        <v>110</v>
      </c>
      <c r="Y178">
        <v>0</v>
      </c>
      <c r="Z178">
        <v>0</v>
      </c>
      <c r="AA178">
        <v>0</v>
      </c>
      <c r="AB178">
        <v>7.87</v>
      </c>
      <c r="AC178">
        <v>0</v>
      </c>
      <c r="AD178">
        <v>1</v>
      </c>
      <c r="AE178">
        <v>1</v>
      </c>
      <c r="AF178" t="s">
        <v>3</v>
      </c>
      <c r="AG178">
        <v>110</v>
      </c>
      <c r="AH178">
        <v>2</v>
      </c>
      <c r="AI178">
        <v>145027399</v>
      </c>
      <c r="AJ178">
        <v>159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</row>
    <row r="179" spans="1:44" x14ac:dyDescent="0.2">
      <c r="A179">
        <f>ROW(Source!A141)</f>
        <v>141</v>
      </c>
      <c r="B179">
        <v>145027403</v>
      </c>
      <c r="C179">
        <v>145027398</v>
      </c>
      <c r="D179">
        <v>140760225</v>
      </c>
      <c r="E179">
        <v>70</v>
      </c>
      <c r="F179">
        <v>1</v>
      </c>
      <c r="G179">
        <v>1</v>
      </c>
      <c r="H179">
        <v>1</v>
      </c>
      <c r="I179" t="s">
        <v>609</v>
      </c>
      <c r="J179" t="s">
        <v>3</v>
      </c>
      <c r="K179" t="s">
        <v>610</v>
      </c>
      <c r="L179">
        <v>1191</v>
      </c>
      <c r="N179">
        <v>1013</v>
      </c>
      <c r="O179" t="s">
        <v>608</v>
      </c>
      <c r="P179" t="s">
        <v>608</v>
      </c>
      <c r="Q179">
        <v>1</v>
      </c>
      <c r="X179">
        <v>2.2400000000000002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1</v>
      </c>
      <c r="AE179">
        <v>2</v>
      </c>
      <c r="AF179" t="s">
        <v>3</v>
      </c>
      <c r="AG179">
        <v>2.2400000000000002</v>
      </c>
      <c r="AH179">
        <v>2</v>
      </c>
      <c r="AI179">
        <v>145027400</v>
      </c>
      <c r="AJ179">
        <v>160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</row>
    <row r="180" spans="1:44" x14ac:dyDescent="0.2">
      <c r="A180">
        <f>ROW(Source!A141)</f>
        <v>141</v>
      </c>
      <c r="B180">
        <v>145027404</v>
      </c>
      <c r="C180">
        <v>145027398</v>
      </c>
      <c r="D180">
        <v>140923145</v>
      </c>
      <c r="E180">
        <v>1</v>
      </c>
      <c r="F180">
        <v>1</v>
      </c>
      <c r="G180">
        <v>1</v>
      </c>
      <c r="H180">
        <v>2</v>
      </c>
      <c r="I180" t="s">
        <v>611</v>
      </c>
      <c r="J180" t="s">
        <v>612</v>
      </c>
      <c r="K180" t="s">
        <v>613</v>
      </c>
      <c r="L180">
        <v>1367</v>
      </c>
      <c r="N180">
        <v>1011</v>
      </c>
      <c r="O180" t="s">
        <v>614</v>
      </c>
      <c r="P180" t="s">
        <v>614</v>
      </c>
      <c r="Q180">
        <v>1</v>
      </c>
      <c r="X180">
        <v>2.2400000000000002</v>
      </c>
      <c r="Y180">
        <v>0</v>
      </c>
      <c r="Z180">
        <v>31.26</v>
      </c>
      <c r="AA180">
        <v>13.5</v>
      </c>
      <c r="AB180">
        <v>0</v>
      </c>
      <c r="AC180">
        <v>0</v>
      </c>
      <c r="AD180">
        <v>1</v>
      </c>
      <c r="AE180">
        <v>0</v>
      </c>
      <c r="AF180" t="s">
        <v>3</v>
      </c>
      <c r="AG180">
        <v>2.2400000000000002</v>
      </c>
      <c r="AH180">
        <v>2</v>
      </c>
      <c r="AI180">
        <v>145027401</v>
      </c>
      <c r="AJ180">
        <v>161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</row>
    <row r="181" spans="1:44" x14ac:dyDescent="0.2">
      <c r="A181">
        <f>ROW(Source!A142)</f>
        <v>142</v>
      </c>
      <c r="B181">
        <v>145027413</v>
      </c>
      <c r="C181">
        <v>145027405</v>
      </c>
      <c r="D181">
        <v>140759961</v>
      </c>
      <c r="E181">
        <v>70</v>
      </c>
      <c r="F181">
        <v>1</v>
      </c>
      <c r="G181">
        <v>1</v>
      </c>
      <c r="H181">
        <v>1</v>
      </c>
      <c r="I181" t="s">
        <v>746</v>
      </c>
      <c r="J181" t="s">
        <v>3</v>
      </c>
      <c r="K181" t="s">
        <v>747</v>
      </c>
      <c r="L181">
        <v>1191</v>
      </c>
      <c r="N181">
        <v>1013</v>
      </c>
      <c r="O181" t="s">
        <v>608</v>
      </c>
      <c r="P181" t="s">
        <v>608</v>
      </c>
      <c r="Q181">
        <v>1</v>
      </c>
      <c r="X181">
        <v>51.44</v>
      </c>
      <c r="Y181">
        <v>0</v>
      </c>
      <c r="Z181">
        <v>0</v>
      </c>
      <c r="AA181">
        <v>0</v>
      </c>
      <c r="AB181">
        <v>8.24</v>
      </c>
      <c r="AC181">
        <v>0</v>
      </c>
      <c r="AD181">
        <v>1</v>
      </c>
      <c r="AE181">
        <v>1</v>
      </c>
      <c r="AF181" t="s">
        <v>3</v>
      </c>
      <c r="AG181">
        <v>51.44</v>
      </c>
      <c r="AH181">
        <v>2</v>
      </c>
      <c r="AI181">
        <v>145027406</v>
      </c>
      <c r="AJ181">
        <v>162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x14ac:dyDescent="0.2">
      <c r="A182">
        <f>ROW(Source!A142)</f>
        <v>142</v>
      </c>
      <c r="B182">
        <v>145027414</v>
      </c>
      <c r="C182">
        <v>145027405</v>
      </c>
      <c r="D182">
        <v>140760225</v>
      </c>
      <c r="E182">
        <v>70</v>
      </c>
      <c r="F182">
        <v>1</v>
      </c>
      <c r="G182">
        <v>1</v>
      </c>
      <c r="H182">
        <v>1</v>
      </c>
      <c r="I182" t="s">
        <v>609</v>
      </c>
      <c r="J182" t="s">
        <v>3</v>
      </c>
      <c r="K182" t="s">
        <v>610</v>
      </c>
      <c r="L182">
        <v>1191</v>
      </c>
      <c r="N182">
        <v>1013</v>
      </c>
      <c r="O182" t="s">
        <v>608</v>
      </c>
      <c r="P182" t="s">
        <v>608</v>
      </c>
      <c r="Q182">
        <v>1</v>
      </c>
      <c r="X182">
        <v>0.1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1</v>
      </c>
      <c r="AE182">
        <v>2</v>
      </c>
      <c r="AF182" t="s">
        <v>3</v>
      </c>
      <c r="AG182">
        <v>0.1</v>
      </c>
      <c r="AH182">
        <v>2</v>
      </c>
      <c r="AI182">
        <v>145027407</v>
      </c>
      <c r="AJ182">
        <v>163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x14ac:dyDescent="0.2">
      <c r="A183">
        <f>ROW(Source!A142)</f>
        <v>142</v>
      </c>
      <c r="B183">
        <v>145027415</v>
      </c>
      <c r="C183">
        <v>145027405</v>
      </c>
      <c r="D183">
        <v>140923145</v>
      </c>
      <c r="E183">
        <v>1</v>
      </c>
      <c r="F183">
        <v>1</v>
      </c>
      <c r="G183">
        <v>1</v>
      </c>
      <c r="H183">
        <v>2</v>
      </c>
      <c r="I183" t="s">
        <v>611</v>
      </c>
      <c r="J183" t="s">
        <v>612</v>
      </c>
      <c r="K183" t="s">
        <v>613</v>
      </c>
      <c r="L183">
        <v>1367</v>
      </c>
      <c r="N183">
        <v>1011</v>
      </c>
      <c r="O183" t="s">
        <v>614</v>
      </c>
      <c r="P183" t="s">
        <v>614</v>
      </c>
      <c r="Q183">
        <v>1</v>
      </c>
      <c r="X183">
        <v>0.1</v>
      </c>
      <c r="Y183">
        <v>0</v>
      </c>
      <c r="Z183">
        <v>31.26</v>
      </c>
      <c r="AA183">
        <v>13.5</v>
      </c>
      <c r="AB183">
        <v>0</v>
      </c>
      <c r="AC183">
        <v>0</v>
      </c>
      <c r="AD183">
        <v>1</v>
      </c>
      <c r="AE183">
        <v>0</v>
      </c>
      <c r="AF183" t="s">
        <v>3</v>
      </c>
      <c r="AG183">
        <v>0.1</v>
      </c>
      <c r="AH183">
        <v>2</v>
      </c>
      <c r="AI183">
        <v>145027408</v>
      </c>
      <c r="AJ183">
        <v>164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x14ac:dyDescent="0.2">
      <c r="A184">
        <f>ROW(Source!A142)</f>
        <v>142</v>
      </c>
      <c r="B184">
        <v>145027416</v>
      </c>
      <c r="C184">
        <v>145027405</v>
      </c>
      <c r="D184">
        <v>140924041</v>
      </c>
      <c r="E184">
        <v>1</v>
      </c>
      <c r="F184">
        <v>1</v>
      </c>
      <c r="G184">
        <v>1</v>
      </c>
      <c r="H184">
        <v>2</v>
      </c>
      <c r="I184" t="s">
        <v>748</v>
      </c>
      <c r="J184" t="s">
        <v>749</v>
      </c>
      <c r="K184" t="s">
        <v>750</v>
      </c>
      <c r="L184">
        <v>1367</v>
      </c>
      <c r="N184">
        <v>1011</v>
      </c>
      <c r="O184" t="s">
        <v>614</v>
      </c>
      <c r="P184" t="s">
        <v>614</v>
      </c>
      <c r="Q184">
        <v>1</v>
      </c>
      <c r="X184">
        <v>4.9000000000000004</v>
      </c>
      <c r="Y184">
        <v>0</v>
      </c>
      <c r="Z184">
        <v>1.2</v>
      </c>
      <c r="AA184">
        <v>0</v>
      </c>
      <c r="AB184">
        <v>0</v>
      </c>
      <c r="AC184">
        <v>0</v>
      </c>
      <c r="AD184">
        <v>1</v>
      </c>
      <c r="AE184">
        <v>0</v>
      </c>
      <c r="AF184" t="s">
        <v>3</v>
      </c>
      <c r="AG184">
        <v>4.9000000000000004</v>
      </c>
      <c r="AH184">
        <v>2</v>
      </c>
      <c r="AI184">
        <v>145027409</v>
      </c>
      <c r="AJ184">
        <v>165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x14ac:dyDescent="0.2">
      <c r="A185">
        <f>ROW(Source!A142)</f>
        <v>142</v>
      </c>
      <c r="B185">
        <v>145027417</v>
      </c>
      <c r="C185">
        <v>145027405</v>
      </c>
      <c r="D185">
        <v>140770987</v>
      </c>
      <c r="E185">
        <v>1</v>
      </c>
      <c r="F185">
        <v>1</v>
      </c>
      <c r="G185">
        <v>1</v>
      </c>
      <c r="H185">
        <v>3</v>
      </c>
      <c r="I185" t="s">
        <v>751</v>
      </c>
      <c r="J185" t="s">
        <v>752</v>
      </c>
      <c r="K185" t="s">
        <v>753</v>
      </c>
      <c r="L185">
        <v>1339</v>
      </c>
      <c r="N185">
        <v>1007</v>
      </c>
      <c r="O185" t="s">
        <v>638</v>
      </c>
      <c r="P185" t="s">
        <v>638</v>
      </c>
      <c r="Q185">
        <v>1</v>
      </c>
      <c r="X185">
        <v>0.61</v>
      </c>
      <c r="Y185">
        <v>38.51</v>
      </c>
      <c r="Z185">
        <v>0</v>
      </c>
      <c r="AA185">
        <v>0</v>
      </c>
      <c r="AB185">
        <v>0</v>
      </c>
      <c r="AC185">
        <v>0</v>
      </c>
      <c r="AD185">
        <v>1</v>
      </c>
      <c r="AE185">
        <v>0</v>
      </c>
      <c r="AF185" t="s">
        <v>3</v>
      </c>
      <c r="AG185">
        <v>0.61</v>
      </c>
      <c r="AH185">
        <v>2</v>
      </c>
      <c r="AI185">
        <v>145027410</v>
      </c>
      <c r="AJ185">
        <v>166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x14ac:dyDescent="0.2">
      <c r="A186">
        <f>ROW(Source!A142)</f>
        <v>142</v>
      </c>
      <c r="B186">
        <v>145027418</v>
      </c>
      <c r="C186">
        <v>145027405</v>
      </c>
      <c r="D186">
        <v>140771005</v>
      </c>
      <c r="E186">
        <v>1</v>
      </c>
      <c r="F186">
        <v>1</v>
      </c>
      <c r="G186">
        <v>1</v>
      </c>
      <c r="H186">
        <v>3</v>
      </c>
      <c r="I186" t="s">
        <v>754</v>
      </c>
      <c r="J186" t="s">
        <v>755</v>
      </c>
      <c r="K186" t="s">
        <v>756</v>
      </c>
      <c r="L186">
        <v>1339</v>
      </c>
      <c r="N186">
        <v>1007</v>
      </c>
      <c r="O186" t="s">
        <v>638</v>
      </c>
      <c r="P186" t="s">
        <v>638</v>
      </c>
      <c r="Q186">
        <v>1</v>
      </c>
      <c r="X186">
        <v>3.9</v>
      </c>
      <c r="Y186">
        <v>6.22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F186" t="s">
        <v>3</v>
      </c>
      <c r="AG186">
        <v>3.9</v>
      </c>
      <c r="AH186">
        <v>2</v>
      </c>
      <c r="AI186">
        <v>145027411</v>
      </c>
      <c r="AJ186">
        <v>167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</row>
    <row r="187" spans="1:44" x14ac:dyDescent="0.2">
      <c r="A187">
        <f>ROW(Source!A142)</f>
        <v>142</v>
      </c>
      <c r="B187">
        <v>145027419</v>
      </c>
      <c r="C187">
        <v>145027405</v>
      </c>
      <c r="D187">
        <v>140765019</v>
      </c>
      <c r="E187">
        <v>70</v>
      </c>
      <c r="F187">
        <v>1</v>
      </c>
      <c r="G187">
        <v>1</v>
      </c>
      <c r="H187">
        <v>3</v>
      </c>
      <c r="I187" t="s">
        <v>114</v>
      </c>
      <c r="J187" t="s">
        <v>3</v>
      </c>
      <c r="K187" t="s">
        <v>115</v>
      </c>
      <c r="L187">
        <v>1348</v>
      </c>
      <c r="N187">
        <v>1009</v>
      </c>
      <c r="O187" t="s">
        <v>49</v>
      </c>
      <c r="P187" t="s">
        <v>49</v>
      </c>
      <c r="Q187">
        <v>1000</v>
      </c>
      <c r="X187">
        <v>0.28999999999999998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 t="s">
        <v>3</v>
      </c>
      <c r="AG187">
        <v>0.28999999999999998</v>
      </c>
      <c r="AH187">
        <v>2</v>
      </c>
      <c r="AI187">
        <v>145027412</v>
      </c>
      <c r="AJ187">
        <v>168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</row>
    <row r="188" spans="1:44" x14ac:dyDescent="0.2">
      <c r="A188">
        <f>ROW(Source!A144)</f>
        <v>144</v>
      </c>
      <c r="B188">
        <v>145122666</v>
      </c>
      <c r="C188">
        <v>145122665</v>
      </c>
      <c r="D188">
        <v>140760031</v>
      </c>
      <c r="E188">
        <v>70</v>
      </c>
      <c r="F188">
        <v>1</v>
      </c>
      <c r="G188">
        <v>1</v>
      </c>
      <c r="H188">
        <v>1</v>
      </c>
      <c r="I188" t="s">
        <v>606</v>
      </c>
      <c r="J188" t="s">
        <v>3</v>
      </c>
      <c r="K188" t="s">
        <v>607</v>
      </c>
      <c r="L188">
        <v>1191</v>
      </c>
      <c r="N188">
        <v>1013</v>
      </c>
      <c r="O188" t="s">
        <v>608</v>
      </c>
      <c r="P188" t="s">
        <v>608</v>
      </c>
      <c r="Q188">
        <v>1</v>
      </c>
      <c r="X188">
        <v>54.48</v>
      </c>
      <c r="Y188">
        <v>0</v>
      </c>
      <c r="Z188">
        <v>0</v>
      </c>
      <c r="AA188">
        <v>0</v>
      </c>
      <c r="AB188">
        <v>9.6199999999999992</v>
      </c>
      <c r="AC188">
        <v>0</v>
      </c>
      <c r="AD188">
        <v>1</v>
      </c>
      <c r="AE188">
        <v>1</v>
      </c>
      <c r="AF188" t="s">
        <v>149</v>
      </c>
      <c r="AG188">
        <v>62.651999999999994</v>
      </c>
      <c r="AH188">
        <v>2</v>
      </c>
      <c r="AI188">
        <v>145122666</v>
      </c>
      <c r="AJ188">
        <v>169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</row>
    <row r="189" spans="1:44" x14ac:dyDescent="0.2">
      <c r="A189">
        <f>ROW(Source!A144)</f>
        <v>144</v>
      </c>
      <c r="B189">
        <v>145122667</v>
      </c>
      <c r="C189">
        <v>145122665</v>
      </c>
      <c r="D189">
        <v>140760225</v>
      </c>
      <c r="E189">
        <v>70</v>
      </c>
      <c r="F189">
        <v>1</v>
      </c>
      <c r="G189">
        <v>1</v>
      </c>
      <c r="H189">
        <v>1</v>
      </c>
      <c r="I189" t="s">
        <v>609</v>
      </c>
      <c r="J189" t="s">
        <v>3</v>
      </c>
      <c r="K189" t="s">
        <v>610</v>
      </c>
      <c r="L189">
        <v>1191</v>
      </c>
      <c r="N189">
        <v>1013</v>
      </c>
      <c r="O189" t="s">
        <v>608</v>
      </c>
      <c r="P189" t="s">
        <v>608</v>
      </c>
      <c r="Q189">
        <v>1</v>
      </c>
      <c r="X189">
        <v>0.45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1</v>
      </c>
      <c r="AE189">
        <v>2</v>
      </c>
      <c r="AF189" t="s">
        <v>148</v>
      </c>
      <c r="AG189">
        <v>0.5625</v>
      </c>
      <c r="AH189">
        <v>2</v>
      </c>
      <c r="AI189">
        <v>145122667</v>
      </c>
      <c r="AJ189">
        <v>170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 x14ac:dyDescent="0.2">
      <c r="A190">
        <f>ROW(Source!A144)</f>
        <v>144</v>
      </c>
      <c r="B190">
        <v>145122668</v>
      </c>
      <c r="C190">
        <v>145122665</v>
      </c>
      <c r="D190">
        <v>140922893</v>
      </c>
      <c r="E190">
        <v>1</v>
      </c>
      <c r="F190">
        <v>1</v>
      </c>
      <c r="G190">
        <v>1</v>
      </c>
      <c r="H190">
        <v>2</v>
      </c>
      <c r="I190" t="s">
        <v>757</v>
      </c>
      <c r="J190" t="s">
        <v>758</v>
      </c>
      <c r="K190" t="s">
        <v>759</v>
      </c>
      <c r="L190">
        <v>1367</v>
      </c>
      <c r="N190">
        <v>1011</v>
      </c>
      <c r="O190" t="s">
        <v>614</v>
      </c>
      <c r="P190" t="s">
        <v>614</v>
      </c>
      <c r="Q190">
        <v>1</v>
      </c>
      <c r="X190">
        <v>0.04</v>
      </c>
      <c r="Y190">
        <v>0</v>
      </c>
      <c r="Z190">
        <v>86.4</v>
      </c>
      <c r="AA190">
        <v>13.5</v>
      </c>
      <c r="AB190">
        <v>0</v>
      </c>
      <c r="AC190">
        <v>0</v>
      </c>
      <c r="AD190">
        <v>1</v>
      </c>
      <c r="AE190">
        <v>0</v>
      </c>
      <c r="AF190" t="s">
        <v>148</v>
      </c>
      <c r="AG190">
        <v>0.05</v>
      </c>
      <c r="AH190">
        <v>2</v>
      </c>
      <c r="AI190">
        <v>145122668</v>
      </c>
      <c r="AJ190">
        <v>171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 x14ac:dyDescent="0.2">
      <c r="A191">
        <f>ROW(Source!A144)</f>
        <v>144</v>
      </c>
      <c r="B191">
        <v>145122669</v>
      </c>
      <c r="C191">
        <v>145122665</v>
      </c>
      <c r="D191">
        <v>140923885</v>
      </c>
      <c r="E191">
        <v>1</v>
      </c>
      <c r="F191">
        <v>1</v>
      </c>
      <c r="G191">
        <v>1</v>
      </c>
      <c r="H191">
        <v>2</v>
      </c>
      <c r="I191" t="s">
        <v>668</v>
      </c>
      <c r="J191" t="s">
        <v>669</v>
      </c>
      <c r="K191" t="s">
        <v>670</v>
      </c>
      <c r="L191">
        <v>1367</v>
      </c>
      <c r="N191">
        <v>1011</v>
      </c>
      <c r="O191" t="s">
        <v>614</v>
      </c>
      <c r="P191" t="s">
        <v>614</v>
      </c>
      <c r="Q191">
        <v>1</v>
      </c>
      <c r="X191">
        <v>0.41</v>
      </c>
      <c r="Y191">
        <v>0</v>
      </c>
      <c r="Z191">
        <v>65.709999999999994</v>
      </c>
      <c r="AA191">
        <v>11.6</v>
      </c>
      <c r="AB191">
        <v>0</v>
      </c>
      <c r="AC191">
        <v>0</v>
      </c>
      <c r="AD191">
        <v>1</v>
      </c>
      <c r="AE191">
        <v>0</v>
      </c>
      <c r="AF191" t="s">
        <v>148</v>
      </c>
      <c r="AG191">
        <v>0.51249999999999996</v>
      </c>
      <c r="AH191">
        <v>2</v>
      </c>
      <c r="AI191">
        <v>145122669</v>
      </c>
      <c r="AJ191">
        <v>172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x14ac:dyDescent="0.2">
      <c r="A192">
        <f>ROW(Source!A144)</f>
        <v>144</v>
      </c>
      <c r="B192">
        <v>145122670</v>
      </c>
      <c r="C192">
        <v>145122665</v>
      </c>
      <c r="D192">
        <v>140772680</v>
      </c>
      <c r="E192">
        <v>1</v>
      </c>
      <c r="F192">
        <v>1</v>
      </c>
      <c r="G192">
        <v>1</v>
      </c>
      <c r="H192">
        <v>3</v>
      </c>
      <c r="I192" t="s">
        <v>635</v>
      </c>
      <c r="J192" t="s">
        <v>636</v>
      </c>
      <c r="K192" t="s">
        <v>637</v>
      </c>
      <c r="L192">
        <v>1339</v>
      </c>
      <c r="N192">
        <v>1007</v>
      </c>
      <c r="O192" t="s">
        <v>638</v>
      </c>
      <c r="P192" t="s">
        <v>638</v>
      </c>
      <c r="Q192">
        <v>1</v>
      </c>
      <c r="X192">
        <v>0.92</v>
      </c>
      <c r="Y192">
        <v>2.44</v>
      </c>
      <c r="Z192">
        <v>0</v>
      </c>
      <c r="AA192">
        <v>0</v>
      </c>
      <c r="AB192">
        <v>0</v>
      </c>
      <c r="AC192">
        <v>0</v>
      </c>
      <c r="AD192">
        <v>1</v>
      </c>
      <c r="AE192">
        <v>0</v>
      </c>
      <c r="AF192" t="s">
        <v>3</v>
      </c>
      <c r="AG192">
        <v>0.92</v>
      </c>
      <c r="AH192">
        <v>2</v>
      </c>
      <c r="AI192">
        <v>145122670</v>
      </c>
      <c r="AJ192">
        <v>173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 x14ac:dyDescent="0.2">
      <c r="A193">
        <f>ROW(Source!A144)</f>
        <v>144</v>
      </c>
      <c r="B193">
        <v>145122671</v>
      </c>
      <c r="C193">
        <v>145122665</v>
      </c>
      <c r="D193">
        <v>140777281</v>
      </c>
      <c r="E193">
        <v>1</v>
      </c>
      <c r="F193">
        <v>1</v>
      </c>
      <c r="G193">
        <v>1</v>
      </c>
      <c r="H193">
        <v>3</v>
      </c>
      <c r="I193" t="s">
        <v>760</v>
      </c>
      <c r="J193" t="s">
        <v>761</v>
      </c>
      <c r="K193" t="s">
        <v>762</v>
      </c>
      <c r="L193">
        <v>1346</v>
      </c>
      <c r="N193">
        <v>1009</v>
      </c>
      <c r="O193" t="s">
        <v>154</v>
      </c>
      <c r="P193" t="s">
        <v>154</v>
      </c>
      <c r="Q193">
        <v>1</v>
      </c>
      <c r="X193">
        <v>3.3999999999999998E-3</v>
      </c>
      <c r="Y193">
        <v>2.15</v>
      </c>
      <c r="Z193">
        <v>0</v>
      </c>
      <c r="AA193">
        <v>0</v>
      </c>
      <c r="AB193">
        <v>0</v>
      </c>
      <c r="AC193">
        <v>0</v>
      </c>
      <c r="AD193">
        <v>1</v>
      </c>
      <c r="AE193">
        <v>0</v>
      </c>
      <c r="AF193" t="s">
        <v>3</v>
      </c>
      <c r="AG193">
        <v>3.3999999999999998E-3</v>
      </c>
      <c r="AH193">
        <v>2</v>
      </c>
      <c r="AI193">
        <v>145122671</v>
      </c>
      <c r="AJ193">
        <v>174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 x14ac:dyDescent="0.2">
      <c r="A194">
        <f>ROW(Source!A144)</f>
        <v>144</v>
      </c>
      <c r="B194">
        <v>145122672</v>
      </c>
      <c r="C194">
        <v>145122665</v>
      </c>
      <c r="D194">
        <v>140763667</v>
      </c>
      <c r="E194">
        <v>70</v>
      </c>
      <c r="F194">
        <v>1</v>
      </c>
      <c r="G194">
        <v>1</v>
      </c>
      <c r="H194">
        <v>3</v>
      </c>
      <c r="I194" t="s">
        <v>847</v>
      </c>
      <c r="J194" t="s">
        <v>3</v>
      </c>
      <c r="K194" t="s">
        <v>848</v>
      </c>
      <c r="L194">
        <v>1371</v>
      </c>
      <c r="N194">
        <v>1013</v>
      </c>
      <c r="O194" t="s">
        <v>213</v>
      </c>
      <c r="P194" t="s">
        <v>213</v>
      </c>
      <c r="Q194">
        <v>1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1</v>
      </c>
      <c r="AD194">
        <v>0</v>
      </c>
      <c r="AE194">
        <v>0</v>
      </c>
      <c r="AF194" t="s">
        <v>3</v>
      </c>
      <c r="AG194">
        <v>0</v>
      </c>
      <c r="AH194">
        <v>3</v>
      </c>
      <c r="AI194">
        <v>-1</v>
      </c>
      <c r="AJ194" t="s">
        <v>3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 x14ac:dyDescent="0.2">
      <c r="A195">
        <f>ROW(Source!A144)</f>
        <v>144</v>
      </c>
      <c r="B195">
        <v>145122673</v>
      </c>
      <c r="C195">
        <v>145122665</v>
      </c>
      <c r="D195">
        <v>140813341</v>
      </c>
      <c r="E195">
        <v>1</v>
      </c>
      <c r="F195">
        <v>1</v>
      </c>
      <c r="G195">
        <v>1</v>
      </c>
      <c r="H195">
        <v>3</v>
      </c>
      <c r="I195" t="s">
        <v>763</v>
      </c>
      <c r="J195" t="s">
        <v>764</v>
      </c>
      <c r="K195" t="s">
        <v>765</v>
      </c>
      <c r="L195">
        <v>1301</v>
      </c>
      <c r="N195">
        <v>1003</v>
      </c>
      <c r="O195" t="s">
        <v>191</v>
      </c>
      <c r="P195" t="s">
        <v>191</v>
      </c>
      <c r="Q195">
        <v>1</v>
      </c>
      <c r="X195">
        <v>11</v>
      </c>
      <c r="Y195">
        <v>9.5</v>
      </c>
      <c r="Z195">
        <v>0</v>
      </c>
      <c r="AA195">
        <v>0</v>
      </c>
      <c r="AB195">
        <v>0</v>
      </c>
      <c r="AC195">
        <v>0</v>
      </c>
      <c r="AD195">
        <v>1</v>
      </c>
      <c r="AE195">
        <v>0</v>
      </c>
      <c r="AF195" t="s">
        <v>3</v>
      </c>
      <c r="AG195">
        <v>11</v>
      </c>
      <c r="AH195">
        <v>2</v>
      </c>
      <c r="AI195">
        <v>145122673</v>
      </c>
      <c r="AJ195">
        <v>175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 x14ac:dyDescent="0.2">
      <c r="A196">
        <f>ROW(Source!A144)</f>
        <v>144</v>
      </c>
      <c r="B196">
        <v>145122674</v>
      </c>
      <c r="C196">
        <v>145122665</v>
      </c>
      <c r="D196">
        <v>140764360</v>
      </c>
      <c r="E196">
        <v>70</v>
      </c>
      <c r="F196">
        <v>1</v>
      </c>
      <c r="G196">
        <v>1</v>
      </c>
      <c r="H196">
        <v>3</v>
      </c>
      <c r="I196" t="s">
        <v>849</v>
      </c>
      <c r="J196" t="s">
        <v>3</v>
      </c>
      <c r="K196" t="s">
        <v>850</v>
      </c>
      <c r="L196">
        <v>1346</v>
      </c>
      <c r="N196">
        <v>1009</v>
      </c>
      <c r="O196" t="s">
        <v>154</v>
      </c>
      <c r="P196" t="s">
        <v>154</v>
      </c>
      <c r="Q196">
        <v>1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1</v>
      </c>
      <c r="AD196">
        <v>0</v>
      </c>
      <c r="AE196">
        <v>0</v>
      </c>
      <c r="AF196" t="s">
        <v>3</v>
      </c>
      <c r="AG196">
        <v>0</v>
      </c>
      <c r="AH196">
        <v>3</v>
      </c>
      <c r="AI196">
        <v>-1</v>
      </c>
      <c r="AJ196" t="s">
        <v>3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</row>
    <row r="197" spans="1:44" x14ac:dyDescent="0.2">
      <c r="A197">
        <f>ROW(Source!A144)</f>
        <v>144</v>
      </c>
      <c r="B197">
        <v>145122675</v>
      </c>
      <c r="C197">
        <v>145122665</v>
      </c>
      <c r="D197">
        <v>140764669</v>
      </c>
      <c r="E197">
        <v>70</v>
      </c>
      <c r="F197">
        <v>1</v>
      </c>
      <c r="G197">
        <v>1</v>
      </c>
      <c r="H197">
        <v>3</v>
      </c>
      <c r="I197" t="s">
        <v>851</v>
      </c>
      <c r="J197" t="s">
        <v>3</v>
      </c>
      <c r="K197" t="s">
        <v>852</v>
      </c>
      <c r="L197">
        <v>1301</v>
      </c>
      <c r="N197">
        <v>1003</v>
      </c>
      <c r="O197" t="s">
        <v>191</v>
      </c>
      <c r="P197" t="s">
        <v>191</v>
      </c>
      <c r="Q197">
        <v>1</v>
      </c>
      <c r="X197">
        <v>98.5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 t="s">
        <v>3</v>
      </c>
      <c r="AG197">
        <v>98.5</v>
      </c>
      <c r="AH197">
        <v>3</v>
      </c>
      <c r="AI197">
        <v>-1</v>
      </c>
      <c r="AJ197" t="s">
        <v>3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</row>
    <row r="198" spans="1:44" x14ac:dyDescent="0.2">
      <c r="A198">
        <f>ROW(Source!A144)</f>
        <v>144</v>
      </c>
      <c r="B198">
        <v>145122676</v>
      </c>
      <c r="C198">
        <v>145122665</v>
      </c>
      <c r="D198">
        <v>140764709</v>
      </c>
      <c r="E198">
        <v>70</v>
      </c>
      <c r="F198">
        <v>1</v>
      </c>
      <c r="G198">
        <v>1</v>
      </c>
      <c r="H198">
        <v>3</v>
      </c>
      <c r="I198" t="s">
        <v>853</v>
      </c>
      <c r="J198" t="s">
        <v>3</v>
      </c>
      <c r="K198" t="s">
        <v>854</v>
      </c>
      <c r="L198">
        <v>1371</v>
      </c>
      <c r="N198">
        <v>1013</v>
      </c>
      <c r="O198" t="s">
        <v>213</v>
      </c>
      <c r="P198" t="s">
        <v>213</v>
      </c>
      <c r="Q198">
        <v>1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1</v>
      </c>
      <c r="AD198">
        <v>0</v>
      </c>
      <c r="AE198">
        <v>0</v>
      </c>
      <c r="AF198" t="s">
        <v>3</v>
      </c>
      <c r="AG198">
        <v>0</v>
      </c>
      <c r="AH198">
        <v>3</v>
      </c>
      <c r="AI198">
        <v>-1</v>
      </c>
      <c r="AJ198" t="s">
        <v>3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</row>
    <row r="199" spans="1:44" x14ac:dyDescent="0.2">
      <c r="A199">
        <f>ROW(Source!A152)</f>
        <v>152</v>
      </c>
      <c r="B199">
        <v>145123999</v>
      </c>
      <c r="C199">
        <v>145123995</v>
      </c>
      <c r="D199">
        <v>140755447</v>
      </c>
      <c r="E199">
        <v>70</v>
      </c>
      <c r="F199">
        <v>1</v>
      </c>
      <c r="G199">
        <v>1</v>
      </c>
      <c r="H199">
        <v>1</v>
      </c>
      <c r="I199" t="s">
        <v>766</v>
      </c>
      <c r="J199" t="s">
        <v>3</v>
      </c>
      <c r="K199" t="s">
        <v>767</v>
      </c>
      <c r="L199">
        <v>1191</v>
      </c>
      <c r="N199">
        <v>1013</v>
      </c>
      <c r="O199" t="s">
        <v>608</v>
      </c>
      <c r="P199" t="s">
        <v>608</v>
      </c>
      <c r="Q199">
        <v>1</v>
      </c>
      <c r="X199">
        <v>5.92</v>
      </c>
      <c r="Y199">
        <v>0</v>
      </c>
      <c r="Z199">
        <v>0</v>
      </c>
      <c r="AA199">
        <v>0</v>
      </c>
      <c r="AB199">
        <v>10.210000000000001</v>
      </c>
      <c r="AC199">
        <v>0</v>
      </c>
      <c r="AD199">
        <v>1</v>
      </c>
      <c r="AE199">
        <v>1</v>
      </c>
      <c r="AF199" t="s">
        <v>149</v>
      </c>
      <c r="AG199">
        <v>6.8079999999999998</v>
      </c>
      <c r="AH199">
        <v>2</v>
      </c>
      <c r="AI199">
        <v>145123996</v>
      </c>
      <c r="AJ199">
        <v>176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</row>
    <row r="200" spans="1:44" x14ac:dyDescent="0.2">
      <c r="A200">
        <f>ROW(Source!A152)</f>
        <v>152</v>
      </c>
      <c r="B200">
        <v>145124000</v>
      </c>
      <c r="C200">
        <v>145123995</v>
      </c>
      <c r="D200">
        <v>140755491</v>
      </c>
      <c r="E200">
        <v>70</v>
      </c>
      <c r="F200">
        <v>1</v>
      </c>
      <c r="G200">
        <v>1</v>
      </c>
      <c r="H200">
        <v>1</v>
      </c>
      <c r="I200" t="s">
        <v>609</v>
      </c>
      <c r="J200" t="s">
        <v>3</v>
      </c>
      <c r="K200" t="s">
        <v>610</v>
      </c>
      <c r="L200">
        <v>1191</v>
      </c>
      <c r="N200">
        <v>1013</v>
      </c>
      <c r="O200" t="s">
        <v>608</v>
      </c>
      <c r="P200" t="s">
        <v>608</v>
      </c>
      <c r="Q200">
        <v>1</v>
      </c>
      <c r="X200">
        <v>0.01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1</v>
      </c>
      <c r="AE200">
        <v>2</v>
      </c>
      <c r="AF200" t="s">
        <v>148</v>
      </c>
      <c r="AG200">
        <v>1.2500000000000001E-2</v>
      </c>
      <c r="AH200">
        <v>2</v>
      </c>
      <c r="AI200">
        <v>145123997</v>
      </c>
      <c r="AJ200">
        <v>177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  <row r="201" spans="1:44" x14ac:dyDescent="0.2">
      <c r="A201">
        <f>ROW(Source!A152)</f>
        <v>152</v>
      </c>
      <c r="B201">
        <v>145124001</v>
      </c>
      <c r="C201">
        <v>145123995</v>
      </c>
      <c r="D201">
        <v>140923885</v>
      </c>
      <c r="E201">
        <v>1</v>
      </c>
      <c r="F201">
        <v>1</v>
      </c>
      <c r="G201">
        <v>1</v>
      </c>
      <c r="H201">
        <v>2</v>
      </c>
      <c r="I201" t="s">
        <v>668</v>
      </c>
      <c r="J201" t="s">
        <v>669</v>
      </c>
      <c r="K201" t="s">
        <v>670</v>
      </c>
      <c r="L201">
        <v>1367</v>
      </c>
      <c r="N201">
        <v>1011</v>
      </c>
      <c r="O201" t="s">
        <v>614</v>
      </c>
      <c r="P201" t="s">
        <v>614</v>
      </c>
      <c r="Q201">
        <v>1</v>
      </c>
      <c r="X201">
        <v>0.01</v>
      </c>
      <c r="Y201">
        <v>0</v>
      </c>
      <c r="Z201">
        <v>65.709999999999994</v>
      </c>
      <c r="AA201">
        <v>11.6</v>
      </c>
      <c r="AB201">
        <v>0</v>
      </c>
      <c r="AC201">
        <v>0</v>
      </c>
      <c r="AD201">
        <v>1</v>
      </c>
      <c r="AE201">
        <v>0</v>
      </c>
      <c r="AF201" t="s">
        <v>148</v>
      </c>
      <c r="AG201">
        <v>1.2500000000000001E-2</v>
      </c>
      <c r="AH201">
        <v>2</v>
      </c>
      <c r="AI201">
        <v>145123998</v>
      </c>
      <c r="AJ201">
        <v>178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</row>
    <row r="202" spans="1:44" x14ac:dyDescent="0.2">
      <c r="A202">
        <f>ROW(Source!A153)</f>
        <v>153</v>
      </c>
      <c r="B202">
        <v>145123001</v>
      </c>
      <c r="C202">
        <v>145123000</v>
      </c>
      <c r="D202">
        <v>140760031</v>
      </c>
      <c r="E202">
        <v>70</v>
      </c>
      <c r="F202">
        <v>1</v>
      </c>
      <c r="G202">
        <v>1</v>
      </c>
      <c r="H202">
        <v>1</v>
      </c>
      <c r="I202" t="s">
        <v>606</v>
      </c>
      <c r="J202" t="s">
        <v>3</v>
      </c>
      <c r="K202" t="s">
        <v>607</v>
      </c>
      <c r="L202">
        <v>1191</v>
      </c>
      <c r="N202">
        <v>1013</v>
      </c>
      <c r="O202" t="s">
        <v>608</v>
      </c>
      <c r="P202" t="s">
        <v>608</v>
      </c>
      <c r="Q202">
        <v>1</v>
      </c>
      <c r="X202">
        <v>49.98</v>
      </c>
      <c r="Y202">
        <v>0</v>
      </c>
      <c r="Z202">
        <v>0</v>
      </c>
      <c r="AA202">
        <v>0</v>
      </c>
      <c r="AB202">
        <v>9.6199999999999992</v>
      </c>
      <c r="AC202">
        <v>0</v>
      </c>
      <c r="AD202">
        <v>1</v>
      </c>
      <c r="AE202">
        <v>1</v>
      </c>
      <c r="AF202" t="s">
        <v>149</v>
      </c>
      <c r="AG202">
        <v>57.47699999999999</v>
      </c>
      <c r="AH202">
        <v>2</v>
      </c>
      <c r="AI202">
        <v>145123001</v>
      </c>
      <c r="AJ202">
        <v>179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</row>
    <row r="203" spans="1:44" x14ac:dyDescent="0.2">
      <c r="A203">
        <f>ROW(Source!A153)</f>
        <v>153</v>
      </c>
      <c r="B203">
        <v>145123002</v>
      </c>
      <c r="C203">
        <v>145123000</v>
      </c>
      <c r="D203">
        <v>140760225</v>
      </c>
      <c r="E203">
        <v>70</v>
      </c>
      <c r="F203">
        <v>1</v>
      </c>
      <c r="G203">
        <v>1</v>
      </c>
      <c r="H203">
        <v>1</v>
      </c>
      <c r="I203" t="s">
        <v>609</v>
      </c>
      <c r="J203" t="s">
        <v>3</v>
      </c>
      <c r="K203" t="s">
        <v>610</v>
      </c>
      <c r="L203">
        <v>1191</v>
      </c>
      <c r="N203">
        <v>1013</v>
      </c>
      <c r="O203" t="s">
        <v>608</v>
      </c>
      <c r="P203" t="s">
        <v>608</v>
      </c>
      <c r="Q203">
        <v>1</v>
      </c>
      <c r="X203">
        <v>0.4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1</v>
      </c>
      <c r="AE203">
        <v>2</v>
      </c>
      <c r="AF203" t="s">
        <v>148</v>
      </c>
      <c r="AG203">
        <v>0.5</v>
      </c>
      <c r="AH203">
        <v>2</v>
      </c>
      <c r="AI203">
        <v>145123002</v>
      </c>
      <c r="AJ203">
        <v>180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</row>
    <row r="204" spans="1:44" x14ac:dyDescent="0.2">
      <c r="A204">
        <f>ROW(Source!A153)</f>
        <v>153</v>
      </c>
      <c r="B204">
        <v>145123003</v>
      </c>
      <c r="C204">
        <v>145123000</v>
      </c>
      <c r="D204">
        <v>140922893</v>
      </c>
      <c r="E204">
        <v>1</v>
      </c>
      <c r="F204">
        <v>1</v>
      </c>
      <c r="G204">
        <v>1</v>
      </c>
      <c r="H204">
        <v>2</v>
      </c>
      <c r="I204" t="s">
        <v>757</v>
      </c>
      <c r="J204" t="s">
        <v>758</v>
      </c>
      <c r="K204" t="s">
        <v>759</v>
      </c>
      <c r="L204">
        <v>1367</v>
      </c>
      <c r="N204">
        <v>1011</v>
      </c>
      <c r="O204" t="s">
        <v>614</v>
      </c>
      <c r="P204" t="s">
        <v>614</v>
      </c>
      <c r="Q204">
        <v>1</v>
      </c>
      <c r="X204">
        <v>0.04</v>
      </c>
      <c r="Y204">
        <v>0</v>
      </c>
      <c r="Z204">
        <v>86.4</v>
      </c>
      <c r="AA204">
        <v>13.5</v>
      </c>
      <c r="AB204">
        <v>0</v>
      </c>
      <c r="AC204">
        <v>0</v>
      </c>
      <c r="AD204">
        <v>1</v>
      </c>
      <c r="AE204">
        <v>0</v>
      </c>
      <c r="AF204" t="s">
        <v>148</v>
      </c>
      <c r="AG204">
        <v>0.05</v>
      </c>
      <c r="AH204">
        <v>2</v>
      </c>
      <c r="AI204">
        <v>145123003</v>
      </c>
      <c r="AJ204">
        <v>181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</row>
    <row r="205" spans="1:44" x14ac:dyDescent="0.2">
      <c r="A205">
        <f>ROW(Source!A153)</f>
        <v>153</v>
      </c>
      <c r="B205">
        <v>145123004</v>
      </c>
      <c r="C205">
        <v>145123000</v>
      </c>
      <c r="D205">
        <v>140923885</v>
      </c>
      <c r="E205">
        <v>1</v>
      </c>
      <c r="F205">
        <v>1</v>
      </c>
      <c r="G205">
        <v>1</v>
      </c>
      <c r="H205">
        <v>2</v>
      </c>
      <c r="I205" t="s">
        <v>668</v>
      </c>
      <c r="J205" t="s">
        <v>669</v>
      </c>
      <c r="K205" t="s">
        <v>670</v>
      </c>
      <c r="L205">
        <v>1367</v>
      </c>
      <c r="N205">
        <v>1011</v>
      </c>
      <c r="O205" t="s">
        <v>614</v>
      </c>
      <c r="P205" t="s">
        <v>614</v>
      </c>
      <c r="Q205">
        <v>1</v>
      </c>
      <c r="X205">
        <v>0.36099999999999999</v>
      </c>
      <c r="Y205">
        <v>0</v>
      </c>
      <c r="Z205">
        <v>65.709999999999994</v>
      </c>
      <c r="AA205">
        <v>11.6</v>
      </c>
      <c r="AB205">
        <v>0</v>
      </c>
      <c r="AC205">
        <v>0</v>
      </c>
      <c r="AD205">
        <v>1</v>
      </c>
      <c r="AE205">
        <v>0</v>
      </c>
      <c r="AF205" t="s">
        <v>148</v>
      </c>
      <c r="AG205">
        <v>0.45124999999999998</v>
      </c>
      <c r="AH205">
        <v>2</v>
      </c>
      <c r="AI205">
        <v>145123004</v>
      </c>
      <c r="AJ205">
        <v>182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</row>
    <row r="206" spans="1:44" x14ac:dyDescent="0.2">
      <c r="A206">
        <f>ROW(Source!A153)</f>
        <v>153</v>
      </c>
      <c r="B206">
        <v>145123005</v>
      </c>
      <c r="C206">
        <v>145123000</v>
      </c>
      <c r="D206">
        <v>140772680</v>
      </c>
      <c r="E206">
        <v>1</v>
      </c>
      <c r="F206">
        <v>1</v>
      </c>
      <c r="G206">
        <v>1</v>
      </c>
      <c r="H206">
        <v>3</v>
      </c>
      <c r="I206" t="s">
        <v>635</v>
      </c>
      <c r="J206" t="s">
        <v>636</v>
      </c>
      <c r="K206" t="s">
        <v>637</v>
      </c>
      <c r="L206">
        <v>1339</v>
      </c>
      <c r="N206">
        <v>1007</v>
      </c>
      <c r="O206" t="s">
        <v>638</v>
      </c>
      <c r="P206" t="s">
        <v>638</v>
      </c>
      <c r="Q206">
        <v>1</v>
      </c>
      <c r="X206">
        <v>0.8</v>
      </c>
      <c r="Y206">
        <v>2.44</v>
      </c>
      <c r="Z206">
        <v>0</v>
      </c>
      <c r="AA206">
        <v>0</v>
      </c>
      <c r="AB206">
        <v>0</v>
      </c>
      <c r="AC206">
        <v>0</v>
      </c>
      <c r="AD206">
        <v>1</v>
      </c>
      <c r="AE206">
        <v>0</v>
      </c>
      <c r="AF206" t="s">
        <v>3</v>
      </c>
      <c r="AG206">
        <v>0.8</v>
      </c>
      <c r="AH206">
        <v>2</v>
      </c>
      <c r="AI206">
        <v>145123005</v>
      </c>
      <c r="AJ206">
        <v>183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</row>
    <row r="207" spans="1:44" x14ac:dyDescent="0.2">
      <c r="A207">
        <f>ROW(Source!A153)</f>
        <v>153</v>
      </c>
      <c r="B207">
        <v>145123006</v>
      </c>
      <c r="C207">
        <v>145123000</v>
      </c>
      <c r="D207">
        <v>140777281</v>
      </c>
      <c r="E207">
        <v>1</v>
      </c>
      <c r="F207">
        <v>1</v>
      </c>
      <c r="G207">
        <v>1</v>
      </c>
      <c r="H207">
        <v>3</v>
      </c>
      <c r="I207" t="s">
        <v>760</v>
      </c>
      <c r="J207" t="s">
        <v>761</v>
      </c>
      <c r="K207" t="s">
        <v>762</v>
      </c>
      <c r="L207">
        <v>1346</v>
      </c>
      <c r="N207">
        <v>1009</v>
      </c>
      <c r="O207" t="s">
        <v>154</v>
      </c>
      <c r="P207" t="s">
        <v>154</v>
      </c>
      <c r="Q207">
        <v>1</v>
      </c>
      <c r="X207">
        <v>2.8E-3</v>
      </c>
      <c r="Y207">
        <v>2.15</v>
      </c>
      <c r="Z207">
        <v>0</v>
      </c>
      <c r="AA207">
        <v>0</v>
      </c>
      <c r="AB207">
        <v>0</v>
      </c>
      <c r="AC207">
        <v>0</v>
      </c>
      <c r="AD207">
        <v>1</v>
      </c>
      <c r="AE207">
        <v>0</v>
      </c>
      <c r="AF207" t="s">
        <v>3</v>
      </c>
      <c r="AG207">
        <v>2.8E-3</v>
      </c>
      <c r="AH207">
        <v>2</v>
      </c>
      <c r="AI207">
        <v>145123006</v>
      </c>
      <c r="AJ207">
        <v>184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</row>
    <row r="208" spans="1:44" x14ac:dyDescent="0.2">
      <c r="A208">
        <f>ROW(Source!A153)</f>
        <v>153</v>
      </c>
      <c r="B208">
        <v>145123007</v>
      </c>
      <c r="C208">
        <v>145123000</v>
      </c>
      <c r="D208">
        <v>140763667</v>
      </c>
      <c r="E208">
        <v>70</v>
      </c>
      <c r="F208">
        <v>1</v>
      </c>
      <c r="G208">
        <v>1</v>
      </c>
      <c r="H208">
        <v>3</v>
      </c>
      <c r="I208" t="s">
        <v>847</v>
      </c>
      <c r="J208" t="s">
        <v>3</v>
      </c>
      <c r="K208" t="s">
        <v>848</v>
      </c>
      <c r="L208">
        <v>1371</v>
      </c>
      <c r="N208">
        <v>1013</v>
      </c>
      <c r="O208" t="s">
        <v>213</v>
      </c>
      <c r="P208" t="s">
        <v>213</v>
      </c>
      <c r="Q208">
        <v>1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1</v>
      </c>
      <c r="AD208">
        <v>0</v>
      </c>
      <c r="AE208">
        <v>0</v>
      </c>
      <c r="AF208" t="s">
        <v>3</v>
      </c>
      <c r="AG208">
        <v>0</v>
      </c>
      <c r="AH208">
        <v>3</v>
      </c>
      <c r="AI208">
        <v>-1</v>
      </c>
      <c r="AJ208" t="s">
        <v>3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</row>
    <row r="209" spans="1:44" x14ac:dyDescent="0.2">
      <c r="A209">
        <f>ROW(Source!A153)</f>
        <v>153</v>
      </c>
      <c r="B209">
        <v>145123008</v>
      </c>
      <c r="C209">
        <v>145123000</v>
      </c>
      <c r="D209">
        <v>140813341</v>
      </c>
      <c r="E209">
        <v>1</v>
      </c>
      <c r="F209">
        <v>1</v>
      </c>
      <c r="G209">
        <v>1</v>
      </c>
      <c r="H209">
        <v>3</v>
      </c>
      <c r="I209" t="s">
        <v>763</v>
      </c>
      <c r="J209" t="s">
        <v>764</v>
      </c>
      <c r="K209" t="s">
        <v>765</v>
      </c>
      <c r="L209">
        <v>1301</v>
      </c>
      <c r="N209">
        <v>1003</v>
      </c>
      <c r="O209" t="s">
        <v>191</v>
      </c>
      <c r="P209" t="s">
        <v>191</v>
      </c>
      <c r="Q209">
        <v>1</v>
      </c>
      <c r="X209">
        <v>8.25</v>
      </c>
      <c r="Y209">
        <v>9.5</v>
      </c>
      <c r="Z209">
        <v>0</v>
      </c>
      <c r="AA209">
        <v>0</v>
      </c>
      <c r="AB209">
        <v>0</v>
      </c>
      <c r="AC209">
        <v>0</v>
      </c>
      <c r="AD209">
        <v>1</v>
      </c>
      <c r="AE209">
        <v>0</v>
      </c>
      <c r="AF209" t="s">
        <v>3</v>
      </c>
      <c r="AG209">
        <v>8.25</v>
      </c>
      <c r="AH209">
        <v>2</v>
      </c>
      <c r="AI209">
        <v>145123008</v>
      </c>
      <c r="AJ209">
        <v>185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</row>
    <row r="210" spans="1:44" x14ac:dyDescent="0.2">
      <c r="A210">
        <f>ROW(Source!A153)</f>
        <v>153</v>
      </c>
      <c r="B210">
        <v>145123009</v>
      </c>
      <c r="C210">
        <v>145123000</v>
      </c>
      <c r="D210">
        <v>140764360</v>
      </c>
      <c r="E210">
        <v>70</v>
      </c>
      <c r="F210">
        <v>1</v>
      </c>
      <c r="G210">
        <v>1</v>
      </c>
      <c r="H210">
        <v>3</v>
      </c>
      <c r="I210" t="s">
        <v>849</v>
      </c>
      <c r="J210" t="s">
        <v>3</v>
      </c>
      <c r="K210" t="s">
        <v>850</v>
      </c>
      <c r="L210">
        <v>1346</v>
      </c>
      <c r="N210">
        <v>1009</v>
      </c>
      <c r="O210" t="s">
        <v>154</v>
      </c>
      <c r="P210" t="s">
        <v>154</v>
      </c>
      <c r="Q210">
        <v>1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1</v>
      </c>
      <c r="AD210">
        <v>0</v>
      </c>
      <c r="AE210">
        <v>0</v>
      </c>
      <c r="AF210" t="s">
        <v>3</v>
      </c>
      <c r="AG210">
        <v>0</v>
      </c>
      <c r="AH210">
        <v>3</v>
      </c>
      <c r="AI210">
        <v>-1</v>
      </c>
      <c r="AJ210" t="s">
        <v>3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</row>
    <row r="211" spans="1:44" x14ac:dyDescent="0.2">
      <c r="A211">
        <f>ROW(Source!A153)</f>
        <v>153</v>
      </c>
      <c r="B211">
        <v>145123010</v>
      </c>
      <c r="C211">
        <v>145123000</v>
      </c>
      <c r="D211">
        <v>140764669</v>
      </c>
      <c r="E211">
        <v>70</v>
      </c>
      <c r="F211">
        <v>1</v>
      </c>
      <c r="G211">
        <v>1</v>
      </c>
      <c r="H211">
        <v>3</v>
      </c>
      <c r="I211" t="s">
        <v>851</v>
      </c>
      <c r="J211" t="s">
        <v>3</v>
      </c>
      <c r="K211" t="s">
        <v>852</v>
      </c>
      <c r="L211">
        <v>1301</v>
      </c>
      <c r="N211">
        <v>1003</v>
      </c>
      <c r="O211" t="s">
        <v>191</v>
      </c>
      <c r="P211" t="s">
        <v>191</v>
      </c>
      <c r="Q211">
        <v>1</v>
      </c>
      <c r="X211">
        <v>98.05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 t="s">
        <v>3</v>
      </c>
      <c r="AG211">
        <v>98.05</v>
      </c>
      <c r="AH211">
        <v>3</v>
      </c>
      <c r="AI211">
        <v>-1</v>
      </c>
      <c r="AJ211" t="s">
        <v>3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</row>
    <row r="212" spans="1:44" x14ac:dyDescent="0.2">
      <c r="A212">
        <f>ROW(Source!A153)</f>
        <v>153</v>
      </c>
      <c r="B212">
        <v>145123011</v>
      </c>
      <c r="C212">
        <v>145123000</v>
      </c>
      <c r="D212">
        <v>140764709</v>
      </c>
      <c r="E212">
        <v>70</v>
      </c>
      <c r="F212">
        <v>1</v>
      </c>
      <c r="G212">
        <v>1</v>
      </c>
      <c r="H212">
        <v>3</v>
      </c>
      <c r="I212" t="s">
        <v>853</v>
      </c>
      <c r="J212" t="s">
        <v>3</v>
      </c>
      <c r="K212" t="s">
        <v>854</v>
      </c>
      <c r="L212">
        <v>1371</v>
      </c>
      <c r="N212">
        <v>1013</v>
      </c>
      <c r="O212" t="s">
        <v>213</v>
      </c>
      <c r="P212" t="s">
        <v>213</v>
      </c>
      <c r="Q212">
        <v>1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1</v>
      </c>
      <c r="AD212">
        <v>0</v>
      </c>
      <c r="AE212">
        <v>0</v>
      </c>
      <c r="AF212" t="s">
        <v>3</v>
      </c>
      <c r="AG212">
        <v>0</v>
      </c>
      <c r="AH212">
        <v>3</v>
      </c>
      <c r="AI212">
        <v>-1</v>
      </c>
      <c r="AJ212" t="s">
        <v>3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</row>
    <row r="213" spans="1:44" x14ac:dyDescent="0.2">
      <c r="A213">
        <f>ROW(Source!A154)</f>
        <v>154</v>
      </c>
      <c r="B213">
        <v>145123994</v>
      </c>
      <c r="C213">
        <v>145123993</v>
      </c>
      <c r="D213">
        <v>140760051</v>
      </c>
      <c r="E213">
        <v>70</v>
      </c>
      <c r="F213">
        <v>1</v>
      </c>
      <c r="G213">
        <v>1</v>
      </c>
      <c r="H213">
        <v>1</v>
      </c>
      <c r="I213" t="s">
        <v>766</v>
      </c>
      <c r="J213" t="s">
        <v>3</v>
      </c>
      <c r="K213" t="s">
        <v>767</v>
      </c>
      <c r="L213">
        <v>1191</v>
      </c>
      <c r="N213">
        <v>1013</v>
      </c>
      <c r="O213" t="s">
        <v>608</v>
      </c>
      <c r="P213" t="s">
        <v>608</v>
      </c>
      <c r="Q213">
        <v>1</v>
      </c>
      <c r="X213">
        <v>2.86</v>
      </c>
      <c r="Y213">
        <v>0</v>
      </c>
      <c r="Z213">
        <v>0</v>
      </c>
      <c r="AA213">
        <v>0</v>
      </c>
      <c r="AB213">
        <v>10.210000000000001</v>
      </c>
      <c r="AC213">
        <v>0</v>
      </c>
      <c r="AD213">
        <v>1</v>
      </c>
      <c r="AE213">
        <v>1</v>
      </c>
      <c r="AF213" t="s">
        <v>149</v>
      </c>
      <c r="AG213">
        <v>3.2889999999999997</v>
      </c>
      <c r="AH213">
        <v>2</v>
      </c>
      <c r="AI213">
        <v>145123994</v>
      </c>
      <c r="AJ213">
        <v>186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</row>
    <row r="214" spans="1:44" x14ac:dyDescent="0.2">
      <c r="A214">
        <f>ROW(Source!A159)</f>
        <v>159</v>
      </c>
      <c r="B214">
        <v>145123261</v>
      </c>
      <c r="C214">
        <v>145123254</v>
      </c>
      <c r="D214">
        <v>140755456</v>
      </c>
      <c r="E214">
        <v>70</v>
      </c>
      <c r="F214">
        <v>1</v>
      </c>
      <c r="G214">
        <v>1</v>
      </c>
      <c r="H214">
        <v>1</v>
      </c>
      <c r="I214" t="s">
        <v>768</v>
      </c>
      <c r="J214" t="s">
        <v>3</v>
      </c>
      <c r="K214" t="s">
        <v>769</v>
      </c>
      <c r="L214">
        <v>1191</v>
      </c>
      <c r="N214">
        <v>1013</v>
      </c>
      <c r="O214" t="s">
        <v>608</v>
      </c>
      <c r="P214" t="s">
        <v>608</v>
      </c>
      <c r="Q214">
        <v>1</v>
      </c>
      <c r="X214">
        <v>5.01</v>
      </c>
      <c r="Y214">
        <v>0</v>
      </c>
      <c r="Z214">
        <v>0</v>
      </c>
      <c r="AA214">
        <v>0</v>
      </c>
      <c r="AB214">
        <v>11.64</v>
      </c>
      <c r="AC214">
        <v>0</v>
      </c>
      <c r="AD214">
        <v>1</v>
      </c>
      <c r="AE214">
        <v>1</v>
      </c>
      <c r="AF214" t="s">
        <v>149</v>
      </c>
      <c r="AG214">
        <v>5.761499999999999</v>
      </c>
      <c r="AH214">
        <v>2</v>
      </c>
      <c r="AI214">
        <v>145123255</v>
      </c>
      <c r="AJ214">
        <v>187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</row>
    <row r="215" spans="1:44" x14ac:dyDescent="0.2">
      <c r="A215">
        <f>ROW(Source!A159)</f>
        <v>159</v>
      </c>
      <c r="B215">
        <v>145123262</v>
      </c>
      <c r="C215">
        <v>145123254</v>
      </c>
      <c r="D215">
        <v>140923689</v>
      </c>
      <c r="E215">
        <v>1</v>
      </c>
      <c r="F215">
        <v>1</v>
      </c>
      <c r="G215">
        <v>1</v>
      </c>
      <c r="H215">
        <v>2</v>
      </c>
      <c r="I215" t="s">
        <v>770</v>
      </c>
      <c r="J215" t="s">
        <v>771</v>
      </c>
      <c r="K215" t="s">
        <v>772</v>
      </c>
      <c r="L215">
        <v>1367</v>
      </c>
      <c r="N215">
        <v>1011</v>
      </c>
      <c r="O215" t="s">
        <v>614</v>
      </c>
      <c r="P215" t="s">
        <v>614</v>
      </c>
      <c r="Q215">
        <v>1</v>
      </c>
      <c r="X215">
        <v>1.5</v>
      </c>
      <c r="Y215">
        <v>0</v>
      </c>
      <c r="Z215">
        <v>29.67</v>
      </c>
      <c r="AA215">
        <v>0</v>
      </c>
      <c r="AB215">
        <v>0</v>
      </c>
      <c r="AC215">
        <v>0</v>
      </c>
      <c r="AD215">
        <v>1</v>
      </c>
      <c r="AE215">
        <v>0</v>
      </c>
      <c r="AF215" t="s">
        <v>148</v>
      </c>
      <c r="AG215">
        <v>1.875</v>
      </c>
      <c r="AH215">
        <v>2</v>
      </c>
      <c r="AI215">
        <v>145123256</v>
      </c>
      <c r="AJ215">
        <v>188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</row>
    <row r="216" spans="1:44" x14ac:dyDescent="0.2">
      <c r="A216">
        <f>ROW(Source!A159)</f>
        <v>159</v>
      </c>
      <c r="B216">
        <v>145123263</v>
      </c>
      <c r="C216">
        <v>145123254</v>
      </c>
      <c r="D216">
        <v>140772680</v>
      </c>
      <c r="E216">
        <v>1</v>
      </c>
      <c r="F216">
        <v>1</v>
      </c>
      <c r="G216">
        <v>1</v>
      </c>
      <c r="H216">
        <v>3</v>
      </c>
      <c r="I216" t="s">
        <v>635</v>
      </c>
      <c r="J216" t="s">
        <v>636</v>
      </c>
      <c r="K216" t="s">
        <v>637</v>
      </c>
      <c r="L216">
        <v>1339</v>
      </c>
      <c r="N216">
        <v>1007</v>
      </c>
      <c r="O216" t="s">
        <v>638</v>
      </c>
      <c r="P216" t="s">
        <v>638</v>
      </c>
      <c r="Q216">
        <v>1</v>
      </c>
      <c r="X216">
        <v>1</v>
      </c>
      <c r="Y216">
        <v>2.44</v>
      </c>
      <c r="Z216">
        <v>0</v>
      </c>
      <c r="AA216">
        <v>0</v>
      </c>
      <c r="AB216">
        <v>0</v>
      </c>
      <c r="AC216">
        <v>0</v>
      </c>
      <c r="AD216">
        <v>1</v>
      </c>
      <c r="AE216">
        <v>0</v>
      </c>
      <c r="AF216" t="s">
        <v>3</v>
      </c>
      <c r="AG216">
        <v>1</v>
      </c>
      <c r="AH216">
        <v>2</v>
      </c>
      <c r="AI216">
        <v>145123257</v>
      </c>
      <c r="AJ216">
        <v>189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</row>
    <row r="217" spans="1:44" x14ac:dyDescent="0.2">
      <c r="A217">
        <f>ROW(Source!A159)</f>
        <v>159</v>
      </c>
      <c r="B217">
        <v>145123264</v>
      </c>
      <c r="C217">
        <v>145123254</v>
      </c>
      <c r="D217">
        <v>140773335</v>
      </c>
      <c r="E217">
        <v>1</v>
      </c>
      <c r="F217">
        <v>1</v>
      </c>
      <c r="G217">
        <v>1</v>
      </c>
      <c r="H217">
        <v>3</v>
      </c>
      <c r="I217" t="s">
        <v>773</v>
      </c>
      <c r="J217" t="s">
        <v>774</v>
      </c>
      <c r="K217" t="s">
        <v>775</v>
      </c>
      <c r="L217">
        <v>1346</v>
      </c>
      <c r="N217">
        <v>1009</v>
      </c>
      <c r="O217" t="s">
        <v>154</v>
      </c>
      <c r="P217" t="s">
        <v>154</v>
      </c>
      <c r="Q217">
        <v>1</v>
      </c>
      <c r="X217">
        <v>0.02</v>
      </c>
      <c r="Y217">
        <v>37.29</v>
      </c>
      <c r="Z217">
        <v>0</v>
      </c>
      <c r="AA217">
        <v>0</v>
      </c>
      <c r="AB217">
        <v>0</v>
      </c>
      <c r="AC217">
        <v>0</v>
      </c>
      <c r="AD217">
        <v>1</v>
      </c>
      <c r="AE217">
        <v>0</v>
      </c>
      <c r="AF217" t="s">
        <v>3</v>
      </c>
      <c r="AG217">
        <v>0.02</v>
      </c>
      <c r="AH217">
        <v>2</v>
      </c>
      <c r="AI217">
        <v>145123258</v>
      </c>
      <c r="AJ217">
        <v>190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</row>
    <row r="218" spans="1:44" x14ac:dyDescent="0.2">
      <c r="A218">
        <f>ROW(Source!A159)</f>
        <v>159</v>
      </c>
      <c r="B218">
        <v>145123265</v>
      </c>
      <c r="C218">
        <v>145123254</v>
      </c>
      <c r="D218">
        <v>140804314</v>
      </c>
      <c r="E218">
        <v>1</v>
      </c>
      <c r="F218">
        <v>1</v>
      </c>
      <c r="G218">
        <v>1</v>
      </c>
      <c r="H218">
        <v>3</v>
      </c>
      <c r="I218" t="s">
        <v>776</v>
      </c>
      <c r="J218" t="s">
        <v>777</v>
      </c>
      <c r="K218" t="s">
        <v>778</v>
      </c>
      <c r="L218">
        <v>1346</v>
      </c>
      <c r="N218">
        <v>1009</v>
      </c>
      <c r="O218" t="s">
        <v>154</v>
      </c>
      <c r="P218" t="s">
        <v>154</v>
      </c>
      <c r="Q218">
        <v>1</v>
      </c>
      <c r="X218">
        <v>0.05</v>
      </c>
      <c r="Y218">
        <v>15.12</v>
      </c>
      <c r="Z218">
        <v>0</v>
      </c>
      <c r="AA218">
        <v>0</v>
      </c>
      <c r="AB218">
        <v>0</v>
      </c>
      <c r="AC218">
        <v>0</v>
      </c>
      <c r="AD218">
        <v>1</v>
      </c>
      <c r="AE218">
        <v>0</v>
      </c>
      <c r="AF218" t="s">
        <v>3</v>
      </c>
      <c r="AG218">
        <v>0.05</v>
      </c>
      <c r="AH218">
        <v>2</v>
      </c>
      <c r="AI218">
        <v>145123259</v>
      </c>
      <c r="AJ218">
        <v>191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</row>
    <row r="219" spans="1:44" x14ac:dyDescent="0.2">
      <c r="A219">
        <f>ROW(Source!A159)</f>
        <v>159</v>
      </c>
      <c r="B219">
        <v>145123266</v>
      </c>
      <c r="C219">
        <v>145123254</v>
      </c>
      <c r="D219">
        <v>140805008</v>
      </c>
      <c r="E219">
        <v>1</v>
      </c>
      <c r="F219">
        <v>1</v>
      </c>
      <c r="G219">
        <v>1</v>
      </c>
      <c r="H219">
        <v>3</v>
      </c>
      <c r="I219" t="s">
        <v>779</v>
      </c>
      <c r="J219" t="s">
        <v>780</v>
      </c>
      <c r="K219" t="s">
        <v>781</v>
      </c>
      <c r="L219">
        <v>1348</v>
      </c>
      <c r="N219">
        <v>1009</v>
      </c>
      <c r="O219" t="s">
        <v>49</v>
      </c>
      <c r="P219" t="s">
        <v>49</v>
      </c>
      <c r="Q219">
        <v>1000</v>
      </c>
      <c r="X219">
        <v>2.0000000000000002E-5</v>
      </c>
      <c r="Y219">
        <v>16950</v>
      </c>
      <c r="Z219">
        <v>0</v>
      </c>
      <c r="AA219">
        <v>0</v>
      </c>
      <c r="AB219">
        <v>0</v>
      </c>
      <c r="AC219">
        <v>0</v>
      </c>
      <c r="AD219">
        <v>1</v>
      </c>
      <c r="AE219">
        <v>0</v>
      </c>
      <c r="AF219" t="s">
        <v>3</v>
      </c>
      <c r="AG219">
        <v>2.0000000000000002E-5</v>
      </c>
      <c r="AH219">
        <v>2</v>
      </c>
      <c r="AI219">
        <v>145123260</v>
      </c>
      <c r="AJ219">
        <v>192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</row>
    <row r="220" spans="1:44" x14ac:dyDescent="0.2">
      <c r="A220">
        <f>ROW(Source!A160)</f>
        <v>160</v>
      </c>
      <c r="B220">
        <v>145110658</v>
      </c>
      <c r="C220">
        <v>145027492</v>
      </c>
      <c r="D220">
        <v>140759991</v>
      </c>
      <c r="E220">
        <v>70</v>
      </c>
      <c r="F220">
        <v>1</v>
      </c>
      <c r="G220">
        <v>1</v>
      </c>
      <c r="H220">
        <v>1</v>
      </c>
      <c r="I220" t="s">
        <v>630</v>
      </c>
      <c r="J220" t="s">
        <v>3</v>
      </c>
      <c r="K220" t="s">
        <v>631</v>
      </c>
      <c r="L220">
        <v>1191</v>
      </c>
      <c r="N220">
        <v>1013</v>
      </c>
      <c r="O220" t="s">
        <v>608</v>
      </c>
      <c r="P220" t="s">
        <v>608</v>
      </c>
      <c r="Q220">
        <v>1</v>
      </c>
      <c r="X220">
        <v>59.1</v>
      </c>
      <c r="Y220">
        <v>0</v>
      </c>
      <c r="Z220">
        <v>0</v>
      </c>
      <c r="AA220">
        <v>0</v>
      </c>
      <c r="AB220">
        <v>8.9700000000000006</v>
      </c>
      <c r="AC220">
        <v>0</v>
      </c>
      <c r="AD220">
        <v>1</v>
      </c>
      <c r="AE220">
        <v>1</v>
      </c>
      <c r="AF220" t="s">
        <v>453</v>
      </c>
      <c r="AG220">
        <v>70.003950000000003</v>
      </c>
      <c r="AH220">
        <v>2</v>
      </c>
      <c r="AI220">
        <v>145110658</v>
      </c>
      <c r="AJ220">
        <v>193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</row>
    <row r="221" spans="1:44" x14ac:dyDescent="0.2">
      <c r="A221">
        <f>ROW(Source!A160)</f>
        <v>160</v>
      </c>
      <c r="B221">
        <v>145110659</v>
      </c>
      <c r="C221">
        <v>145027492</v>
      </c>
      <c r="D221">
        <v>140760225</v>
      </c>
      <c r="E221">
        <v>70</v>
      </c>
      <c r="F221">
        <v>1</v>
      </c>
      <c r="G221">
        <v>1</v>
      </c>
      <c r="H221">
        <v>1</v>
      </c>
      <c r="I221" t="s">
        <v>609</v>
      </c>
      <c r="J221" t="s">
        <v>3</v>
      </c>
      <c r="K221" t="s">
        <v>610</v>
      </c>
      <c r="L221">
        <v>1191</v>
      </c>
      <c r="N221">
        <v>1013</v>
      </c>
      <c r="O221" t="s">
        <v>608</v>
      </c>
      <c r="P221" t="s">
        <v>608</v>
      </c>
      <c r="Q221">
        <v>1</v>
      </c>
      <c r="X221">
        <v>3.13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1</v>
      </c>
      <c r="AE221">
        <v>2</v>
      </c>
      <c r="AF221" t="s">
        <v>452</v>
      </c>
      <c r="AG221">
        <v>4.0298749999999997</v>
      </c>
      <c r="AH221">
        <v>2</v>
      </c>
      <c r="AI221">
        <v>145110659</v>
      </c>
      <c r="AJ221">
        <v>194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</row>
    <row r="222" spans="1:44" x14ac:dyDescent="0.2">
      <c r="A222">
        <f>ROW(Source!A160)</f>
        <v>160</v>
      </c>
      <c r="B222">
        <v>145110660</v>
      </c>
      <c r="C222">
        <v>145027492</v>
      </c>
      <c r="D222">
        <v>140922951</v>
      </c>
      <c r="E222">
        <v>1</v>
      </c>
      <c r="F222">
        <v>1</v>
      </c>
      <c r="G222">
        <v>1</v>
      </c>
      <c r="H222">
        <v>2</v>
      </c>
      <c r="I222" t="s">
        <v>732</v>
      </c>
      <c r="J222" t="s">
        <v>733</v>
      </c>
      <c r="K222" t="s">
        <v>734</v>
      </c>
      <c r="L222">
        <v>1367</v>
      </c>
      <c r="N222">
        <v>1011</v>
      </c>
      <c r="O222" t="s">
        <v>614</v>
      </c>
      <c r="P222" t="s">
        <v>614</v>
      </c>
      <c r="Q222">
        <v>1</v>
      </c>
      <c r="X222">
        <v>0.09</v>
      </c>
      <c r="Y222">
        <v>0</v>
      </c>
      <c r="Z222">
        <v>115.4</v>
      </c>
      <c r="AA222">
        <v>13.5</v>
      </c>
      <c r="AB222">
        <v>0</v>
      </c>
      <c r="AC222">
        <v>0</v>
      </c>
      <c r="AD222">
        <v>1</v>
      </c>
      <c r="AE222">
        <v>0</v>
      </c>
      <c r="AF222" t="s">
        <v>452</v>
      </c>
      <c r="AG222">
        <v>0.11587499999999999</v>
      </c>
      <c r="AH222">
        <v>2</v>
      </c>
      <c r="AI222">
        <v>145110660</v>
      </c>
      <c r="AJ222">
        <v>195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</row>
    <row r="223" spans="1:44" x14ac:dyDescent="0.2">
      <c r="A223">
        <f>ROW(Source!A160)</f>
        <v>160</v>
      </c>
      <c r="B223">
        <v>145110661</v>
      </c>
      <c r="C223">
        <v>145027492</v>
      </c>
      <c r="D223">
        <v>140923145</v>
      </c>
      <c r="E223">
        <v>1</v>
      </c>
      <c r="F223">
        <v>1</v>
      </c>
      <c r="G223">
        <v>1</v>
      </c>
      <c r="H223">
        <v>2</v>
      </c>
      <c r="I223" t="s">
        <v>611</v>
      </c>
      <c r="J223" t="s">
        <v>612</v>
      </c>
      <c r="K223" t="s">
        <v>613</v>
      </c>
      <c r="L223">
        <v>1367</v>
      </c>
      <c r="N223">
        <v>1011</v>
      </c>
      <c r="O223" t="s">
        <v>614</v>
      </c>
      <c r="P223" t="s">
        <v>614</v>
      </c>
      <c r="Q223">
        <v>1</v>
      </c>
      <c r="X223">
        <v>1.19</v>
      </c>
      <c r="Y223">
        <v>0</v>
      </c>
      <c r="Z223">
        <v>31.26</v>
      </c>
      <c r="AA223">
        <v>13.5</v>
      </c>
      <c r="AB223">
        <v>0</v>
      </c>
      <c r="AC223">
        <v>0</v>
      </c>
      <c r="AD223">
        <v>1</v>
      </c>
      <c r="AE223">
        <v>0</v>
      </c>
      <c r="AF223" t="s">
        <v>452</v>
      </c>
      <c r="AG223">
        <v>1.532125</v>
      </c>
      <c r="AH223">
        <v>2</v>
      </c>
      <c r="AI223">
        <v>145110661</v>
      </c>
      <c r="AJ223">
        <v>196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</row>
    <row r="224" spans="1:44" x14ac:dyDescent="0.2">
      <c r="A224">
        <f>ROW(Source!A160)</f>
        <v>160</v>
      </c>
      <c r="B224">
        <v>145110662</v>
      </c>
      <c r="C224">
        <v>145027492</v>
      </c>
      <c r="D224">
        <v>140923689</v>
      </c>
      <c r="E224">
        <v>1</v>
      </c>
      <c r="F224">
        <v>1</v>
      </c>
      <c r="G224">
        <v>1</v>
      </c>
      <c r="H224">
        <v>2</v>
      </c>
      <c r="I224" t="s">
        <v>770</v>
      </c>
      <c r="J224" t="s">
        <v>771</v>
      </c>
      <c r="K224" t="s">
        <v>772</v>
      </c>
      <c r="L224">
        <v>1367</v>
      </c>
      <c r="N224">
        <v>1011</v>
      </c>
      <c r="O224" t="s">
        <v>614</v>
      </c>
      <c r="P224" t="s">
        <v>614</v>
      </c>
      <c r="Q224">
        <v>1</v>
      </c>
      <c r="X224">
        <v>0.8</v>
      </c>
      <c r="Y224">
        <v>0</v>
      </c>
      <c r="Z224">
        <v>29.67</v>
      </c>
      <c r="AA224">
        <v>0</v>
      </c>
      <c r="AB224">
        <v>0</v>
      </c>
      <c r="AC224">
        <v>0</v>
      </c>
      <c r="AD224">
        <v>1</v>
      </c>
      <c r="AE224">
        <v>0</v>
      </c>
      <c r="AF224" t="s">
        <v>452</v>
      </c>
      <c r="AG224">
        <v>1.03</v>
      </c>
      <c r="AH224">
        <v>2</v>
      </c>
      <c r="AI224">
        <v>145110662</v>
      </c>
      <c r="AJ224">
        <v>197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</row>
    <row r="225" spans="1:44" x14ac:dyDescent="0.2">
      <c r="A225">
        <f>ROW(Source!A160)</f>
        <v>160</v>
      </c>
      <c r="B225">
        <v>145110663</v>
      </c>
      <c r="C225">
        <v>145027492</v>
      </c>
      <c r="D225">
        <v>140923885</v>
      </c>
      <c r="E225">
        <v>1</v>
      </c>
      <c r="F225">
        <v>1</v>
      </c>
      <c r="G225">
        <v>1</v>
      </c>
      <c r="H225">
        <v>2</v>
      </c>
      <c r="I225" t="s">
        <v>668</v>
      </c>
      <c r="J225" t="s">
        <v>669</v>
      </c>
      <c r="K225" t="s">
        <v>670</v>
      </c>
      <c r="L225">
        <v>1367</v>
      </c>
      <c r="N225">
        <v>1011</v>
      </c>
      <c r="O225" t="s">
        <v>614</v>
      </c>
      <c r="P225" t="s">
        <v>614</v>
      </c>
      <c r="Q225">
        <v>1</v>
      </c>
      <c r="X225">
        <v>1.85</v>
      </c>
      <c r="Y225">
        <v>0</v>
      </c>
      <c r="Z225">
        <v>65.709999999999994</v>
      </c>
      <c r="AA225">
        <v>11.6</v>
      </c>
      <c r="AB225">
        <v>0</v>
      </c>
      <c r="AC225">
        <v>0</v>
      </c>
      <c r="AD225">
        <v>1</v>
      </c>
      <c r="AE225">
        <v>0</v>
      </c>
      <c r="AF225" t="s">
        <v>452</v>
      </c>
      <c r="AG225">
        <v>2.381875</v>
      </c>
      <c r="AH225">
        <v>2</v>
      </c>
      <c r="AI225">
        <v>145110663</v>
      </c>
      <c r="AJ225">
        <v>198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</row>
    <row r="226" spans="1:44" x14ac:dyDescent="0.2">
      <c r="A226">
        <f>ROW(Source!A160)</f>
        <v>160</v>
      </c>
      <c r="B226">
        <v>145110664</v>
      </c>
      <c r="C226">
        <v>145027492</v>
      </c>
      <c r="D226">
        <v>140771385</v>
      </c>
      <c r="E226">
        <v>1</v>
      </c>
      <c r="F226">
        <v>1</v>
      </c>
      <c r="G226">
        <v>1</v>
      </c>
      <c r="H226">
        <v>3</v>
      </c>
      <c r="I226" t="s">
        <v>782</v>
      </c>
      <c r="J226" t="s">
        <v>783</v>
      </c>
      <c r="K226" t="s">
        <v>784</v>
      </c>
      <c r="L226">
        <v>1339</v>
      </c>
      <c r="N226">
        <v>1007</v>
      </c>
      <c r="O226" t="s">
        <v>638</v>
      </c>
      <c r="P226" t="s">
        <v>638</v>
      </c>
      <c r="Q226">
        <v>1</v>
      </c>
      <c r="X226">
        <v>0.67</v>
      </c>
      <c r="Y226">
        <v>45.83</v>
      </c>
      <c r="Z226">
        <v>0</v>
      </c>
      <c r="AA226">
        <v>0</v>
      </c>
      <c r="AB226">
        <v>0</v>
      </c>
      <c r="AC226">
        <v>0</v>
      </c>
      <c r="AD226">
        <v>1</v>
      </c>
      <c r="AE226">
        <v>0</v>
      </c>
      <c r="AF226" t="s">
        <v>3</v>
      </c>
      <c r="AG226">
        <v>0.67</v>
      </c>
      <c r="AH226">
        <v>2</v>
      </c>
      <c r="AI226">
        <v>145110664</v>
      </c>
      <c r="AJ226">
        <v>199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</row>
    <row r="227" spans="1:44" x14ac:dyDescent="0.2">
      <c r="A227">
        <f>ROW(Source!A160)</f>
        <v>160</v>
      </c>
      <c r="B227">
        <v>145110665</v>
      </c>
      <c r="C227">
        <v>145027492</v>
      </c>
      <c r="D227">
        <v>140772680</v>
      </c>
      <c r="E227">
        <v>1</v>
      </c>
      <c r="F227">
        <v>1</v>
      </c>
      <c r="G227">
        <v>1</v>
      </c>
      <c r="H227">
        <v>3</v>
      </c>
      <c r="I227" t="s">
        <v>635</v>
      </c>
      <c r="J227" t="s">
        <v>636</v>
      </c>
      <c r="K227" t="s">
        <v>637</v>
      </c>
      <c r="L227">
        <v>1339</v>
      </c>
      <c r="N227">
        <v>1007</v>
      </c>
      <c r="O227" t="s">
        <v>638</v>
      </c>
      <c r="P227" t="s">
        <v>638</v>
      </c>
      <c r="Q227">
        <v>1</v>
      </c>
      <c r="X227">
        <v>15</v>
      </c>
      <c r="Y227">
        <v>2.44</v>
      </c>
      <c r="Z227">
        <v>0</v>
      </c>
      <c r="AA227">
        <v>0</v>
      </c>
      <c r="AB227">
        <v>0</v>
      </c>
      <c r="AC227">
        <v>0</v>
      </c>
      <c r="AD227">
        <v>1</v>
      </c>
      <c r="AE227">
        <v>0</v>
      </c>
      <c r="AF227" t="s">
        <v>3</v>
      </c>
      <c r="AG227">
        <v>15</v>
      </c>
      <c r="AH227">
        <v>2</v>
      </c>
      <c r="AI227">
        <v>145110665</v>
      </c>
      <c r="AJ227">
        <v>200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</row>
    <row r="228" spans="1:44" x14ac:dyDescent="0.2">
      <c r="A228">
        <f>ROW(Source!A160)</f>
        <v>160</v>
      </c>
      <c r="B228">
        <v>145110666</v>
      </c>
      <c r="C228">
        <v>145027492</v>
      </c>
      <c r="D228">
        <v>140775155</v>
      </c>
      <c r="E228">
        <v>1</v>
      </c>
      <c r="F228">
        <v>1</v>
      </c>
      <c r="G228">
        <v>1</v>
      </c>
      <c r="H228">
        <v>3</v>
      </c>
      <c r="I228" t="s">
        <v>785</v>
      </c>
      <c r="J228" t="s">
        <v>786</v>
      </c>
      <c r="K228" t="s">
        <v>787</v>
      </c>
      <c r="L228">
        <v>1407</v>
      </c>
      <c r="N228">
        <v>1013</v>
      </c>
      <c r="O228" t="s">
        <v>731</v>
      </c>
      <c r="P228" t="s">
        <v>731</v>
      </c>
      <c r="Q228">
        <v>1</v>
      </c>
      <c r="X228">
        <v>8.8999999999999996E-2</v>
      </c>
      <c r="Y228">
        <v>200</v>
      </c>
      <c r="Z228">
        <v>0</v>
      </c>
      <c r="AA228">
        <v>0</v>
      </c>
      <c r="AB228">
        <v>0</v>
      </c>
      <c r="AC228">
        <v>0</v>
      </c>
      <c r="AD228">
        <v>1</v>
      </c>
      <c r="AE228">
        <v>0</v>
      </c>
      <c r="AF228" t="s">
        <v>3</v>
      </c>
      <c r="AG228">
        <v>8.8999999999999996E-2</v>
      </c>
      <c r="AH228">
        <v>2</v>
      </c>
      <c r="AI228">
        <v>145110666</v>
      </c>
      <c r="AJ228">
        <v>201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</row>
    <row r="229" spans="1:44" x14ac:dyDescent="0.2">
      <c r="A229">
        <f>ROW(Source!A160)</f>
        <v>160</v>
      </c>
      <c r="B229">
        <v>145110667</v>
      </c>
      <c r="C229">
        <v>145027492</v>
      </c>
      <c r="D229">
        <v>140775546</v>
      </c>
      <c r="E229">
        <v>1</v>
      </c>
      <c r="F229">
        <v>1</v>
      </c>
      <c r="G229">
        <v>1</v>
      </c>
      <c r="H229">
        <v>3</v>
      </c>
      <c r="I229" t="s">
        <v>788</v>
      </c>
      <c r="J229" t="s">
        <v>789</v>
      </c>
      <c r="K229" t="s">
        <v>790</v>
      </c>
      <c r="L229">
        <v>1348</v>
      </c>
      <c r="N229">
        <v>1009</v>
      </c>
      <c r="O229" t="s">
        <v>49</v>
      </c>
      <c r="P229" t="s">
        <v>49</v>
      </c>
      <c r="Q229">
        <v>1000</v>
      </c>
      <c r="X229">
        <v>4.4999999999999997E-3</v>
      </c>
      <c r="Y229">
        <v>9628</v>
      </c>
      <c r="Z229">
        <v>0</v>
      </c>
      <c r="AA229">
        <v>0</v>
      </c>
      <c r="AB229">
        <v>0</v>
      </c>
      <c r="AC229">
        <v>0</v>
      </c>
      <c r="AD229">
        <v>1</v>
      </c>
      <c r="AE229">
        <v>0</v>
      </c>
      <c r="AF229" t="s">
        <v>3</v>
      </c>
      <c r="AG229">
        <v>4.4999999999999997E-3</v>
      </c>
      <c r="AH229">
        <v>2</v>
      </c>
      <c r="AI229">
        <v>145110667</v>
      </c>
      <c r="AJ229">
        <v>202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</row>
    <row r="230" spans="1:44" x14ac:dyDescent="0.2">
      <c r="A230">
        <f>ROW(Source!A160)</f>
        <v>160</v>
      </c>
      <c r="B230">
        <v>145110668</v>
      </c>
      <c r="C230">
        <v>145027492</v>
      </c>
      <c r="D230">
        <v>140813281</v>
      </c>
      <c r="E230">
        <v>1</v>
      </c>
      <c r="F230">
        <v>1</v>
      </c>
      <c r="G230">
        <v>1</v>
      </c>
      <c r="H230">
        <v>3</v>
      </c>
      <c r="I230" t="s">
        <v>791</v>
      </c>
      <c r="J230" t="s">
        <v>792</v>
      </c>
      <c r="K230" t="s">
        <v>793</v>
      </c>
      <c r="L230">
        <v>1377</v>
      </c>
      <c r="N230">
        <v>1013</v>
      </c>
      <c r="O230" t="s">
        <v>794</v>
      </c>
      <c r="P230" t="s">
        <v>794</v>
      </c>
      <c r="Q230">
        <v>1</v>
      </c>
      <c r="X230">
        <v>44.2</v>
      </c>
      <c r="Y230">
        <v>24.75</v>
      </c>
      <c r="Z230">
        <v>0</v>
      </c>
      <c r="AA230">
        <v>0</v>
      </c>
      <c r="AB230">
        <v>0</v>
      </c>
      <c r="AC230">
        <v>0</v>
      </c>
      <c r="AD230">
        <v>1</v>
      </c>
      <c r="AE230">
        <v>0</v>
      </c>
      <c r="AF230" t="s">
        <v>3</v>
      </c>
      <c r="AG230">
        <v>44.2</v>
      </c>
      <c r="AH230">
        <v>2</v>
      </c>
      <c r="AI230">
        <v>145110668</v>
      </c>
      <c r="AJ230">
        <v>203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</row>
    <row r="231" spans="1:44" x14ac:dyDescent="0.2">
      <c r="A231">
        <f>ROW(Source!A160)</f>
        <v>160</v>
      </c>
      <c r="B231">
        <v>145110669</v>
      </c>
      <c r="C231">
        <v>145027492</v>
      </c>
      <c r="D231">
        <v>140763944</v>
      </c>
      <c r="E231">
        <v>70</v>
      </c>
      <c r="F231">
        <v>1</v>
      </c>
      <c r="G231">
        <v>1</v>
      </c>
      <c r="H231">
        <v>3</v>
      </c>
      <c r="I231" t="s">
        <v>855</v>
      </c>
      <c r="J231" t="s">
        <v>3</v>
      </c>
      <c r="K231" t="s">
        <v>856</v>
      </c>
      <c r="L231">
        <v>1033</v>
      </c>
      <c r="N231">
        <v>1013</v>
      </c>
      <c r="O231" t="s">
        <v>857</v>
      </c>
      <c r="P231" t="s">
        <v>857</v>
      </c>
      <c r="Q231">
        <v>1</v>
      </c>
      <c r="X231">
        <v>100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 t="s">
        <v>3</v>
      </c>
      <c r="AG231">
        <v>100</v>
      </c>
      <c r="AH231">
        <v>3</v>
      </c>
      <c r="AI231">
        <v>-1</v>
      </c>
      <c r="AJ231" t="s">
        <v>3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</row>
    <row r="232" spans="1:44" x14ac:dyDescent="0.2">
      <c r="A232">
        <f>ROW(Source!A163)</f>
        <v>163</v>
      </c>
      <c r="B232">
        <v>145080847</v>
      </c>
      <c r="C232">
        <v>145080836</v>
      </c>
      <c r="D232">
        <v>140759950</v>
      </c>
      <c r="E232">
        <v>70</v>
      </c>
      <c r="F232">
        <v>1</v>
      </c>
      <c r="G232">
        <v>1</v>
      </c>
      <c r="H232">
        <v>1</v>
      </c>
      <c r="I232" t="s">
        <v>617</v>
      </c>
      <c r="J232" t="s">
        <v>3</v>
      </c>
      <c r="K232" t="s">
        <v>618</v>
      </c>
      <c r="L232">
        <v>1191</v>
      </c>
      <c r="N232">
        <v>1013</v>
      </c>
      <c r="O232" t="s">
        <v>608</v>
      </c>
      <c r="P232" t="s">
        <v>608</v>
      </c>
      <c r="Q232">
        <v>1</v>
      </c>
      <c r="X232">
        <v>67.7</v>
      </c>
      <c r="Y232">
        <v>0</v>
      </c>
      <c r="Z232">
        <v>0</v>
      </c>
      <c r="AA232">
        <v>0</v>
      </c>
      <c r="AB232">
        <v>8.02</v>
      </c>
      <c r="AC232">
        <v>0</v>
      </c>
      <c r="AD232">
        <v>1</v>
      </c>
      <c r="AE232">
        <v>1</v>
      </c>
      <c r="AF232" t="s">
        <v>149</v>
      </c>
      <c r="AG232">
        <v>77.855000000000004</v>
      </c>
      <c r="AH232">
        <v>2</v>
      </c>
      <c r="AI232">
        <v>145080847</v>
      </c>
      <c r="AJ232">
        <v>204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</row>
    <row r="233" spans="1:44" x14ac:dyDescent="0.2">
      <c r="A233">
        <f>ROW(Source!A163)</f>
        <v>163</v>
      </c>
      <c r="B233">
        <v>145080848</v>
      </c>
      <c r="C233">
        <v>145080836</v>
      </c>
      <c r="D233">
        <v>140760225</v>
      </c>
      <c r="E233">
        <v>70</v>
      </c>
      <c r="F233">
        <v>1</v>
      </c>
      <c r="G233">
        <v>1</v>
      </c>
      <c r="H233">
        <v>1</v>
      </c>
      <c r="I233" t="s">
        <v>609</v>
      </c>
      <c r="J233" t="s">
        <v>3</v>
      </c>
      <c r="K233" t="s">
        <v>610</v>
      </c>
      <c r="L233">
        <v>1191</v>
      </c>
      <c r="N233">
        <v>1013</v>
      </c>
      <c r="O233" t="s">
        <v>608</v>
      </c>
      <c r="P233" t="s">
        <v>608</v>
      </c>
      <c r="Q233">
        <v>1</v>
      </c>
      <c r="X233">
        <v>4.2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1</v>
      </c>
      <c r="AE233">
        <v>2</v>
      </c>
      <c r="AF233" t="s">
        <v>148</v>
      </c>
      <c r="AG233">
        <v>5.25</v>
      </c>
      <c r="AH233">
        <v>2</v>
      </c>
      <c r="AI233">
        <v>145080848</v>
      </c>
      <c r="AJ233">
        <v>205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</row>
    <row r="234" spans="1:44" x14ac:dyDescent="0.2">
      <c r="A234">
        <f>ROW(Source!A163)</f>
        <v>163</v>
      </c>
      <c r="B234">
        <v>145080849</v>
      </c>
      <c r="C234">
        <v>145080836</v>
      </c>
      <c r="D234">
        <v>140923145</v>
      </c>
      <c r="E234">
        <v>1</v>
      </c>
      <c r="F234">
        <v>1</v>
      </c>
      <c r="G234">
        <v>1</v>
      </c>
      <c r="H234">
        <v>2</v>
      </c>
      <c r="I234" t="s">
        <v>611</v>
      </c>
      <c r="J234" t="s">
        <v>612</v>
      </c>
      <c r="K234" t="s">
        <v>613</v>
      </c>
      <c r="L234">
        <v>1367</v>
      </c>
      <c r="N234">
        <v>1011</v>
      </c>
      <c r="O234" t="s">
        <v>614</v>
      </c>
      <c r="P234" t="s">
        <v>614</v>
      </c>
      <c r="Q234">
        <v>1</v>
      </c>
      <c r="X234">
        <v>1.73</v>
      </c>
      <c r="Y234">
        <v>0</v>
      </c>
      <c r="Z234">
        <v>31.26</v>
      </c>
      <c r="AA234">
        <v>13.5</v>
      </c>
      <c r="AB234">
        <v>0</v>
      </c>
      <c r="AC234">
        <v>0</v>
      </c>
      <c r="AD234">
        <v>1</v>
      </c>
      <c r="AE234">
        <v>0</v>
      </c>
      <c r="AF234" t="s">
        <v>148</v>
      </c>
      <c r="AG234">
        <v>2.1625000000000001</v>
      </c>
      <c r="AH234">
        <v>2</v>
      </c>
      <c r="AI234">
        <v>145080849</v>
      </c>
      <c r="AJ234">
        <v>206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</row>
    <row r="235" spans="1:44" x14ac:dyDescent="0.2">
      <c r="A235">
        <f>ROW(Source!A163)</f>
        <v>163</v>
      </c>
      <c r="B235">
        <v>145080850</v>
      </c>
      <c r="C235">
        <v>145080836</v>
      </c>
      <c r="D235">
        <v>140923885</v>
      </c>
      <c r="E235">
        <v>1</v>
      </c>
      <c r="F235">
        <v>1</v>
      </c>
      <c r="G235">
        <v>1</v>
      </c>
      <c r="H235">
        <v>2</v>
      </c>
      <c r="I235" t="s">
        <v>668</v>
      </c>
      <c r="J235" t="s">
        <v>669</v>
      </c>
      <c r="K235" t="s">
        <v>670</v>
      </c>
      <c r="L235">
        <v>1367</v>
      </c>
      <c r="N235">
        <v>1011</v>
      </c>
      <c r="O235" t="s">
        <v>614</v>
      </c>
      <c r="P235" t="s">
        <v>614</v>
      </c>
      <c r="Q235">
        <v>1</v>
      </c>
      <c r="X235">
        <v>2.4700000000000002</v>
      </c>
      <c r="Y235">
        <v>0</v>
      </c>
      <c r="Z235">
        <v>65.709999999999994</v>
      </c>
      <c r="AA235">
        <v>11.6</v>
      </c>
      <c r="AB235">
        <v>0</v>
      </c>
      <c r="AC235">
        <v>0</v>
      </c>
      <c r="AD235">
        <v>1</v>
      </c>
      <c r="AE235">
        <v>0</v>
      </c>
      <c r="AF235" t="s">
        <v>148</v>
      </c>
      <c r="AG235">
        <v>3.0875000000000004</v>
      </c>
      <c r="AH235">
        <v>2</v>
      </c>
      <c r="AI235">
        <v>145080850</v>
      </c>
      <c r="AJ235">
        <v>207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</row>
    <row r="236" spans="1:44" x14ac:dyDescent="0.2">
      <c r="A236">
        <f>ROW(Source!A163)</f>
        <v>163</v>
      </c>
      <c r="B236">
        <v>145080851</v>
      </c>
      <c r="C236">
        <v>145080836</v>
      </c>
      <c r="D236">
        <v>140775118</v>
      </c>
      <c r="E236">
        <v>1</v>
      </c>
      <c r="F236">
        <v>1</v>
      </c>
      <c r="G236">
        <v>1</v>
      </c>
      <c r="H236">
        <v>3</v>
      </c>
      <c r="I236" t="s">
        <v>671</v>
      </c>
      <c r="J236" t="s">
        <v>672</v>
      </c>
      <c r="K236" t="s">
        <v>673</v>
      </c>
      <c r="L236">
        <v>1348</v>
      </c>
      <c r="N236">
        <v>1009</v>
      </c>
      <c r="O236" t="s">
        <v>49</v>
      </c>
      <c r="P236" t="s">
        <v>49</v>
      </c>
      <c r="Q236">
        <v>1000</v>
      </c>
      <c r="X236">
        <v>1.2E-2</v>
      </c>
      <c r="Y236">
        <v>11978</v>
      </c>
      <c r="Z236">
        <v>0</v>
      </c>
      <c r="AA236">
        <v>0</v>
      </c>
      <c r="AB236">
        <v>0</v>
      </c>
      <c r="AC236">
        <v>0</v>
      </c>
      <c r="AD236">
        <v>1</v>
      </c>
      <c r="AE236">
        <v>0</v>
      </c>
      <c r="AF236" t="s">
        <v>3</v>
      </c>
      <c r="AG236">
        <v>1.2E-2</v>
      </c>
      <c r="AH236">
        <v>2</v>
      </c>
      <c r="AI236">
        <v>145080851</v>
      </c>
      <c r="AJ236">
        <v>208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</row>
    <row r="237" spans="1:44" x14ac:dyDescent="0.2">
      <c r="A237">
        <f>ROW(Source!A163)</f>
        <v>163</v>
      </c>
      <c r="B237">
        <v>145080852</v>
      </c>
      <c r="C237">
        <v>145080836</v>
      </c>
      <c r="D237">
        <v>140790834</v>
      </c>
      <c r="E237">
        <v>1</v>
      </c>
      <c r="F237">
        <v>1</v>
      </c>
      <c r="G237">
        <v>1</v>
      </c>
      <c r="H237">
        <v>3</v>
      </c>
      <c r="I237" t="s">
        <v>795</v>
      </c>
      <c r="J237" t="s">
        <v>796</v>
      </c>
      <c r="K237" t="s">
        <v>797</v>
      </c>
      <c r="L237">
        <v>1348</v>
      </c>
      <c r="N237">
        <v>1009</v>
      </c>
      <c r="O237" t="s">
        <v>49</v>
      </c>
      <c r="P237" t="s">
        <v>49</v>
      </c>
      <c r="Q237">
        <v>1000</v>
      </c>
      <c r="X237">
        <v>3.5000000000000003E-2</v>
      </c>
      <c r="Y237">
        <v>5989</v>
      </c>
      <c r="Z237">
        <v>0</v>
      </c>
      <c r="AA237">
        <v>0</v>
      </c>
      <c r="AB237">
        <v>0</v>
      </c>
      <c r="AC237">
        <v>0</v>
      </c>
      <c r="AD237">
        <v>1</v>
      </c>
      <c r="AE237">
        <v>0</v>
      </c>
      <c r="AF237" t="s">
        <v>3</v>
      </c>
      <c r="AG237">
        <v>3.5000000000000003E-2</v>
      </c>
      <c r="AH237">
        <v>2</v>
      </c>
      <c r="AI237">
        <v>145080852</v>
      </c>
      <c r="AJ237">
        <v>209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</row>
    <row r="238" spans="1:44" x14ac:dyDescent="0.2">
      <c r="A238">
        <f>ROW(Source!A163)</f>
        <v>163</v>
      </c>
      <c r="B238">
        <v>145080853</v>
      </c>
      <c r="C238">
        <v>145080836</v>
      </c>
      <c r="D238">
        <v>140762676</v>
      </c>
      <c r="E238">
        <v>70</v>
      </c>
      <c r="F238">
        <v>1</v>
      </c>
      <c r="G238">
        <v>1</v>
      </c>
      <c r="H238">
        <v>3</v>
      </c>
      <c r="I238" t="s">
        <v>858</v>
      </c>
      <c r="J238" t="s">
        <v>3</v>
      </c>
      <c r="K238" t="s">
        <v>859</v>
      </c>
      <c r="L238">
        <v>1371</v>
      </c>
      <c r="N238">
        <v>1013</v>
      </c>
      <c r="O238" t="s">
        <v>213</v>
      </c>
      <c r="P238" t="s">
        <v>213</v>
      </c>
      <c r="Q238">
        <v>1</v>
      </c>
      <c r="X238">
        <v>100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 t="s">
        <v>3</v>
      </c>
      <c r="AG238">
        <v>100</v>
      </c>
      <c r="AH238">
        <v>3</v>
      </c>
      <c r="AI238">
        <v>-1</v>
      </c>
      <c r="AJ238" t="s">
        <v>3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</row>
    <row r="239" spans="1:44" x14ac:dyDescent="0.2">
      <c r="A239">
        <f>ROW(Source!A163)</f>
        <v>163</v>
      </c>
      <c r="B239">
        <v>145080854</v>
      </c>
      <c r="C239">
        <v>145080836</v>
      </c>
      <c r="D239">
        <v>140797270</v>
      </c>
      <c r="E239">
        <v>1</v>
      </c>
      <c r="F239">
        <v>1</v>
      </c>
      <c r="G239">
        <v>1</v>
      </c>
      <c r="H239">
        <v>3</v>
      </c>
      <c r="I239" t="s">
        <v>468</v>
      </c>
      <c r="J239" t="s">
        <v>470</v>
      </c>
      <c r="K239" t="s">
        <v>469</v>
      </c>
      <c r="L239">
        <v>1301</v>
      </c>
      <c r="N239">
        <v>1003</v>
      </c>
      <c r="O239" t="s">
        <v>191</v>
      </c>
      <c r="P239" t="s">
        <v>191</v>
      </c>
      <c r="Q239">
        <v>1</v>
      </c>
      <c r="X239">
        <v>400</v>
      </c>
      <c r="Y239">
        <v>3.2</v>
      </c>
      <c r="Z239">
        <v>0</v>
      </c>
      <c r="AA239">
        <v>0</v>
      </c>
      <c r="AB239">
        <v>0</v>
      </c>
      <c r="AC239">
        <v>0</v>
      </c>
      <c r="AD239">
        <v>1</v>
      </c>
      <c r="AE239">
        <v>0</v>
      </c>
      <c r="AF239" t="s">
        <v>3</v>
      </c>
      <c r="AG239">
        <v>400</v>
      </c>
      <c r="AH239">
        <v>2</v>
      </c>
      <c r="AI239">
        <v>145080854</v>
      </c>
      <c r="AJ239">
        <v>210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</row>
    <row r="240" spans="1:44" x14ac:dyDescent="0.2">
      <c r="A240">
        <f>ROW(Source!A201)</f>
        <v>201</v>
      </c>
      <c r="B240">
        <v>145027537</v>
      </c>
      <c r="C240">
        <v>145027532</v>
      </c>
      <c r="D240">
        <v>140759979</v>
      </c>
      <c r="E240">
        <v>70</v>
      </c>
      <c r="F240">
        <v>1</v>
      </c>
      <c r="G240">
        <v>1</v>
      </c>
      <c r="H240">
        <v>1</v>
      </c>
      <c r="I240" t="s">
        <v>698</v>
      </c>
      <c r="J240" t="s">
        <v>3</v>
      </c>
      <c r="K240" t="s">
        <v>699</v>
      </c>
      <c r="L240">
        <v>1191</v>
      </c>
      <c r="N240">
        <v>1013</v>
      </c>
      <c r="O240" t="s">
        <v>608</v>
      </c>
      <c r="P240" t="s">
        <v>608</v>
      </c>
      <c r="Q240">
        <v>1</v>
      </c>
      <c r="X240">
        <v>69.87</v>
      </c>
      <c r="Y240">
        <v>0</v>
      </c>
      <c r="Z240">
        <v>0</v>
      </c>
      <c r="AA240">
        <v>0</v>
      </c>
      <c r="AB240">
        <v>8.5299999999999994</v>
      </c>
      <c r="AC240">
        <v>0</v>
      </c>
      <c r="AD240">
        <v>1</v>
      </c>
      <c r="AE240">
        <v>1</v>
      </c>
      <c r="AF240" t="s">
        <v>3</v>
      </c>
      <c r="AG240">
        <v>69.87</v>
      </c>
      <c r="AH240">
        <v>2</v>
      </c>
      <c r="AI240">
        <v>145027533</v>
      </c>
      <c r="AJ240">
        <v>211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</row>
    <row r="241" spans="1:44" x14ac:dyDescent="0.2">
      <c r="A241">
        <f>ROW(Source!A201)</f>
        <v>201</v>
      </c>
      <c r="B241">
        <v>145027538</v>
      </c>
      <c r="C241">
        <v>145027532</v>
      </c>
      <c r="D241">
        <v>140760225</v>
      </c>
      <c r="E241">
        <v>70</v>
      </c>
      <c r="F241">
        <v>1</v>
      </c>
      <c r="G241">
        <v>1</v>
      </c>
      <c r="H241">
        <v>1</v>
      </c>
      <c r="I241" t="s">
        <v>609</v>
      </c>
      <c r="J241" t="s">
        <v>3</v>
      </c>
      <c r="K241" t="s">
        <v>610</v>
      </c>
      <c r="L241">
        <v>1191</v>
      </c>
      <c r="N241">
        <v>1013</v>
      </c>
      <c r="O241" t="s">
        <v>608</v>
      </c>
      <c r="P241" t="s">
        <v>608</v>
      </c>
      <c r="Q241">
        <v>1</v>
      </c>
      <c r="X241">
        <v>1.44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1</v>
      </c>
      <c r="AE241">
        <v>2</v>
      </c>
      <c r="AF241" t="s">
        <v>3</v>
      </c>
      <c r="AG241">
        <v>1.44</v>
      </c>
      <c r="AH241">
        <v>2</v>
      </c>
      <c r="AI241">
        <v>145027534</v>
      </c>
      <c r="AJ241">
        <v>212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</row>
    <row r="242" spans="1:44" x14ac:dyDescent="0.2">
      <c r="A242">
        <f>ROW(Source!A201)</f>
        <v>201</v>
      </c>
      <c r="B242">
        <v>145027539</v>
      </c>
      <c r="C242">
        <v>145027532</v>
      </c>
      <c r="D242">
        <v>140923145</v>
      </c>
      <c r="E242">
        <v>1</v>
      </c>
      <c r="F242">
        <v>1</v>
      </c>
      <c r="G242">
        <v>1</v>
      </c>
      <c r="H242">
        <v>2</v>
      </c>
      <c r="I242" t="s">
        <v>611</v>
      </c>
      <c r="J242" t="s">
        <v>612</v>
      </c>
      <c r="K242" t="s">
        <v>613</v>
      </c>
      <c r="L242">
        <v>1367</v>
      </c>
      <c r="N242">
        <v>1011</v>
      </c>
      <c r="O242" t="s">
        <v>614</v>
      </c>
      <c r="P242" t="s">
        <v>614</v>
      </c>
      <c r="Q242">
        <v>1</v>
      </c>
      <c r="X242">
        <v>1.44</v>
      </c>
      <c r="Y242">
        <v>0</v>
      </c>
      <c r="Z242">
        <v>31.26</v>
      </c>
      <c r="AA242">
        <v>13.5</v>
      </c>
      <c r="AB242">
        <v>0</v>
      </c>
      <c r="AC242">
        <v>0</v>
      </c>
      <c r="AD242">
        <v>1</v>
      </c>
      <c r="AE242">
        <v>0</v>
      </c>
      <c r="AF242" t="s">
        <v>3</v>
      </c>
      <c r="AG242">
        <v>1.44</v>
      </c>
      <c r="AH242">
        <v>2</v>
      </c>
      <c r="AI242">
        <v>145027535</v>
      </c>
      <c r="AJ242">
        <v>213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</row>
    <row r="243" spans="1:44" x14ac:dyDescent="0.2">
      <c r="A243">
        <f>ROW(Source!A201)</f>
        <v>201</v>
      </c>
      <c r="B243">
        <v>145027540</v>
      </c>
      <c r="C243">
        <v>145027532</v>
      </c>
      <c r="D243">
        <v>140765020</v>
      </c>
      <c r="E243">
        <v>70</v>
      </c>
      <c r="F243">
        <v>1</v>
      </c>
      <c r="G243">
        <v>1</v>
      </c>
      <c r="H243">
        <v>3</v>
      </c>
      <c r="I243" t="s">
        <v>47</v>
      </c>
      <c r="J243" t="s">
        <v>3</v>
      </c>
      <c r="K243" t="s">
        <v>48</v>
      </c>
      <c r="L243">
        <v>1348</v>
      </c>
      <c r="N243">
        <v>1009</v>
      </c>
      <c r="O243" t="s">
        <v>49</v>
      </c>
      <c r="P243" t="s">
        <v>49</v>
      </c>
      <c r="Q243">
        <v>1000</v>
      </c>
      <c r="X243">
        <v>5.2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 t="s">
        <v>3</v>
      </c>
      <c r="AG243">
        <v>5.2</v>
      </c>
      <c r="AH243">
        <v>2</v>
      </c>
      <c r="AI243">
        <v>145027536</v>
      </c>
      <c r="AJ243">
        <v>214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</row>
    <row r="244" spans="1:44" x14ac:dyDescent="0.2">
      <c r="A244">
        <f>ROW(Source!A203)</f>
        <v>203</v>
      </c>
      <c r="B244">
        <v>145040389</v>
      </c>
      <c r="C244">
        <v>145040381</v>
      </c>
      <c r="D244">
        <v>140755439</v>
      </c>
      <c r="E244">
        <v>70</v>
      </c>
      <c r="F244">
        <v>1</v>
      </c>
      <c r="G244">
        <v>1</v>
      </c>
      <c r="H244">
        <v>1</v>
      </c>
      <c r="I244" t="s">
        <v>663</v>
      </c>
      <c r="J244" t="s">
        <v>3</v>
      </c>
      <c r="K244" t="s">
        <v>664</v>
      </c>
      <c r="L244">
        <v>1191</v>
      </c>
      <c r="N244">
        <v>1013</v>
      </c>
      <c r="O244" t="s">
        <v>608</v>
      </c>
      <c r="P244" t="s">
        <v>608</v>
      </c>
      <c r="Q244">
        <v>1</v>
      </c>
      <c r="X244">
        <v>3.69</v>
      </c>
      <c r="Y244">
        <v>0</v>
      </c>
      <c r="Z244">
        <v>0</v>
      </c>
      <c r="AA244">
        <v>0</v>
      </c>
      <c r="AB244">
        <v>9.18</v>
      </c>
      <c r="AC244">
        <v>0</v>
      </c>
      <c r="AD244">
        <v>1</v>
      </c>
      <c r="AE244">
        <v>1</v>
      </c>
      <c r="AF244" t="s">
        <v>149</v>
      </c>
      <c r="AG244">
        <v>4.2435</v>
      </c>
      <c r="AH244">
        <v>2</v>
      </c>
      <c r="AI244">
        <v>145040382</v>
      </c>
      <c r="AJ244">
        <v>215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</row>
    <row r="245" spans="1:44" x14ac:dyDescent="0.2">
      <c r="A245">
        <f>ROW(Source!A203)</f>
        <v>203</v>
      </c>
      <c r="B245">
        <v>145040390</v>
      </c>
      <c r="C245">
        <v>145040381</v>
      </c>
      <c r="D245">
        <v>140755491</v>
      </c>
      <c r="E245">
        <v>70</v>
      </c>
      <c r="F245">
        <v>1</v>
      </c>
      <c r="G245">
        <v>1</v>
      </c>
      <c r="H245">
        <v>1</v>
      </c>
      <c r="I245" t="s">
        <v>609</v>
      </c>
      <c r="J245" t="s">
        <v>3</v>
      </c>
      <c r="K245" t="s">
        <v>610</v>
      </c>
      <c r="L245">
        <v>1191</v>
      </c>
      <c r="N245">
        <v>1013</v>
      </c>
      <c r="O245" t="s">
        <v>608</v>
      </c>
      <c r="P245" t="s">
        <v>608</v>
      </c>
      <c r="Q245">
        <v>1</v>
      </c>
      <c r="X245">
        <v>0.05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1</v>
      </c>
      <c r="AE245">
        <v>2</v>
      </c>
      <c r="AF245" t="s">
        <v>148</v>
      </c>
      <c r="AG245">
        <v>6.25E-2</v>
      </c>
      <c r="AH245">
        <v>2</v>
      </c>
      <c r="AI245">
        <v>145040383</v>
      </c>
      <c r="AJ245">
        <v>216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</row>
    <row r="246" spans="1:44" x14ac:dyDescent="0.2">
      <c r="A246">
        <f>ROW(Source!A203)</f>
        <v>203</v>
      </c>
      <c r="B246">
        <v>145040391</v>
      </c>
      <c r="C246">
        <v>145040381</v>
      </c>
      <c r="D246">
        <v>140923143</v>
      </c>
      <c r="E246">
        <v>1</v>
      </c>
      <c r="F246">
        <v>1</v>
      </c>
      <c r="G246">
        <v>1</v>
      </c>
      <c r="H246">
        <v>2</v>
      </c>
      <c r="I246" t="s">
        <v>702</v>
      </c>
      <c r="J246" t="s">
        <v>703</v>
      </c>
      <c r="K246" t="s">
        <v>704</v>
      </c>
      <c r="L246">
        <v>1367</v>
      </c>
      <c r="N246">
        <v>1011</v>
      </c>
      <c r="O246" t="s">
        <v>614</v>
      </c>
      <c r="P246" t="s">
        <v>614</v>
      </c>
      <c r="Q246">
        <v>1</v>
      </c>
      <c r="X246">
        <v>0.01</v>
      </c>
      <c r="Y246">
        <v>0</v>
      </c>
      <c r="Z246">
        <v>27.66</v>
      </c>
      <c r="AA246">
        <v>11.6</v>
      </c>
      <c r="AB246">
        <v>0</v>
      </c>
      <c r="AC246">
        <v>0</v>
      </c>
      <c r="AD246">
        <v>1</v>
      </c>
      <c r="AE246">
        <v>0</v>
      </c>
      <c r="AF246" t="s">
        <v>148</v>
      </c>
      <c r="AG246">
        <v>1.2500000000000001E-2</v>
      </c>
      <c r="AH246">
        <v>2</v>
      </c>
      <c r="AI246">
        <v>145040384</v>
      </c>
      <c r="AJ246">
        <v>217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</row>
    <row r="247" spans="1:44" x14ac:dyDescent="0.2">
      <c r="A247">
        <f>ROW(Source!A203)</f>
        <v>203</v>
      </c>
      <c r="B247">
        <v>145040392</v>
      </c>
      <c r="C247">
        <v>145040381</v>
      </c>
      <c r="D247">
        <v>140923885</v>
      </c>
      <c r="E247">
        <v>1</v>
      </c>
      <c r="F247">
        <v>1</v>
      </c>
      <c r="G247">
        <v>1</v>
      </c>
      <c r="H247">
        <v>2</v>
      </c>
      <c r="I247" t="s">
        <v>668</v>
      </c>
      <c r="J247" t="s">
        <v>669</v>
      </c>
      <c r="K247" t="s">
        <v>670</v>
      </c>
      <c r="L247">
        <v>1367</v>
      </c>
      <c r="N247">
        <v>1011</v>
      </c>
      <c r="O247" t="s">
        <v>614</v>
      </c>
      <c r="P247" t="s">
        <v>614</v>
      </c>
      <c r="Q247">
        <v>1</v>
      </c>
      <c r="X247">
        <v>0.04</v>
      </c>
      <c r="Y247">
        <v>0</v>
      </c>
      <c r="Z247">
        <v>65.709999999999994</v>
      </c>
      <c r="AA247">
        <v>11.6</v>
      </c>
      <c r="AB247">
        <v>0</v>
      </c>
      <c r="AC247">
        <v>0</v>
      </c>
      <c r="AD247">
        <v>1</v>
      </c>
      <c r="AE247">
        <v>0</v>
      </c>
      <c r="AF247" t="s">
        <v>148</v>
      </c>
      <c r="AG247">
        <v>0.05</v>
      </c>
      <c r="AH247">
        <v>2</v>
      </c>
      <c r="AI247">
        <v>145040385</v>
      </c>
      <c r="AJ247">
        <v>218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</row>
    <row r="248" spans="1:44" x14ac:dyDescent="0.2">
      <c r="A248">
        <f>ROW(Source!A203)</f>
        <v>203</v>
      </c>
      <c r="B248">
        <v>145040393</v>
      </c>
      <c r="C248">
        <v>145040381</v>
      </c>
      <c r="D248">
        <v>140924526</v>
      </c>
      <c r="E248">
        <v>1</v>
      </c>
      <c r="F248">
        <v>1</v>
      </c>
      <c r="G248">
        <v>1</v>
      </c>
      <c r="H248">
        <v>2</v>
      </c>
      <c r="I248" t="s">
        <v>705</v>
      </c>
      <c r="J248" t="s">
        <v>706</v>
      </c>
      <c r="K248" t="s">
        <v>707</v>
      </c>
      <c r="L248">
        <v>1367</v>
      </c>
      <c r="N248">
        <v>1011</v>
      </c>
      <c r="O248" t="s">
        <v>614</v>
      </c>
      <c r="P248" t="s">
        <v>614</v>
      </c>
      <c r="Q248">
        <v>1</v>
      </c>
      <c r="X248">
        <v>2.82</v>
      </c>
      <c r="Y248">
        <v>0</v>
      </c>
      <c r="Z248">
        <v>6.82</v>
      </c>
      <c r="AA248">
        <v>0</v>
      </c>
      <c r="AB248">
        <v>0</v>
      </c>
      <c r="AC248">
        <v>0</v>
      </c>
      <c r="AD248">
        <v>1</v>
      </c>
      <c r="AE248">
        <v>0</v>
      </c>
      <c r="AF248" t="s">
        <v>148</v>
      </c>
      <c r="AG248">
        <v>3.5249999999999999</v>
      </c>
      <c r="AH248">
        <v>2</v>
      </c>
      <c r="AI248">
        <v>145040386</v>
      </c>
      <c r="AJ248">
        <v>219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</row>
    <row r="249" spans="1:44" x14ac:dyDescent="0.2">
      <c r="A249">
        <f>ROW(Source!A203)</f>
        <v>203</v>
      </c>
      <c r="B249">
        <v>145040394</v>
      </c>
      <c r="C249">
        <v>145040381</v>
      </c>
      <c r="D249">
        <v>140772680</v>
      </c>
      <c r="E249">
        <v>1</v>
      </c>
      <c r="F249">
        <v>1</v>
      </c>
      <c r="G249">
        <v>1</v>
      </c>
      <c r="H249">
        <v>3</v>
      </c>
      <c r="I249" t="s">
        <v>635</v>
      </c>
      <c r="J249" t="s">
        <v>636</v>
      </c>
      <c r="K249" t="s">
        <v>637</v>
      </c>
      <c r="L249">
        <v>1339</v>
      </c>
      <c r="N249">
        <v>1007</v>
      </c>
      <c r="O249" t="s">
        <v>638</v>
      </c>
      <c r="P249" t="s">
        <v>638</v>
      </c>
      <c r="Q249">
        <v>1</v>
      </c>
      <c r="X249">
        <v>0.01</v>
      </c>
      <c r="Y249">
        <v>2.44</v>
      </c>
      <c r="Z249">
        <v>0</v>
      </c>
      <c r="AA249">
        <v>0</v>
      </c>
      <c r="AB249">
        <v>0</v>
      </c>
      <c r="AC249">
        <v>0</v>
      </c>
      <c r="AD249">
        <v>1</v>
      </c>
      <c r="AE249">
        <v>0</v>
      </c>
      <c r="AF249" t="s">
        <v>3</v>
      </c>
      <c r="AG249">
        <v>0.01</v>
      </c>
      <c r="AH249">
        <v>2</v>
      </c>
      <c r="AI249">
        <v>145040387</v>
      </c>
      <c r="AJ249">
        <v>220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</row>
    <row r="250" spans="1:44" x14ac:dyDescent="0.2">
      <c r="A250">
        <f>ROW(Source!A203)</f>
        <v>203</v>
      </c>
      <c r="B250">
        <v>145040395</v>
      </c>
      <c r="C250">
        <v>145040381</v>
      </c>
      <c r="D250">
        <v>140776226</v>
      </c>
      <c r="E250">
        <v>1</v>
      </c>
      <c r="F250">
        <v>1</v>
      </c>
      <c r="G250">
        <v>1</v>
      </c>
      <c r="H250">
        <v>3</v>
      </c>
      <c r="I250" t="s">
        <v>680</v>
      </c>
      <c r="J250" t="s">
        <v>681</v>
      </c>
      <c r="K250" t="s">
        <v>682</v>
      </c>
      <c r="L250">
        <v>1346</v>
      </c>
      <c r="N250">
        <v>1009</v>
      </c>
      <c r="O250" t="s">
        <v>154</v>
      </c>
      <c r="P250" t="s">
        <v>154</v>
      </c>
      <c r="Q250">
        <v>1</v>
      </c>
      <c r="X250">
        <v>1</v>
      </c>
      <c r="Y250">
        <v>1.82</v>
      </c>
      <c r="Z250">
        <v>0</v>
      </c>
      <c r="AA250">
        <v>0</v>
      </c>
      <c r="AB250">
        <v>0</v>
      </c>
      <c r="AC250">
        <v>0</v>
      </c>
      <c r="AD250">
        <v>1</v>
      </c>
      <c r="AE250">
        <v>0</v>
      </c>
      <c r="AF250" t="s">
        <v>3</v>
      </c>
      <c r="AG250">
        <v>1</v>
      </c>
      <c r="AH250">
        <v>2</v>
      </c>
      <c r="AI250">
        <v>145040388</v>
      </c>
      <c r="AJ250">
        <v>221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</row>
    <row r="251" spans="1:44" x14ac:dyDescent="0.2">
      <c r="A251">
        <f>ROW(Source!A203)</f>
        <v>203</v>
      </c>
      <c r="B251">
        <v>145040396</v>
      </c>
      <c r="C251">
        <v>145040381</v>
      </c>
      <c r="D251">
        <v>140763283</v>
      </c>
      <c r="E251">
        <v>70</v>
      </c>
      <c r="F251">
        <v>1</v>
      </c>
      <c r="G251">
        <v>1</v>
      </c>
      <c r="H251">
        <v>3</v>
      </c>
      <c r="I251" t="s">
        <v>825</v>
      </c>
      <c r="J251" t="s">
        <v>3</v>
      </c>
      <c r="K251" t="s">
        <v>826</v>
      </c>
      <c r="L251">
        <v>1346</v>
      </c>
      <c r="N251">
        <v>1009</v>
      </c>
      <c r="O251" t="s">
        <v>154</v>
      </c>
      <c r="P251" t="s">
        <v>154</v>
      </c>
      <c r="Q251">
        <v>1</v>
      </c>
      <c r="X251">
        <v>13.8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 t="s">
        <v>3</v>
      </c>
      <c r="AG251">
        <v>13.8</v>
      </c>
      <c r="AH251">
        <v>3</v>
      </c>
      <c r="AI251">
        <v>-1</v>
      </c>
      <c r="AJ251" t="s">
        <v>3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</row>
    <row r="252" spans="1:44" x14ac:dyDescent="0.2">
      <c r="A252">
        <f>ROW(Source!A205)</f>
        <v>205</v>
      </c>
      <c r="B252">
        <v>145040410</v>
      </c>
      <c r="C252">
        <v>145040398</v>
      </c>
      <c r="D252">
        <v>140755435</v>
      </c>
      <c r="E252">
        <v>70</v>
      </c>
      <c r="F252">
        <v>1</v>
      </c>
      <c r="G252">
        <v>1</v>
      </c>
      <c r="H252">
        <v>1</v>
      </c>
      <c r="I252" t="s">
        <v>708</v>
      </c>
      <c r="J252" t="s">
        <v>3</v>
      </c>
      <c r="K252" t="s">
        <v>709</v>
      </c>
      <c r="L252">
        <v>1191</v>
      </c>
      <c r="N252">
        <v>1013</v>
      </c>
      <c r="O252" t="s">
        <v>608</v>
      </c>
      <c r="P252" t="s">
        <v>608</v>
      </c>
      <c r="Q252">
        <v>1</v>
      </c>
      <c r="X252">
        <v>119.78</v>
      </c>
      <c r="Y252">
        <v>0</v>
      </c>
      <c r="Z252">
        <v>0</v>
      </c>
      <c r="AA252">
        <v>0</v>
      </c>
      <c r="AB252">
        <v>8.74</v>
      </c>
      <c r="AC252">
        <v>0</v>
      </c>
      <c r="AD252">
        <v>1</v>
      </c>
      <c r="AE252">
        <v>1</v>
      </c>
      <c r="AF252" t="s">
        <v>149</v>
      </c>
      <c r="AG252">
        <v>137.74699999999999</v>
      </c>
      <c r="AH252">
        <v>2</v>
      </c>
      <c r="AI252">
        <v>145040399</v>
      </c>
      <c r="AJ252">
        <v>222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</row>
    <row r="253" spans="1:44" x14ac:dyDescent="0.2">
      <c r="A253">
        <f>ROW(Source!A205)</f>
        <v>205</v>
      </c>
      <c r="B253">
        <v>145040411</v>
      </c>
      <c r="C253">
        <v>145040398</v>
      </c>
      <c r="D253">
        <v>140755491</v>
      </c>
      <c r="E253">
        <v>70</v>
      </c>
      <c r="F253">
        <v>1</v>
      </c>
      <c r="G253">
        <v>1</v>
      </c>
      <c r="H253">
        <v>1</v>
      </c>
      <c r="I253" t="s">
        <v>609</v>
      </c>
      <c r="J253" t="s">
        <v>3</v>
      </c>
      <c r="K253" t="s">
        <v>610</v>
      </c>
      <c r="L253">
        <v>1191</v>
      </c>
      <c r="N253">
        <v>1013</v>
      </c>
      <c r="O253" t="s">
        <v>608</v>
      </c>
      <c r="P253" t="s">
        <v>608</v>
      </c>
      <c r="Q253">
        <v>1</v>
      </c>
      <c r="X253">
        <v>4.5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1</v>
      </c>
      <c r="AE253">
        <v>2</v>
      </c>
      <c r="AF253" t="s">
        <v>148</v>
      </c>
      <c r="AG253">
        <v>5.625</v>
      </c>
      <c r="AH253">
        <v>2</v>
      </c>
      <c r="AI253">
        <v>145040400</v>
      </c>
      <c r="AJ253">
        <v>223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</row>
    <row r="254" spans="1:44" x14ac:dyDescent="0.2">
      <c r="A254">
        <f>ROW(Source!A205)</f>
        <v>205</v>
      </c>
      <c r="B254">
        <v>145040412</v>
      </c>
      <c r="C254">
        <v>145040398</v>
      </c>
      <c r="D254">
        <v>140923105</v>
      </c>
      <c r="E254">
        <v>1</v>
      </c>
      <c r="F254">
        <v>1</v>
      </c>
      <c r="G254">
        <v>1</v>
      </c>
      <c r="H254">
        <v>2</v>
      </c>
      <c r="I254" t="s">
        <v>710</v>
      </c>
      <c r="J254" t="s">
        <v>711</v>
      </c>
      <c r="K254" t="s">
        <v>712</v>
      </c>
      <c r="L254">
        <v>1367</v>
      </c>
      <c r="N254">
        <v>1011</v>
      </c>
      <c r="O254" t="s">
        <v>614</v>
      </c>
      <c r="P254" t="s">
        <v>614</v>
      </c>
      <c r="Q254">
        <v>1</v>
      </c>
      <c r="X254">
        <v>0.36</v>
      </c>
      <c r="Y254">
        <v>0</v>
      </c>
      <c r="Z254">
        <v>89.99</v>
      </c>
      <c r="AA254">
        <v>10.06</v>
      </c>
      <c r="AB254">
        <v>0</v>
      </c>
      <c r="AC254">
        <v>0</v>
      </c>
      <c r="AD254">
        <v>1</v>
      </c>
      <c r="AE254">
        <v>0</v>
      </c>
      <c r="AF254" t="s">
        <v>148</v>
      </c>
      <c r="AG254">
        <v>0.44999999999999996</v>
      </c>
      <c r="AH254">
        <v>2</v>
      </c>
      <c r="AI254">
        <v>145040401</v>
      </c>
      <c r="AJ254">
        <v>224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</row>
    <row r="255" spans="1:44" x14ac:dyDescent="0.2">
      <c r="A255">
        <f>ROW(Source!A205)</f>
        <v>205</v>
      </c>
      <c r="B255">
        <v>145040413</v>
      </c>
      <c r="C255">
        <v>145040398</v>
      </c>
      <c r="D255">
        <v>140923145</v>
      </c>
      <c r="E255">
        <v>1</v>
      </c>
      <c r="F255">
        <v>1</v>
      </c>
      <c r="G255">
        <v>1</v>
      </c>
      <c r="H255">
        <v>2</v>
      </c>
      <c r="I255" t="s">
        <v>611</v>
      </c>
      <c r="J255" t="s">
        <v>612</v>
      </c>
      <c r="K255" t="s">
        <v>613</v>
      </c>
      <c r="L255">
        <v>1367</v>
      </c>
      <c r="N255">
        <v>1011</v>
      </c>
      <c r="O255" t="s">
        <v>614</v>
      </c>
      <c r="P255" t="s">
        <v>614</v>
      </c>
      <c r="Q255">
        <v>1</v>
      </c>
      <c r="X255">
        <v>2.2999999999999998</v>
      </c>
      <c r="Y255">
        <v>0</v>
      </c>
      <c r="Z255">
        <v>31.26</v>
      </c>
      <c r="AA255">
        <v>13.5</v>
      </c>
      <c r="AB255">
        <v>0</v>
      </c>
      <c r="AC255">
        <v>0</v>
      </c>
      <c r="AD255">
        <v>1</v>
      </c>
      <c r="AE255">
        <v>0</v>
      </c>
      <c r="AF255" t="s">
        <v>148</v>
      </c>
      <c r="AG255">
        <v>2.875</v>
      </c>
      <c r="AH255">
        <v>2</v>
      </c>
      <c r="AI255">
        <v>145040402</v>
      </c>
      <c r="AJ255">
        <v>225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</row>
    <row r="256" spans="1:44" x14ac:dyDescent="0.2">
      <c r="A256">
        <f>ROW(Source!A205)</f>
        <v>205</v>
      </c>
      <c r="B256">
        <v>145040414</v>
      </c>
      <c r="C256">
        <v>145040398</v>
      </c>
      <c r="D256">
        <v>140923268</v>
      </c>
      <c r="E256">
        <v>1</v>
      </c>
      <c r="F256">
        <v>1</v>
      </c>
      <c r="G256">
        <v>1</v>
      </c>
      <c r="H256">
        <v>2</v>
      </c>
      <c r="I256" t="s">
        <v>713</v>
      </c>
      <c r="J256" t="s">
        <v>714</v>
      </c>
      <c r="K256" t="s">
        <v>715</v>
      </c>
      <c r="L256">
        <v>1367</v>
      </c>
      <c r="N256">
        <v>1011</v>
      </c>
      <c r="O256" t="s">
        <v>614</v>
      </c>
      <c r="P256" t="s">
        <v>614</v>
      </c>
      <c r="Q256">
        <v>1</v>
      </c>
      <c r="X256">
        <v>1.56</v>
      </c>
      <c r="Y256">
        <v>0</v>
      </c>
      <c r="Z256">
        <v>12.39</v>
      </c>
      <c r="AA256">
        <v>10.06</v>
      </c>
      <c r="AB256">
        <v>0</v>
      </c>
      <c r="AC256">
        <v>0</v>
      </c>
      <c r="AD256">
        <v>1</v>
      </c>
      <c r="AE256">
        <v>0</v>
      </c>
      <c r="AF256" t="s">
        <v>148</v>
      </c>
      <c r="AG256">
        <v>1.9500000000000002</v>
      </c>
      <c r="AH256">
        <v>2</v>
      </c>
      <c r="AI256">
        <v>145040403</v>
      </c>
      <c r="AJ256">
        <v>226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</row>
    <row r="257" spans="1:44" x14ac:dyDescent="0.2">
      <c r="A257">
        <f>ROW(Source!A205)</f>
        <v>205</v>
      </c>
      <c r="B257">
        <v>145040415</v>
      </c>
      <c r="C257">
        <v>145040398</v>
      </c>
      <c r="D257">
        <v>140923885</v>
      </c>
      <c r="E257">
        <v>1</v>
      </c>
      <c r="F257">
        <v>1</v>
      </c>
      <c r="G257">
        <v>1</v>
      </c>
      <c r="H257">
        <v>2</v>
      </c>
      <c r="I257" t="s">
        <v>668</v>
      </c>
      <c r="J257" t="s">
        <v>669</v>
      </c>
      <c r="K257" t="s">
        <v>670</v>
      </c>
      <c r="L257">
        <v>1367</v>
      </c>
      <c r="N257">
        <v>1011</v>
      </c>
      <c r="O257" t="s">
        <v>614</v>
      </c>
      <c r="P257" t="s">
        <v>614</v>
      </c>
      <c r="Q257">
        <v>1</v>
      </c>
      <c r="X257">
        <v>0.28000000000000003</v>
      </c>
      <c r="Y257">
        <v>0</v>
      </c>
      <c r="Z257">
        <v>65.709999999999994</v>
      </c>
      <c r="AA257">
        <v>11.6</v>
      </c>
      <c r="AB257">
        <v>0</v>
      </c>
      <c r="AC257">
        <v>0</v>
      </c>
      <c r="AD257">
        <v>1</v>
      </c>
      <c r="AE257">
        <v>0</v>
      </c>
      <c r="AF257" t="s">
        <v>148</v>
      </c>
      <c r="AG257">
        <v>0.35000000000000003</v>
      </c>
      <c r="AH257">
        <v>2</v>
      </c>
      <c r="AI257">
        <v>145040404</v>
      </c>
      <c r="AJ257">
        <v>227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</row>
    <row r="258" spans="1:44" x14ac:dyDescent="0.2">
      <c r="A258">
        <f>ROW(Source!A205)</f>
        <v>205</v>
      </c>
      <c r="B258">
        <v>145040416</v>
      </c>
      <c r="C258">
        <v>145040398</v>
      </c>
      <c r="D258">
        <v>140772680</v>
      </c>
      <c r="E258">
        <v>1</v>
      </c>
      <c r="F258">
        <v>1</v>
      </c>
      <c r="G258">
        <v>1</v>
      </c>
      <c r="H258">
        <v>3</v>
      </c>
      <c r="I258" t="s">
        <v>635</v>
      </c>
      <c r="J258" t="s">
        <v>636</v>
      </c>
      <c r="K258" t="s">
        <v>637</v>
      </c>
      <c r="L258">
        <v>1339</v>
      </c>
      <c r="N258">
        <v>1007</v>
      </c>
      <c r="O258" t="s">
        <v>638</v>
      </c>
      <c r="P258" t="s">
        <v>638</v>
      </c>
      <c r="Q258">
        <v>1</v>
      </c>
      <c r="X258">
        <v>0.1</v>
      </c>
      <c r="Y258">
        <v>2.44</v>
      </c>
      <c r="Z258">
        <v>0</v>
      </c>
      <c r="AA258">
        <v>0</v>
      </c>
      <c r="AB258">
        <v>0</v>
      </c>
      <c r="AC258">
        <v>0</v>
      </c>
      <c r="AD258">
        <v>1</v>
      </c>
      <c r="AE258">
        <v>0</v>
      </c>
      <c r="AF258" t="s">
        <v>3</v>
      </c>
      <c r="AG258">
        <v>0.1</v>
      </c>
      <c r="AH258">
        <v>2</v>
      </c>
      <c r="AI258">
        <v>145040405</v>
      </c>
      <c r="AJ258">
        <v>228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</row>
    <row r="259" spans="1:44" x14ac:dyDescent="0.2">
      <c r="A259">
        <f>ROW(Source!A205)</f>
        <v>205</v>
      </c>
      <c r="B259">
        <v>145040417</v>
      </c>
      <c r="C259">
        <v>145040398</v>
      </c>
      <c r="D259">
        <v>140776226</v>
      </c>
      <c r="E259">
        <v>1</v>
      </c>
      <c r="F259">
        <v>1</v>
      </c>
      <c r="G259">
        <v>1</v>
      </c>
      <c r="H259">
        <v>3</v>
      </c>
      <c r="I259" t="s">
        <v>680</v>
      </c>
      <c r="J259" t="s">
        <v>681</v>
      </c>
      <c r="K259" t="s">
        <v>682</v>
      </c>
      <c r="L259">
        <v>1346</v>
      </c>
      <c r="N259">
        <v>1009</v>
      </c>
      <c r="O259" t="s">
        <v>154</v>
      </c>
      <c r="P259" t="s">
        <v>154</v>
      </c>
      <c r="Q259">
        <v>1</v>
      </c>
      <c r="X259">
        <v>0.5</v>
      </c>
      <c r="Y259">
        <v>1.82</v>
      </c>
      <c r="Z259">
        <v>0</v>
      </c>
      <c r="AA259">
        <v>0</v>
      </c>
      <c r="AB259">
        <v>0</v>
      </c>
      <c r="AC259">
        <v>0</v>
      </c>
      <c r="AD259">
        <v>1</v>
      </c>
      <c r="AE259">
        <v>0</v>
      </c>
      <c r="AF259" t="s">
        <v>3</v>
      </c>
      <c r="AG259">
        <v>0.5</v>
      </c>
      <c r="AH259">
        <v>2</v>
      </c>
      <c r="AI259">
        <v>145040406</v>
      </c>
      <c r="AJ259">
        <v>229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</row>
    <row r="260" spans="1:44" x14ac:dyDescent="0.2">
      <c r="A260">
        <f>ROW(Source!A205)</f>
        <v>205</v>
      </c>
      <c r="B260">
        <v>145040418</v>
      </c>
      <c r="C260">
        <v>145040398</v>
      </c>
      <c r="D260">
        <v>140778268</v>
      </c>
      <c r="E260">
        <v>1</v>
      </c>
      <c r="F260">
        <v>1</v>
      </c>
      <c r="G260">
        <v>1</v>
      </c>
      <c r="H260">
        <v>3</v>
      </c>
      <c r="I260" t="s">
        <v>170</v>
      </c>
      <c r="J260" t="s">
        <v>172</v>
      </c>
      <c r="K260" t="s">
        <v>171</v>
      </c>
      <c r="L260">
        <v>1348</v>
      </c>
      <c r="N260">
        <v>1009</v>
      </c>
      <c r="O260" t="s">
        <v>49</v>
      </c>
      <c r="P260" t="s">
        <v>49</v>
      </c>
      <c r="Q260">
        <v>1000</v>
      </c>
      <c r="X260">
        <v>0.05</v>
      </c>
      <c r="Y260">
        <v>6513</v>
      </c>
      <c r="Z260">
        <v>0</v>
      </c>
      <c r="AA260">
        <v>0</v>
      </c>
      <c r="AB260">
        <v>0</v>
      </c>
      <c r="AC260">
        <v>0</v>
      </c>
      <c r="AD260">
        <v>1</v>
      </c>
      <c r="AE260">
        <v>0</v>
      </c>
      <c r="AF260" t="s">
        <v>3</v>
      </c>
      <c r="AG260">
        <v>0.05</v>
      </c>
      <c r="AH260">
        <v>2</v>
      </c>
      <c r="AI260">
        <v>145040407</v>
      </c>
      <c r="AJ260">
        <v>230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</row>
    <row r="261" spans="1:44" x14ac:dyDescent="0.2">
      <c r="A261">
        <f>ROW(Source!A205)</f>
        <v>205</v>
      </c>
      <c r="B261">
        <v>145040419</v>
      </c>
      <c r="C261">
        <v>145040398</v>
      </c>
      <c r="D261">
        <v>140788123</v>
      </c>
      <c r="E261">
        <v>1</v>
      </c>
      <c r="F261">
        <v>1</v>
      </c>
      <c r="G261">
        <v>1</v>
      </c>
      <c r="H261">
        <v>3</v>
      </c>
      <c r="I261" t="s">
        <v>166</v>
      </c>
      <c r="J261" t="s">
        <v>168</v>
      </c>
      <c r="K261" t="s">
        <v>167</v>
      </c>
      <c r="L261">
        <v>1327</v>
      </c>
      <c r="N261">
        <v>1005</v>
      </c>
      <c r="O261" t="s">
        <v>72</v>
      </c>
      <c r="P261" t="s">
        <v>72</v>
      </c>
      <c r="Q261">
        <v>1</v>
      </c>
      <c r="X261">
        <v>102</v>
      </c>
      <c r="Y261">
        <v>67.8</v>
      </c>
      <c r="Z261">
        <v>0</v>
      </c>
      <c r="AA261">
        <v>0</v>
      </c>
      <c r="AB261">
        <v>0</v>
      </c>
      <c r="AC261">
        <v>0</v>
      </c>
      <c r="AD261">
        <v>1</v>
      </c>
      <c r="AE261">
        <v>0</v>
      </c>
      <c r="AF261" t="s">
        <v>3</v>
      </c>
      <c r="AG261">
        <v>102</v>
      </c>
      <c r="AH261">
        <v>2</v>
      </c>
      <c r="AI261">
        <v>145040408</v>
      </c>
      <c r="AJ261">
        <v>231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</row>
    <row r="262" spans="1:44" x14ac:dyDescent="0.2">
      <c r="A262">
        <f>ROW(Source!A205)</f>
        <v>205</v>
      </c>
      <c r="B262">
        <v>145040420</v>
      </c>
      <c r="C262">
        <v>145040398</v>
      </c>
      <c r="D262">
        <v>140803309</v>
      </c>
      <c r="E262">
        <v>1</v>
      </c>
      <c r="F262">
        <v>1</v>
      </c>
      <c r="G262">
        <v>1</v>
      </c>
      <c r="H262">
        <v>3</v>
      </c>
      <c r="I262" t="s">
        <v>174</v>
      </c>
      <c r="J262" t="s">
        <v>176</v>
      </c>
      <c r="K262" t="s">
        <v>175</v>
      </c>
      <c r="L262">
        <v>1346</v>
      </c>
      <c r="N262">
        <v>1009</v>
      </c>
      <c r="O262" t="s">
        <v>154</v>
      </c>
      <c r="P262" t="s">
        <v>154</v>
      </c>
      <c r="Q262">
        <v>1</v>
      </c>
      <c r="X262">
        <v>450</v>
      </c>
      <c r="Y262">
        <v>1.37</v>
      </c>
      <c r="Z262">
        <v>0</v>
      </c>
      <c r="AA262">
        <v>0</v>
      </c>
      <c r="AB262">
        <v>0</v>
      </c>
      <c r="AC262">
        <v>0</v>
      </c>
      <c r="AD262">
        <v>1</v>
      </c>
      <c r="AE262">
        <v>0</v>
      </c>
      <c r="AF262" t="s">
        <v>3</v>
      </c>
      <c r="AG262">
        <v>450</v>
      </c>
      <c r="AH262">
        <v>2</v>
      </c>
      <c r="AI262">
        <v>145040409</v>
      </c>
      <c r="AJ262">
        <v>232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</row>
    <row r="263" spans="1:44" x14ac:dyDescent="0.2">
      <c r="A263">
        <f>ROW(Source!A212)</f>
        <v>212</v>
      </c>
      <c r="B263">
        <v>145027570</v>
      </c>
      <c r="C263">
        <v>145027567</v>
      </c>
      <c r="D263">
        <v>140759979</v>
      </c>
      <c r="E263">
        <v>70</v>
      </c>
      <c r="F263">
        <v>1</v>
      </c>
      <c r="G263">
        <v>1</v>
      </c>
      <c r="H263">
        <v>1</v>
      </c>
      <c r="I263" t="s">
        <v>698</v>
      </c>
      <c r="J263" t="s">
        <v>3</v>
      </c>
      <c r="K263" t="s">
        <v>699</v>
      </c>
      <c r="L263">
        <v>1191</v>
      </c>
      <c r="N263">
        <v>1013</v>
      </c>
      <c r="O263" t="s">
        <v>608</v>
      </c>
      <c r="P263" t="s">
        <v>608</v>
      </c>
      <c r="Q263">
        <v>1</v>
      </c>
      <c r="X263">
        <v>16.64</v>
      </c>
      <c r="Y263">
        <v>0</v>
      </c>
      <c r="Z263">
        <v>0</v>
      </c>
      <c r="AA263">
        <v>0</v>
      </c>
      <c r="AB263">
        <v>8.5299999999999994</v>
      </c>
      <c r="AC263">
        <v>0</v>
      </c>
      <c r="AD263">
        <v>1</v>
      </c>
      <c r="AE263">
        <v>1</v>
      </c>
      <c r="AF263" t="s">
        <v>149</v>
      </c>
      <c r="AG263">
        <v>19.135999999999999</v>
      </c>
      <c r="AH263">
        <v>2</v>
      </c>
      <c r="AI263">
        <v>145027568</v>
      </c>
      <c r="AJ263">
        <v>233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</row>
    <row r="264" spans="1:44" x14ac:dyDescent="0.2">
      <c r="A264">
        <f>ROW(Source!A212)</f>
        <v>212</v>
      </c>
      <c r="B264">
        <v>145027571</v>
      </c>
      <c r="C264">
        <v>145027567</v>
      </c>
      <c r="D264">
        <v>140775049</v>
      </c>
      <c r="E264">
        <v>1</v>
      </c>
      <c r="F264">
        <v>1</v>
      </c>
      <c r="G264">
        <v>1</v>
      </c>
      <c r="H264">
        <v>3</v>
      </c>
      <c r="I264" t="s">
        <v>725</v>
      </c>
      <c r="J264" t="s">
        <v>726</v>
      </c>
      <c r="K264" t="s">
        <v>727</v>
      </c>
      <c r="L264">
        <v>1425</v>
      </c>
      <c r="N264">
        <v>1013</v>
      </c>
      <c r="O264" t="s">
        <v>21</v>
      </c>
      <c r="P264" t="s">
        <v>21</v>
      </c>
      <c r="Q264">
        <v>1</v>
      </c>
      <c r="X264">
        <v>6.7</v>
      </c>
      <c r="Y264">
        <v>12</v>
      </c>
      <c r="Z264">
        <v>0</v>
      </c>
      <c r="AA264">
        <v>0</v>
      </c>
      <c r="AB264">
        <v>0</v>
      </c>
      <c r="AC264">
        <v>0</v>
      </c>
      <c r="AD264">
        <v>1</v>
      </c>
      <c r="AE264">
        <v>0</v>
      </c>
      <c r="AF264" t="s">
        <v>3</v>
      </c>
      <c r="AG264">
        <v>6.7</v>
      </c>
      <c r="AH264">
        <v>2</v>
      </c>
      <c r="AI264">
        <v>145027569</v>
      </c>
      <c r="AJ264">
        <v>234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</row>
    <row r="265" spans="1:44" x14ac:dyDescent="0.2">
      <c r="A265">
        <f>ROW(Source!A212)</f>
        <v>212</v>
      </c>
      <c r="B265">
        <v>145027572</v>
      </c>
      <c r="C265">
        <v>145027567</v>
      </c>
      <c r="D265">
        <v>140762466</v>
      </c>
      <c r="E265">
        <v>70</v>
      </c>
      <c r="F265">
        <v>1</v>
      </c>
      <c r="G265">
        <v>1</v>
      </c>
      <c r="H265">
        <v>3</v>
      </c>
      <c r="I265" t="s">
        <v>860</v>
      </c>
      <c r="J265" t="s">
        <v>3</v>
      </c>
      <c r="K265" t="s">
        <v>861</v>
      </c>
      <c r="L265">
        <v>1301</v>
      </c>
      <c r="N265">
        <v>1003</v>
      </c>
      <c r="O265" t="s">
        <v>191</v>
      </c>
      <c r="P265" t="s">
        <v>191</v>
      </c>
      <c r="Q265">
        <v>1</v>
      </c>
      <c r="X265">
        <v>105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 t="s">
        <v>3</v>
      </c>
      <c r="AG265">
        <v>105</v>
      </c>
      <c r="AH265">
        <v>3</v>
      </c>
      <c r="AI265">
        <v>-1</v>
      </c>
      <c r="AJ265" t="s">
        <v>3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</row>
    <row r="266" spans="1:44" x14ac:dyDescent="0.2">
      <c r="A266">
        <f>ROW(Source!A214)</f>
        <v>214</v>
      </c>
      <c r="B266">
        <v>145027576</v>
      </c>
      <c r="C266">
        <v>145027574</v>
      </c>
      <c r="D266">
        <v>140759909</v>
      </c>
      <c r="E266">
        <v>70</v>
      </c>
      <c r="F266">
        <v>1</v>
      </c>
      <c r="G266">
        <v>1</v>
      </c>
      <c r="H266">
        <v>1</v>
      </c>
      <c r="I266" t="s">
        <v>627</v>
      </c>
      <c r="J266" t="s">
        <v>3</v>
      </c>
      <c r="K266" t="s">
        <v>628</v>
      </c>
      <c r="L266">
        <v>1191</v>
      </c>
      <c r="N266">
        <v>1013</v>
      </c>
      <c r="O266" t="s">
        <v>608</v>
      </c>
      <c r="P266" t="s">
        <v>608</v>
      </c>
      <c r="Q266">
        <v>1</v>
      </c>
      <c r="X266">
        <v>0.57999999999999996</v>
      </c>
      <c r="Y266">
        <v>0</v>
      </c>
      <c r="Z266">
        <v>0</v>
      </c>
      <c r="AA266">
        <v>0</v>
      </c>
      <c r="AB266">
        <v>7.56</v>
      </c>
      <c r="AC266">
        <v>0</v>
      </c>
      <c r="AD266">
        <v>1</v>
      </c>
      <c r="AE266">
        <v>1</v>
      </c>
      <c r="AF266" t="s">
        <v>3</v>
      </c>
      <c r="AG266">
        <v>0.57999999999999996</v>
      </c>
      <c r="AH266">
        <v>2</v>
      </c>
      <c r="AI266">
        <v>145027575</v>
      </c>
      <c r="AJ266">
        <v>235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</row>
    <row r="267" spans="1:44" x14ac:dyDescent="0.2">
      <c r="A267">
        <f>ROW(Source!A215)</f>
        <v>215</v>
      </c>
      <c r="B267">
        <v>145027586</v>
      </c>
      <c r="C267">
        <v>145027577</v>
      </c>
      <c r="D267">
        <v>140760060</v>
      </c>
      <c r="E267">
        <v>70</v>
      </c>
      <c r="F267">
        <v>1</v>
      </c>
      <c r="G267">
        <v>1</v>
      </c>
      <c r="H267">
        <v>1</v>
      </c>
      <c r="I267" t="s">
        <v>798</v>
      </c>
      <c r="J267" t="s">
        <v>3</v>
      </c>
      <c r="K267" t="s">
        <v>799</v>
      </c>
      <c r="L267">
        <v>1191</v>
      </c>
      <c r="N267">
        <v>1013</v>
      </c>
      <c r="O267" t="s">
        <v>608</v>
      </c>
      <c r="P267" t="s">
        <v>608</v>
      </c>
      <c r="Q267">
        <v>1</v>
      </c>
      <c r="X267">
        <v>5.31</v>
      </c>
      <c r="Y267">
        <v>0</v>
      </c>
      <c r="Z267">
        <v>0</v>
      </c>
      <c r="AA267">
        <v>0</v>
      </c>
      <c r="AB267">
        <v>10.65</v>
      </c>
      <c r="AC267">
        <v>0</v>
      </c>
      <c r="AD267">
        <v>1</v>
      </c>
      <c r="AE267">
        <v>1</v>
      </c>
      <c r="AF267" t="s">
        <v>500</v>
      </c>
      <c r="AG267">
        <v>12.212999999999997</v>
      </c>
      <c r="AH267">
        <v>2</v>
      </c>
      <c r="AI267">
        <v>145027578</v>
      </c>
      <c r="AJ267">
        <v>236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</row>
    <row r="268" spans="1:44" x14ac:dyDescent="0.2">
      <c r="A268">
        <f>ROW(Source!A215)</f>
        <v>215</v>
      </c>
      <c r="B268">
        <v>145027587</v>
      </c>
      <c r="C268">
        <v>145027577</v>
      </c>
      <c r="D268">
        <v>140760225</v>
      </c>
      <c r="E268">
        <v>70</v>
      </c>
      <c r="F268">
        <v>1</v>
      </c>
      <c r="G268">
        <v>1</v>
      </c>
      <c r="H268">
        <v>1</v>
      </c>
      <c r="I268" t="s">
        <v>609</v>
      </c>
      <c r="J268" t="s">
        <v>3</v>
      </c>
      <c r="K268" t="s">
        <v>610</v>
      </c>
      <c r="L268">
        <v>1191</v>
      </c>
      <c r="N268">
        <v>1013</v>
      </c>
      <c r="O268" t="s">
        <v>608</v>
      </c>
      <c r="P268" t="s">
        <v>608</v>
      </c>
      <c r="Q268">
        <v>1</v>
      </c>
      <c r="X268">
        <v>0.02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1</v>
      </c>
      <c r="AE268">
        <v>2</v>
      </c>
      <c r="AF268" t="s">
        <v>499</v>
      </c>
      <c r="AG268">
        <v>0.05</v>
      </c>
      <c r="AH268">
        <v>2</v>
      </c>
      <c r="AI268">
        <v>145027579</v>
      </c>
      <c r="AJ268">
        <v>237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</row>
    <row r="269" spans="1:44" x14ac:dyDescent="0.2">
      <c r="A269">
        <f>ROW(Source!A215)</f>
        <v>215</v>
      </c>
      <c r="B269">
        <v>145027588</v>
      </c>
      <c r="C269">
        <v>145027577</v>
      </c>
      <c r="D269">
        <v>140923086</v>
      </c>
      <c r="E269">
        <v>1</v>
      </c>
      <c r="F269">
        <v>1</v>
      </c>
      <c r="G269">
        <v>1</v>
      </c>
      <c r="H269">
        <v>2</v>
      </c>
      <c r="I269" t="s">
        <v>800</v>
      </c>
      <c r="J269" t="s">
        <v>801</v>
      </c>
      <c r="K269" t="s">
        <v>802</v>
      </c>
      <c r="L269">
        <v>1367</v>
      </c>
      <c r="N269">
        <v>1011</v>
      </c>
      <c r="O269" t="s">
        <v>614</v>
      </c>
      <c r="P269" t="s">
        <v>614</v>
      </c>
      <c r="Q269">
        <v>1</v>
      </c>
      <c r="X269">
        <v>0.01</v>
      </c>
      <c r="Y269">
        <v>0</v>
      </c>
      <c r="Z269">
        <v>1.7</v>
      </c>
      <c r="AA269">
        <v>0</v>
      </c>
      <c r="AB269">
        <v>0</v>
      </c>
      <c r="AC269">
        <v>0</v>
      </c>
      <c r="AD269">
        <v>1</v>
      </c>
      <c r="AE269">
        <v>0</v>
      </c>
      <c r="AF269" t="s">
        <v>499</v>
      </c>
      <c r="AG269">
        <v>2.5000000000000001E-2</v>
      </c>
      <c r="AH269">
        <v>2</v>
      </c>
      <c r="AI269">
        <v>145027580</v>
      </c>
      <c r="AJ269">
        <v>238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</row>
    <row r="270" spans="1:44" x14ac:dyDescent="0.2">
      <c r="A270">
        <f>ROW(Source!A215)</f>
        <v>215</v>
      </c>
      <c r="B270">
        <v>145027589</v>
      </c>
      <c r="C270">
        <v>145027577</v>
      </c>
      <c r="D270">
        <v>140923105</v>
      </c>
      <c r="E270">
        <v>1</v>
      </c>
      <c r="F270">
        <v>1</v>
      </c>
      <c r="G270">
        <v>1</v>
      </c>
      <c r="H270">
        <v>2</v>
      </c>
      <c r="I270" t="s">
        <v>710</v>
      </c>
      <c r="J270" t="s">
        <v>711</v>
      </c>
      <c r="K270" t="s">
        <v>712</v>
      </c>
      <c r="L270">
        <v>1367</v>
      </c>
      <c r="N270">
        <v>1011</v>
      </c>
      <c r="O270" t="s">
        <v>614</v>
      </c>
      <c r="P270" t="s">
        <v>614</v>
      </c>
      <c r="Q270">
        <v>1</v>
      </c>
      <c r="X270">
        <v>0.01</v>
      </c>
      <c r="Y270">
        <v>0</v>
      </c>
      <c r="Z270">
        <v>89.99</v>
      </c>
      <c r="AA270">
        <v>10.06</v>
      </c>
      <c r="AB270">
        <v>0</v>
      </c>
      <c r="AC270">
        <v>0</v>
      </c>
      <c r="AD270">
        <v>1</v>
      </c>
      <c r="AE270">
        <v>0</v>
      </c>
      <c r="AF270" t="s">
        <v>499</v>
      </c>
      <c r="AG270">
        <v>2.5000000000000001E-2</v>
      </c>
      <c r="AH270">
        <v>2</v>
      </c>
      <c r="AI270">
        <v>145027581</v>
      </c>
      <c r="AJ270">
        <v>239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</row>
    <row r="271" spans="1:44" x14ac:dyDescent="0.2">
      <c r="A271">
        <f>ROW(Source!A215)</f>
        <v>215</v>
      </c>
      <c r="B271">
        <v>145027590</v>
      </c>
      <c r="C271">
        <v>145027577</v>
      </c>
      <c r="D271">
        <v>140923885</v>
      </c>
      <c r="E271">
        <v>1</v>
      </c>
      <c r="F271">
        <v>1</v>
      </c>
      <c r="G271">
        <v>1</v>
      </c>
      <c r="H271">
        <v>2</v>
      </c>
      <c r="I271" t="s">
        <v>668</v>
      </c>
      <c r="J271" t="s">
        <v>669</v>
      </c>
      <c r="K271" t="s">
        <v>670</v>
      </c>
      <c r="L271">
        <v>1367</v>
      </c>
      <c r="N271">
        <v>1011</v>
      </c>
      <c r="O271" t="s">
        <v>614</v>
      </c>
      <c r="P271" t="s">
        <v>614</v>
      </c>
      <c r="Q271">
        <v>1</v>
      </c>
      <c r="X271">
        <v>0.01</v>
      </c>
      <c r="Y271">
        <v>0</v>
      </c>
      <c r="Z271">
        <v>65.709999999999994</v>
      </c>
      <c r="AA271">
        <v>11.6</v>
      </c>
      <c r="AB271">
        <v>0</v>
      </c>
      <c r="AC271">
        <v>0</v>
      </c>
      <c r="AD271">
        <v>1</v>
      </c>
      <c r="AE271">
        <v>0</v>
      </c>
      <c r="AF271" t="s">
        <v>499</v>
      </c>
      <c r="AG271">
        <v>2.5000000000000001E-2</v>
      </c>
      <c r="AH271">
        <v>2</v>
      </c>
      <c r="AI271">
        <v>145027582</v>
      </c>
      <c r="AJ271">
        <v>240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</row>
    <row r="272" spans="1:44" x14ac:dyDescent="0.2">
      <c r="A272">
        <f>ROW(Source!A215)</f>
        <v>215</v>
      </c>
      <c r="B272">
        <v>145027591</v>
      </c>
      <c r="C272">
        <v>145027577</v>
      </c>
      <c r="D272">
        <v>140924526</v>
      </c>
      <c r="E272">
        <v>1</v>
      </c>
      <c r="F272">
        <v>1</v>
      </c>
      <c r="G272">
        <v>1</v>
      </c>
      <c r="H272">
        <v>2</v>
      </c>
      <c r="I272" t="s">
        <v>705</v>
      </c>
      <c r="J272" t="s">
        <v>706</v>
      </c>
      <c r="K272" t="s">
        <v>707</v>
      </c>
      <c r="L272">
        <v>1367</v>
      </c>
      <c r="N272">
        <v>1011</v>
      </c>
      <c r="O272" t="s">
        <v>614</v>
      </c>
      <c r="P272" t="s">
        <v>614</v>
      </c>
      <c r="Q272">
        <v>1</v>
      </c>
      <c r="X272">
        <v>1.1200000000000001</v>
      </c>
      <c r="Y272">
        <v>0</v>
      </c>
      <c r="Z272">
        <v>6.82</v>
      </c>
      <c r="AA272">
        <v>0</v>
      </c>
      <c r="AB272">
        <v>0</v>
      </c>
      <c r="AC272">
        <v>0</v>
      </c>
      <c r="AD272">
        <v>1</v>
      </c>
      <c r="AE272">
        <v>0</v>
      </c>
      <c r="AF272" t="s">
        <v>499</v>
      </c>
      <c r="AG272">
        <v>2.8000000000000003</v>
      </c>
      <c r="AH272">
        <v>2</v>
      </c>
      <c r="AI272">
        <v>145027583</v>
      </c>
      <c r="AJ272">
        <v>241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</row>
    <row r="273" spans="1:44" x14ac:dyDescent="0.2">
      <c r="A273">
        <f>ROW(Source!A215)</f>
        <v>215</v>
      </c>
      <c r="B273">
        <v>145027592</v>
      </c>
      <c r="C273">
        <v>145027577</v>
      </c>
      <c r="D273">
        <v>140804058</v>
      </c>
      <c r="E273">
        <v>1</v>
      </c>
      <c r="F273">
        <v>1</v>
      </c>
      <c r="G273">
        <v>1</v>
      </c>
      <c r="H273">
        <v>3</v>
      </c>
      <c r="I273" t="s">
        <v>803</v>
      </c>
      <c r="J273" t="s">
        <v>804</v>
      </c>
      <c r="K273" t="s">
        <v>805</v>
      </c>
      <c r="L273">
        <v>1348</v>
      </c>
      <c r="N273">
        <v>1009</v>
      </c>
      <c r="O273" t="s">
        <v>49</v>
      </c>
      <c r="P273" t="s">
        <v>49</v>
      </c>
      <c r="Q273">
        <v>1000</v>
      </c>
      <c r="X273">
        <v>8.9999999999999993E-3</v>
      </c>
      <c r="Y273">
        <v>15620</v>
      </c>
      <c r="Z273">
        <v>0</v>
      </c>
      <c r="AA273">
        <v>0</v>
      </c>
      <c r="AB273">
        <v>0</v>
      </c>
      <c r="AC273">
        <v>0</v>
      </c>
      <c r="AD273">
        <v>1</v>
      </c>
      <c r="AE273">
        <v>0</v>
      </c>
      <c r="AF273" t="s">
        <v>498</v>
      </c>
      <c r="AG273">
        <v>1.7999999999999999E-2</v>
      </c>
      <c r="AH273">
        <v>2</v>
      </c>
      <c r="AI273">
        <v>145027584</v>
      </c>
      <c r="AJ273">
        <v>242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</row>
    <row r="274" spans="1:44" x14ac:dyDescent="0.2">
      <c r="A274">
        <f>ROW(Source!A215)</f>
        <v>215</v>
      </c>
      <c r="B274">
        <v>145027593</v>
      </c>
      <c r="C274">
        <v>145027577</v>
      </c>
      <c r="D274">
        <v>140805125</v>
      </c>
      <c r="E274">
        <v>1</v>
      </c>
      <c r="F274">
        <v>1</v>
      </c>
      <c r="G274">
        <v>1</v>
      </c>
      <c r="H274">
        <v>3</v>
      </c>
      <c r="I274" t="s">
        <v>806</v>
      </c>
      <c r="J274" t="s">
        <v>807</v>
      </c>
      <c r="K274" t="s">
        <v>808</v>
      </c>
      <c r="L274">
        <v>1348</v>
      </c>
      <c r="N274">
        <v>1009</v>
      </c>
      <c r="O274" t="s">
        <v>49</v>
      </c>
      <c r="P274" t="s">
        <v>49</v>
      </c>
      <c r="Q274">
        <v>1000</v>
      </c>
      <c r="X274">
        <v>1.5E-3</v>
      </c>
      <c r="Y274">
        <v>7640</v>
      </c>
      <c r="Z274">
        <v>0</v>
      </c>
      <c r="AA274">
        <v>0</v>
      </c>
      <c r="AB274">
        <v>0</v>
      </c>
      <c r="AC274">
        <v>0</v>
      </c>
      <c r="AD274">
        <v>1</v>
      </c>
      <c r="AE274">
        <v>0</v>
      </c>
      <c r="AF274" t="s">
        <v>498</v>
      </c>
      <c r="AG274">
        <v>3.0000000000000001E-3</v>
      </c>
      <c r="AH274">
        <v>2</v>
      </c>
      <c r="AI274">
        <v>145027585</v>
      </c>
      <c r="AJ274">
        <v>243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</row>
    <row r="275" spans="1:44" x14ac:dyDescent="0.2">
      <c r="A275">
        <f>ROW(Source!A216)</f>
        <v>216</v>
      </c>
      <c r="B275">
        <v>145027603</v>
      </c>
      <c r="C275">
        <v>145027594</v>
      </c>
      <c r="D275">
        <v>140760001</v>
      </c>
      <c r="E275">
        <v>70</v>
      </c>
      <c r="F275">
        <v>1</v>
      </c>
      <c r="G275">
        <v>1</v>
      </c>
      <c r="H275">
        <v>1</v>
      </c>
      <c r="I275" t="s">
        <v>735</v>
      </c>
      <c r="J275" t="s">
        <v>3</v>
      </c>
      <c r="K275" t="s">
        <v>736</v>
      </c>
      <c r="L275">
        <v>1191</v>
      </c>
      <c r="N275">
        <v>1013</v>
      </c>
      <c r="O275" t="s">
        <v>608</v>
      </c>
      <c r="P275" t="s">
        <v>608</v>
      </c>
      <c r="Q275">
        <v>1</v>
      </c>
      <c r="X275">
        <v>2.13</v>
      </c>
      <c r="Y275">
        <v>0</v>
      </c>
      <c r="Z275">
        <v>0</v>
      </c>
      <c r="AA275">
        <v>0</v>
      </c>
      <c r="AB275">
        <v>9.07</v>
      </c>
      <c r="AC275">
        <v>0</v>
      </c>
      <c r="AD275">
        <v>1</v>
      </c>
      <c r="AE275">
        <v>1</v>
      </c>
      <c r="AF275" t="s">
        <v>500</v>
      </c>
      <c r="AG275">
        <v>4.8989999999999991</v>
      </c>
      <c r="AH275">
        <v>2</v>
      </c>
      <c r="AI275">
        <v>145027595</v>
      </c>
      <c r="AJ275">
        <v>244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</row>
    <row r="276" spans="1:44" x14ac:dyDescent="0.2">
      <c r="A276">
        <f>ROW(Source!A216)</f>
        <v>216</v>
      </c>
      <c r="B276">
        <v>145027604</v>
      </c>
      <c r="C276">
        <v>145027594</v>
      </c>
      <c r="D276">
        <v>140760225</v>
      </c>
      <c r="E276">
        <v>70</v>
      </c>
      <c r="F276">
        <v>1</v>
      </c>
      <c r="G276">
        <v>1</v>
      </c>
      <c r="H276">
        <v>1</v>
      </c>
      <c r="I276" t="s">
        <v>609</v>
      </c>
      <c r="J276" t="s">
        <v>3</v>
      </c>
      <c r="K276" t="s">
        <v>610</v>
      </c>
      <c r="L276">
        <v>1191</v>
      </c>
      <c r="N276">
        <v>1013</v>
      </c>
      <c r="O276" t="s">
        <v>608</v>
      </c>
      <c r="P276" t="s">
        <v>608</v>
      </c>
      <c r="Q276">
        <v>1</v>
      </c>
      <c r="X276">
        <v>0.02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1</v>
      </c>
      <c r="AE276">
        <v>2</v>
      </c>
      <c r="AF276" t="s">
        <v>499</v>
      </c>
      <c r="AG276">
        <v>0.05</v>
      </c>
      <c r="AH276">
        <v>2</v>
      </c>
      <c r="AI276">
        <v>145027596</v>
      </c>
      <c r="AJ276">
        <v>245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</row>
    <row r="277" spans="1:44" x14ac:dyDescent="0.2">
      <c r="A277">
        <f>ROW(Source!A216)</f>
        <v>216</v>
      </c>
      <c r="B277">
        <v>145027605</v>
      </c>
      <c r="C277">
        <v>145027594</v>
      </c>
      <c r="D277">
        <v>140923086</v>
      </c>
      <c r="E277">
        <v>1</v>
      </c>
      <c r="F277">
        <v>1</v>
      </c>
      <c r="G277">
        <v>1</v>
      </c>
      <c r="H277">
        <v>2</v>
      </c>
      <c r="I277" t="s">
        <v>800</v>
      </c>
      <c r="J277" t="s">
        <v>801</v>
      </c>
      <c r="K277" t="s">
        <v>802</v>
      </c>
      <c r="L277">
        <v>1367</v>
      </c>
      <c r="N277">
        <v>1011</v>
      </c>
      <c r="O277" t="s">
        <v>614</v>
      </c>
      <c r="P277" t="s">
        <v>614</v>
      </c>
      <c r="Q277">
        <v>1</v>
      </c>
      <c r="X277">
        <v>0.01</v>
      </c>
      <c r="Y277">
        <v>0</v>
      </c>
      <c r="Z277">
        <v>1.7</v>
      </c>
      <c r="AA277">
        <v>0</v>
      </c>
      <c r="AB277">
        <v>0</v>
      </c>
      <c r="AC277">
        <v>0</v>
      </c>
      <c r="AD277">
        <v>1</v>
      </c>
      <c r="AE277">
        <v>0</v>
      </c>
      <c r="AF277" t="s">
        <v>499</v>
      </c>
      <c r="AG277">
        <v>2.5000000000000001E-2</v>
      </c>
      <c r="AH277">
        <v>2</v>
      </c>
      <c r="AI277">
        <v>145027597</v>
      </c>
      <c r="AJ277">
        <v>246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</row>
    <row r="278" spans="1:44" x14ac:dyDescent="0.2">
      <c r="A278">
        <f>ROW(Source!A216)</f>
        <v>216</v>
      </c>
      <c r="B278">
        <v>145027606</v>
      </c>
      <c r="C278">
        <v>145027594</v>
      </c>
      <c r="D278">
        <v>140923105</v>
      </c>
      <c r="E278">
        <v>1</v>
      </c>
      <c r="F278">
        <v>1</v>
      </c>
      <c r="G278">
        <v>1</v>
      </c>
      <c r="H278">
        <v>2</v>
      </c>
      <c r="I278" t="s">
        <v>710</v>
      </c>
      <c r="J278" t="s">
        <v>711</v>
      </c>
      <c r="K278" t="s">
        <v>712</v>
      </c>
      <c r="L278">
        <v>1367</v>
      </c>
      <c r="N278">
        <v>1011</v>
      </c>
      <c r="O278" t="s">
        <v>614</v>
      </c>
      <c r="P278" t="s">
        <v>614</v>
      </c>
      <c r="Q278">
        <v>1</v>
      </c>
      <c r="X278">
        <v>0.01</v>
      </c>
      <c r="Y278">
        <v>0</v>
      </c>
      <c r="Z278">
        <v>89.99</v>
      </c>
      <c r="AA278">
        <v>10.06</v>
      </c>
      <c r="AB278">
        <v>0</v>
      </c>
      <c r="AC278">
        <v>0</v>
      </c>
      <c r="AD278">
        <v>1</v>
      </c>
      <c r="AE278">
        <v>0</v>
      </c>
      <c r="AF278" t="s">
        <v>499</v>
      </c>
      <c r="AG278">
        <v>2.5000000000000001E-2</v>
      </c>
      <c r="AH278">
        <v>2</v>
      </c>
      <c r="AI278">
        <v>145027598</v>
      </c>
      <c r="AJ278">
        <v>247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</row>
    <row r="279" spans="1:44" x14ac:dyDescent="0.2">
      <c r="A279">
        <f>ROW(Source!A216)</f>
        <v>216</v>
      </c>
      <c r="B279">
        <v>145027607</v>
      </c>
      <c r="C279">
        <v>145027594</v>
      </c>
      <c r="D279">
        <v>140923885</v>
      </c>
      <c r="E279">
        <v>1</v>
      </c>
      <c r="F279">
        <v>1</v>
      </c>
      <c r="G279">
        <v>1</v>
      </c>
      <c r="H279">
        <v>2</v>
      </c>
      <c r="I279" t="s">
        <v>668</v>
      </c>
      <c r="J279" t="s">
        <v>669</v>
      </c>
      <c r="K279" t="s">
        <v>670</v>
      </c>
      <c r="L279">
        <v>1367</v>
      </c>
      <c r="N279">
        <v>1011</v>
      </c>
      <c r="O279" t="s">
        <v>614</v>
      </c>
      <c r="P279" t="s">
        <v>614</v>
      </c>
      <c r="Q279">
        <v>1</v>
      </c>
      <c r="X279">
        <v>0.01</v>
      </c>
      <c r="Y279">
        <v>0</v>
      </c>
      <c r="Z279">
        <v>65.709999999999994</v>
      </c>
      <c r="AA279">
        <v>11.6</v>
      </c>
      <c r="AB279">
        <v>0</v>
      </c>
      <c r="AC279">
        <v>0</v>
      </c>
      <c r="AD279">
        <v>1</v>
      </c>
      <c r="AE279">
        <v>0</v>
      </c>
      <c r="AF279" t="s">
        <v>499</v>
      </c>
      <c r="AG279">
        <v>2.5000000000000001E-2</v>
      </c>
      <c r="AH279">
        <v>2</v>
      </c>
      <c r="AI279">
        <v>145027599</v>
      </c>
      <c r="AJ279">
        <v>248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</row>
    <row r="280" spans="1:44" x14ac:dyDescent="0.2">
      <c r="A280">
        <f>ROW(Source!A216)</f>
        <v>216</v>
      </c>
      <c r="B280">
        <v>145027608</v>
      </c>
      <c r="C280">
        <v>145027594</v>
      </c>
      <c r="D280">
        <v>140924526</v>
      </c>
      <c r="E280">
        <v>1</v>
      </c>
      <c r="F280">
        <v>1</v>
      </c>
      <c r="G280">
        <v>1</v>
      </c>
      <c r="H280">
        <v>2</v>
      </c>
      <c r="I280" t="s">
        <v>705</v>
      </c>
      <c r="J280" t="s">
        <v>706</v>
      </c>
      <c r="K280" t="s">
        <v>707</v>
      </c>
      <c r="L280">
        <v>1367</v>
      </c>
      <c r="N280">
        <v>1011</v>
      </c>
      <c r="O280" t="s">
        <v>614</v>
      </c>
      <c r="P280" t="s">
        <v>614</v>
      </c>
      <c r="Q280">
        <v>1</v>
      </c>
      <c r="X280">
        <v>0.65</v>
      </c>
      <c r="Y280">
        <v>0</v>
      </c>
      <c r="Z280">
        <v>6.82</v>
      </c>
      <c r="AA280">
        <v>0</v>
      </c>
      <c r="AB280">
        <v>0</v>
      </c>
      <c r="AC280">
        <v>0</v>
      </c>
      <c r="AD280">
        <v>1</v>
      </c>
      <c r="AE280">
        <v>0</v>
      </c>
      <c r="AF280" t="s">
        <v>499</v>
      </c>
      <c r="AG280">
        <v>1.625</v>
      </c>
      <c r="AH280">
        <v>2</v>
      </c>
      <c r="AI280">
        <v>145027600</v>
      </c>
      <c r="AJ280">
        <v>249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</row>
    <row r="281" spans="1:44" x14ac:dyDescent="0.2">
      <c r="A281">
        <f>ROW(Source!A216)</f>
        <v>216</v>
      </c>
      <c r="B281">
        <v>145027609</v>
      </c>
      <c r="C281">
        <v>145027594</v>
      </c>
      <c r="D281">
        <v>140804609</v>
      </c>
      <c r="E281">
        <v>1</v>
      </c>
      <c r="F281">
        <v>1</v>
      </c>
      <c r="G281">
        <v>1</v>
      </c>
      <c r="H281">
        <v>3</v>
      </c>
      <c r="I281" t="s">
        <v>809</v>
      </c>
      <c r="J281" t="s">
        <v>810</v>
      </c>
      <c r="K281" t="s">
        <v>811</v>
      </c>
      <c r="L281">
        <v>1348</v>
      </c>
      <c r="N281">
        <v>1009</v>
      </c>
      <c r="O281" t="s">
        <v>49</v>
      </c>
      <c r="P281" t="s">
        <v>49</v>
      </c>
      <c r="Q281">
        <v>1000</v>
      </c>
      <c r="X281">
        <v>8.9999999999999993E-3</v>
      </c>
      <c r="Y281">
        <v>14312.87</v>
      </c>
      <c r="Z281">
        <v>0</v>
      </c>
      <c r="AA281">
        <v>0</v>
      </c>
      <c r="AB281">
        <v>0</v>
      </c>
      <c r="AC281">
        <v>0</v>
      </c>
      <c r="AD281">
        <v>1</v>
      </c>
      <c r="AE281">
        <v>0</v>
      </c>
      <c r="AF281" t="s">
        <v>498</v>
      </c>
      <c r="AG281">
        <v>1.7999999999999999E-2</v>
      </c>
      <c r="AH281">
        <v>2</v>
      </c>
      <c r="AI281">
        <v>145027601</v>
      </c>
      <c r="AJ281">
        <v>250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</row>
    <row r="282" spans="1:44" x14ac:dyDescent="0.2">
      <c r="A282">
        <f>ROW(Source!A216)</f>
        <v>216</v>
      </c>
      <c r="B282">
        <v>145027610</v>
      </c>
      <c r="C282">
        <v>145027594</v>
      </c>
      <c r="D282">
        <v>140805221</v>
      </c>
      <c r="E282">
        <v>1</v>
      </c>
      <c r="F282">
        <v>1</v>
      </c>
      <c r="G282">
        <v>1</v>
      </c>
      <c r="H282">
        <v>3</v>
      </c>
      <c r="I282" t="s">
        <v>812</v>
      </c>
      <c r="J282" t="s">
        <v>813</v>
      </c>
      <c r="K282" t="s">
        <v>814</v>
      </c>
      <c r="L282">
        <v>1346</v>
      </c>
      <c r="N282">
        <v>1009</v>
      </c>
      <c r="O282" t="s">
        <v>154</v>
      </c>
      <c r="P282" t="s">
        <v>154</v>
      </c>
      <c r="Q282">
        <v>1</v>
      </c>
      <c r="X282">
        <v>1.4</v>
      </c>
      <c r="Y282">
        <v>6.67</v>
      </c>
      <c r="Z282">
        <v>0</v>
      </c>
      <c r="AA282">
        <v>0</v>
      </c>
      <c r="AB282">
        <v>0</v>
      </c>
      <c r="AC282">
        <v>0</v>
      </c>
      <c r="AD282">
        <v>1</v>
      </c>
      <c r="AE282">
        <v>0</v>
      </c>
      <c r="AF282" t="s">
        <v>498</v>
      </c>
      <c r="AG282">
        <v>2.8</v>
      </c>
      <c r="AH282">
        <v>2</v>
      </c>
      <c r="AI282">
        <v>145027602</v>
      </c>
      <c r="AJ282">
        <v>251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ColWidth="9.140625" defaultRowHeight="12.75" x14ac:dyDescent="0.2"/>
  <cols>
    <col min="1" max="256" width="9.140625" customWidth="1"/>
  </cols>
  <sheetData/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Смета 12 гр. по ФЕР</vt:lpstr>
      <vt:lpstr>Source</vt:lpstr>
      <vt:lpstr>SourceObSm</vt:lpstr>
      <vt:lpstr>SmtRes</vt:lpstr>
      <vt:lpstr>EtalonRes</vt:lpstr>
      <vt:lpstr>SrcKA</vt:lpstr>
      <vt:lpstr>'Смета 12 гр. по ФЕР'!Заголовки_для_печати</vt:lpstr>
      <vt:lpstr>'Смета 12 гр. по ФЕР'!Область_печати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Сыров Сергей Георгиевич</dc:creator>
  <cp:lastModifiedBy>Сыров Сергей Георгиевич</cp:lastModifiedBy>
  <cp:lastPrinted>2024-04-09T07:38:59Z</cp:lastPrinted>
  <dcterms:created xsi:type="dcterms:W3CDTF">2024-04-09T07:28:08Z</dcterms:created>
  <dcterms:modified xsi:type="dcterms:W3CDTF">2024-04-10T05:30:44Z</dcterms:modified>
</cp:coreProperties>
</file>