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I:\ZSM_ALL\FS_ZSM\Служба по надзору за зданиями и сооружениями\касков 2023\рабочая\Ремонт кровли склад готовой продукции (мелзавод)\"/>
    </mc:Choice>
  </mc:AlternateContent>
  <xr:revisionPtr revIDLastSave="0" documentId="13_ncr:1_{285E7293-C9BF-4BE7-9482-CD54BB549486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Смета 12 гр. по ФЕР" sheetId="6" r:id="rId1"/>
    <sheet name="Source" sheetId="1" r:id="rId2"/>
    <sheet name="SourceObSm" sheetId="2" r:id="rId3"/>
    <sheet name="SmtRes" sheetId="3" r:id="rId4"/>
    <sheet name="EtalonRes" sheetId="4" r:id="rId5"/>
    <sheet name="SrcKA" sheetId="5" r:id="rId6"/>
  </sheets>
  <definedNames>
    <definedName name="_xlnm.Print_Titles" localSheetId="0">'Смета 12 гр. по ФЕР'!$34:$34</definedName>
    <definedName name="_xlnm.Print_Area" localSheetId="0">'Смета 12 гр. по ФЕР'!$A$1:$L$216</definedName>
  </definedNames>
  <calcPr calcId="191029"/>
</workbook>
</file>

<file path=xl/calcChain.xml><?xml version="1.0" encoding="utf-8"?>
<calcChain xmlns="http://schemas.openxmlformats.org/spreadsheetml/2006/main">
  <c r="J215" i="6" l="1"/>
  <c r="J214" i="6"/>
  <c r="A22" i="6" l="1"/>
  <c r="B15" i="6"/>
  <c r="C215" i="6" l="1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Z191" i="6"/>
  <c r="Y191" i="6"/>
  <c r="X191" i="6"/>
  <c r="J189" i="6"/>
  <c r="G189" i="6"/>
  <c r="F189" i="6"/>
  <c r="D189" i="6"/>
  <c r="I189" i="6"/>
  <c r="B189" i="6"/>
  <c r="Z188" i="6"/>
  <c r="Y188" i="6"/>
  <c r="X188" i="6"/>
  <c r="J187" i="6"/>
  <c r="G187" i="6"/>
  <c r="F187" i="6"/>
  <c r="D187" i="6"/>
  <c r="I187" i="6"/>
  <c r="C187" i="6"/>
  <c r="B187" i="6"/>
  <c r="Z186" i="6"/>
  <c r="Y186" i="6"/>
  <c r="X186" i="6"/>
  <c r="J185" i="6"/>
  <c r="G185" i="6"/>
  <c r="F185" i="6"/>
  <c r="D185" i="6"/>
  <c r="I185" i="6"/>
  <c r="C185" i="6"/>
  <c r="B185" i="6"/>
  <c r="Z184" i="6"/>
  <c r="Y184" i="6"/>
  <c r="X184" i="6"/>
  <c r="J182" i="6"/>
  <c r="G182" i="6"/>
  <c r="F182" i="6"/>
  <c r="D182" i="6"/>
  <c r="I182" i="6"/>
  <c r="B182" i="6"/>
  <c r="Z181" i="6"/>
  <c r="Y181" i="6"/>
  <c r="X181" i="6"/>
  <c r="J180" i="6"/>
  <c r="Z180" i="6"/>
  <c r="Y180" i="6"/>
  <c r="X180" i="6"/>
  <c r="F180" i="6"/>
  <c r="D180" i="6"/>
  <c r="C180" i="6"/>
  <c r="B180" i="6"/>
  <c r="G179" i="6"/>
  <c r="E179" i="6"/>
  <c r="J178" i="6"/>
  <c r="F178" i="6"/>
  <c r="E178" i="6"/>
  <c r="J177" i="6"/>
  <c r="E177" i="6"/>
  <c r="J176" i="6"/>
  <c r="G176" i="6"/>
  <c r="F176" i="6"/>
  <c r="J175" i="6"/>
  <c r="G175" i="6"/>
  <c r="F175" i="6"/>
  <c r="J174" i="6"/>
  <c r="G174" i="6"/>
  <c r="F174" i="6"/>
  <c r="J173" i="6"/>
  <c r="G173" i="6"/>
  <c r="F173" i="6"/>
  <c r="F171" i="6"/>
  <c r="D171" i="6"/>
  <c r="I171" i="6"/>
  <c r="C171" i="6"/>
  <c r="B171" i="6"/>
  <c r="J170" i="6"/>
  <c r="P170" i="6" s="1"/>
  <c r="G170" i="6"/>
  <c r="O170" i="6" s="1"/>
  <c r="Z170" i="6"/>
  <c r="Y170" i="6"/>
  <c r="X170" i="6"/>
  <c r="W170" i="6"/>
  <c r="F168" i="6"/>
  <c r="D168" i="6"/>
  <c r="I168" i="6"/>
  <c r="C168" i="6"/>
  <c r="B168" i="6"/>
  <c r="J167" i="6"/>
  <c r="P167" i="6" s="1"/>
  <c r="G167" i="6"/>
  <c r="O167" i="6" s="1"/>
  <c r="Z167" i="6"/>
  <c r="Y167" i="6"/>
  <c r="X167" i="6"/>
  <c r="W167" i="6"/>
  <c r="F165" i="6"/>
  <c r="D165" i="6"/>
  <c r="I165" i="6"/>
  <c r="C165" i="6"/>
  <c r="B165" i="6"/>
  <c r="Z164" i="6"/>
  <c r="Y164" i="6"/>
  <c r="X164" i="6"/>
  <c r="J163" i="6"/>
  <c r="G163" i="6"/>
  <c r="F163" i="6"/>
  <c r="D163" i="6"/>
  <c r="I163" i="6"/>
  <c r="B163" i="6"/>
  <c r="Z162" i="6"/>
  <c r="Y162" i="6"/>
  <c r="X162" i="6"/>
  <c r="J161" i="6"/>
  <c r="Z161" i="6"/>
  <c r="Y161" i="6"/>
  <c r="X161" i="6"/>
  <c r="F161" i="6"/>
  <c r="D161" i="6"/>
  <c r="C161" i="6"/>
  <c r="B161" i="6"/>
  <c r="G160" i="6"/>
  <c r="E160" i="6"/>
  <c r="J159" i="6"/>
  <c r="F159" i="6"/>
  <c r="E159" i="6"/>
  <c r="J158" i="6"/>
  <c r="E158" i="6"/>
  <c r="J157" i="6"/>
  <c r="G157" i="6"/>
  <c r="F157" i="6"/>
  <c r="J156" i="6"/>
  <c r="G156" i="6"/>
  <c r="F156" i="6"/>
  <c r="J155" i="6"/>
  <c r="G155" i="6"/>
  <c r="F155" i="6"/>
  <c r="J154" i="6"/>
  <c r="G154" i="6"/>
  <c r="F154" i="6"/>
  <c r="F152" i="6"/>
  <c r="D152" i="6"/>
  <c r="I152" i="6"/>
  <c r="C152" i="6"/>
  <c r="B152" i="6"/>
  <c r="J151" i="6"/>
  <c r="P151" i="6" s="1"/>
  <c r="G151" i="6"/>
  <c r="O151" i="6" s="1"/>
  <c r="Z151" i="6"/>
  <c r="Y151" i="6"/>
  <c r="X151" i="6"/>
  <c r="W151" i="6"/>
  <c r="F149" i="6"/>
  <c r="D149" i="6"/>
  <c r="I149" i="6"/>
  <c r="C149" i="6"/>
  <c r="B149" i="6"/>
  <c r="J148" i="6"/>
  <c r="P148" i="6" s="1"/>
  <c r="G148" i="6"/>
  <c r="O148" i="6" s="1"/>
  <c r="Z148" i="6"/>
  <c r="Y148" i="6"/>
  <c r="X148" i="6"/>
  <c r="W148" i="6"/>
  <c r="F146" i="6"/>
  <c r="D146" i="6"/>
  <c r="I146" i="6"/>
  <c r="C146" i="6"/>
  <c r="B146" i="6"/>
  <c r="Z145" i="6"/>
  <c r="Y145" i="6"/>
  <c r="X145" i="6"/>
  <c r="G144" i="6"/>
  <c r="E144" i="6"/>
  <c r="J143" i="6"/>
  <c r="F143" i="6"/>
  <c r="E143" i="6"/>
  <c r="J142" i="6"/>
  <c r="E142" i="6"/>
  <c r="J141" i="6"/>
  <c r="G141" i="6"/>
  <c r="F141" i="6"/>
  <c r="J140" i="6"/>
  <c r="G140" i="6"/>
  <c r="F140" i="6"/>
  <c r="J139" i="6"/>
  <c r="G139" i="6"/>
  <c r="F139" i="6"/>
  <c r="J138" i="6"/>
  <c r="G138" i="6"/>
  <c r="F138" i="6"/>
  <c r="F136" i="6"/>
  <c r="D136" i="6"/>
  <c r="I136" i="6"/>
  <c r="C136" i="6"/>
  <c r="B136" i="6"/>
  <c r="Z135" i="6"/>
  <c r="Y135" i="6"/>
  <c r="X135" i="6"/>
  <c r="J133" i="6"/>
  <c r="G133" i="6"/>
  <c r="F133" i="6"/>
  <c r="D133" i="6"/>
  <c r="I133" i="6"/>
  <c r="B133" i="6"/>
  <c r="Z132" i="6"/>
  <c r="Y132" i="6"/>
  <c r="X132" i="6"/>
  <c r="J131" i="6"/>
  <c r="Z131" i="6"/>
  <c r="Y131" i="6"/>
  <c r="X131" i="6"/>
  <c r="F131" i="6"/>
  <c r="D131" i="6"/>
  <c r="C131" i="6"/>
  <c r="B131" i="6"/>
  <c r="G130" i="6"/>
  <c r="E130" i="6"/>
  <c r="J129" i="6"/>
  <c r="F129" i="6"/>
  <c r="E129" i="6"/>
  <c r="J128" i="6"/>
  <c r="E128" i="6"/>
  <c r="J127" i="6"/>
  <c r="G127" i="6"/>
  <c r="F127" i="6"/>
  <c r="J126" i="6"/>
  <c r="G126" i="6"/>
  <c r="F126" i="6"/>
  <c r="J125" i="6"/>
  <c r="G125" i="6"/>
  <c r="F125" i="6"/>
  <c r="J124" i="6"/>
  <c r="G124" i="6"/>
  <c r="F124" i="6"/>
  <c r="F123" i="6"/>
  <c r="D123" i="6"/>
  <c r="I123" i="6"/>
  <c r="C123" i="6"/>
  <c r="B123" i="6"/>
  <c r="J122" i="6"/>
  <c r="P122" i="6" s="1"/>
  <c r="G122" i="6"/>
  <c r="O122" i="6" s="1"/>
  <c r="Z122" i="6"/>
  <c r="Y122" i="6"/>
  <c r="X122" i="6"/>
  <c r="W122" i="6"/>
  <c r="F121" i="6"/>
  <c r="D121" i="6"/>
  <c r="I121" i="6"/>
  <c r="C121" i="6"/>
  <c r="B121" i="6"/>
  <c r="Z120" i="6"/>
  <c r="Y120" i="6"/>
  <c r="X120" i="6"/>
  <c r="G119" i="6"/>
  <c r="E119" i="6"/>
  <c r="J118" i="6"/>
  <c r="F118" i="6"/>
  <c r="E118" i="6"/>
  <c r="J117" i="6"/>
  <c r="E117" i="6"/>
  <c r="J116" i="6"/>
  <c r="G116" i="6"/>
  <c r="F116" i="6"/>
  <c r="J115" i="6"/>
  <c r="G115" i="6"/>
  <c r="F115" i="6"/>
  <c r="J114" i="6"/>
  <c r="G114" i="6"/>
  <c r="F114" i="6"/>
  <c r="J113" i="6"/>
  <c r="G113" i="6"/>
  <c r="F113" i="6"/>
  <c r="F111" i="6"/>
  <c r="D111" i="6"/>
  <c r="I111" i="6"/>
  <c r="C111" i="6"/>
  <c r="B111" i="6"/>
  <c r="Z110" i="6"/>
  <c r="Y110" i="6"/>
  <c r="X110" i="6"/>
  <c r="J108" i="6"/>
  <c r="G108" i="6"/>
  <c r="F108" i="6"/>
  <c r="D108" i="6"/>
  <c r="I108" i="6"/>
  <c r="B108" i="6"/>
  <c r="Z107" i="6"/>
  <c r="Y107" i="6"/>
  <c r="X107" i="6"/>
  <c r="G106" i="6"/>
  <c r="E106" i="6"/>
  <c r="J105" i="6"/>
  <c r="F105" i="6"/>
  <c r="E105" i="6"/>
  <c r="J104" i="6"/>
  <c r="E104" i="6"/>
  <c r="J103" i="6"/>
  <c r="G103" i="6"/>
  <c r="F103" i="6"/>
  <c r="J102" i="6"/>
  <c r="G102" i="6"/>
  <c r="F102" i="6"/>
  <c r="J101" i="6"/>
  <c r="G101" i="6"/>
  <c r="F101" i="6"/>
  <c r="F99" i="6"/>
  <c r="D99" i="6"/>
  <c r="I99" i="6"/>
  <c r="C99" i="6"/>
  <c r="B99" i="6"/>
  <c r="Z98" i="6"/>
  <c r="Y98" i="6"/>
  <c r="X98" i="6"/>
  <c r="J97" i="6"/>
  <c r="E97" i="6"/>
  <c r="J96" i="6"/>
  <c r="E96" i="6"/>
  <c r="J95" i="6"/>
  <c r="G95" i="6"/>
  <c r="F95" i="6"/>
  <c r="J94" i="6"/>
  <c r="G94" i="6"/>
  <c r="F94" i="6"/>
  <c r="J93" i="6"/>
  <c r="G93" i="6"/>
  <c r="F93" i="6"/>
  <c r="F91" i="6"/>
  <c r="D91" i="6"/>
  <c r="I91" i="6"/>
  <c r="C91" i="6"/>
  <c r="B91" i="6"/>
  <c r="Z90" i="6"/>
  <c r="Y90" i="6"/>
  <c r="X90" i="6"/>
  <c r="J89" i="6"/>
  <c r="G89" i="6"/>
  <c r="F89" i="6"/>
  <c r="D89" i="6"/>
  <c r="I89" i="6"/>
  <c r="B89" i="6"/>
  <c r="Z88" i="6"/>
  <c r="Y88" i="6"/>
  <c r="X88" i="6"/>
  <c r="G87" i="6"/>
  <c r="E87" i="6"/>
  <c r="J86" i="6"/>
  <c r="F86" i="6"/>
  <c r="E86" i="6"/>
  <c r="J85" i="6"/>
  <c r="E85" i="6"/>
  <c r="J84" i="6"/>
  <c r="G84" i="6"/>
  <c r="F84" i="6"/>
  <c r="J83" i="6"/>
  <c r="G83" i="6"/>
  <c r="F83" i="6"/>
  <c r="J82" i="6"/>
  <c r="G82" i="6"/>
  <c r="F82" i="6"/>
  <c r="J81" i="6"/>
  <c r="G81" i="6"/>
  <c r="F81" i="6"/>
  <c r="F80" i="6"/>
  <c r="D80" i="6"/>
  <c r="I80" i="6"/>
  <c r="C80" i="6"/>
  <c r="B80" i="6"/>
  <c r="Z79" i="6"/>
  <c r="Y79" i="6"/>
  <c r="X79" i="6"/>
  <c r="J78" i="6"/>
  <c r="G78" i="6"/>
  <c r="F78" i="6"/>
  <c r="D78" i="6"/>
  <c r="I78" i="6"/>
  <c r="B78" i="6"/>
  <c r="Z77" i="6"/>
  <c r="Y77" i="6"/>
  <c r="X77" i="6"/>
  <c r="G76" i="6"/>
  <c r="E76" i="6"/>
  <c r="J75" i="6"/>
  <c r="F75" i="6"/>
  <c r="E75" i="6"/>
  <c r="J74" i="6"/>
  <c r="E74" i="6"/>
  <c r="J73" i="6"/>
  <c r="G73" i="6"/>
  <c r="F73" i="6"/>
  <c r="J72" i="6"/>
  <c r="G72" i="6"/>
  <c r="F72" i="6"/>
  <c r="J71" i="6"/>
  <c r="G71" i="6"/>
  <c r="F71" i="6"/>
  <c r="F70" i="6"/>
  <c r="D70" i="6"/>
  <c r="I70" i="6"/>
  <c r="C70" i="6"/>
  <c r="B70" i="6"/>
  <c r="Z69" i="6"/>
  <c r="Y69" i="6"/>
  <c r="X69" i="6"/>
  <c r="G68" i="6"/>
  <c r="E68" i="6"/>
  <c r="J67" i="6"/>
  <c r="F67" i="6"/>
  <c r="E67" i="6"/>
  <c r="J66" i="6"/>
  <c r="E66" i="6"/>
  <c r="J65" i="6"/>
  <c r="G65" i="6"/>
  <c r="F65" i="6"/>
  <c r="J64" i="6"/>
  <c r="G64" i="6"/>
  <c r="F64" i="6"/>
  <c r="J63" i="6"/>
  <c r="G63" i="6"/>
  <c r="F63" i="6"/>
  <c r="J62" i="6"/>
  <c r="G62" i="6"/>
  <c r="F62" i="6"/>
  <c r="F60" i="6"/>
  <c r="D60" i="6"/>
  <c r="I60" i="6"/>
  <c r="C60" i="6"/>
  <c r="B60" i="6"/>
  <c r="Z59" i="6"/>
  <c r="Y59" i="6"/>
  <c r="X59" i="6"/>
  <c r="G58" i="6"/>
  <c r="E58" i="6"/>
  <c r="J57" i="6"/>
  <c r="E57" i="6"/>
  <c r="J56" i="6"/>
  <c r="E56" i="6"/>
  <c r="J55" i="6"/>
  <c r="G55" i="6"/>
  <c r="F55" i="6"/>
  <c r="J54" i="6"/>
  <c r="G54" i="6"/>
  <c r="F54" i="6"/>
  <c r="J53" i="6"/>
  <c r="G53" i="6"/>
  <c r="F53" i="6"/>
  <c r="F52" i="6"/>
  <c r="D52" i="6"/>
  <c r="I52" i="6"/>
  <c r="C52" i="6"/>
  <c r="B52" i="6"/>
  <c r="Z51" i="6"/>
  <c r="Y51" i="6"/>
  <c r="X51" i="6"/>
  <c r="G50" i="6"/>
  <c r="E50" i="6"/>
  <c r="J49" i="6"/>
  <c r="E49" i="6"/>
  <c r="J48" i="6"/>
  <c r="E48" i="6"/>
  <c r="J47" i="6"/>
  <c r="G47" i="6"/>
  <c r="F47" i="6"/>
  <c r="J46" i="6"/>
  <c r="G46" i="6"/>
  <c r="F46" i="6"/>
  <c r="J45" i="6"/>
  <c r="G45" i="6"/>
  <c r="F45" i="6"/>
  <c r="F43" i="6"/>
  <c r="D43" i="6"/>
  <c r="I43" i="6"/>
  <c r="C43" i="6"/>
  <c r="B43" i="6"/>
  <c r="Z42" i="6"/>
  <c r="Y42" i="6"/>
  <c r="X42" i="6"/>
  <c r="G41" i="6"/>
  <c r="E41" i="6"/>
  <c r="J40" i="6"/>
  <c r="E40" i="6"/>
  <c r="J39" i="6"/>
  <c r="E39" i="6"/>
  <c r="J38" i="6"/>
  <c r="G38" i="6"/>
  <c r="F38" i="6"/>
  <c r="J37" i="6"/>
  <c r="G37" i="6"/>
  <c r="F37" i="6"/>
  <c r="F35" i="6"/>
  <c r="D35" i="6"/>
  <c r="I35" i="6"/>
  <c r="C35" i="6"/>
  <c r="B35" i="6"/>
  <c r="B19" i="6"/>
  <c r="H8" i="6"/>
  <c r="B8" i="6"/>
  <c r="A1" i="6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1" i="3"/>
  <c r="Y1" i="3"/>
  <c r="CY1" i="3"/>
  <c r="CZ1" i="3"/>
  <c r="DB1" i="3" s="1"/>
  <c r="DA1" i="3"/>
  <c r="DC1" i="3"/>
  <c r="A2" i="3"/>
  <c r="Y2" i="3"/>
  <c r="CY2" i="3"/>
  <c r="CZ2" i="3"/>
  <c r="DB2" i="3" s="1"/>
  <c r="DA2" i="3"/>
  <c r="DC2" i="3"/>
  <c r="A3" i="3"/>
  <c r="Y3" i="3"/>
  <c r="CY3" i="3"/>
  <c r="CZ3" i="3"/>
  <c r="DB3" i="3" s="1"/>
  <c r="DA3" i="3"/>
  <c r="DC3" i="3"/>
  <c r="A4" i="3"/>
  <c r="Y4" i="3"/>
  <c r="CY4" i="3"/>
  <c r="CZ4" i="3"/>
  <c r="DA4" i="3"/>
  <c r="DB4" i="3"/>
  <c r="DC4" i="3"/>
  <c r="A5" i="3"/>
  <c r="Y5" i="3"/>
  <c r="CY5" i="3"/>
  <c r="CZ5" i="3"/>
  <c r="DB5" i="3" s="1"/>
  <c r="DA5" i="3"/>
  <c r="DC5" i="3"/>
  <c r="A6" i="3"/>
  <c r="Y6" i="3"/>
  <c r="CY6" i="3"/>
  <c r="CZ6" i="3"/>
  <c r="DB6" i="3" s="1"/>
  <c r="DA6" i="3"/>
  <c r="DC6" i="3"/>
  <c r="A7" i="3"/>
  <c r="Y7" i="3"/>
  <c r="CY7" i="3"/>
  <c r="CZ7" i="3"/>
  <c r="DA7" i="3"/>
  <c r="DB7" i="3"/>
  <c r="DC7" i="3"/>
  <c r="A8" i="3"/>
  <c r="Y8" i="3"/>
  <c r="CY8" i="3"/>
  <c r="CZ8" i="3"/>
  <c r="DB8" i="3" s="1"/>
  <c r="DA8" i="3"/>
  <c r="DC8" i="3"/>
  <c r="A9" i="3"/>
  <c r="Y9" i="3"/>
  <c r="CY9" i="3"/>
  <c r="CZ9" i="3"/>
  <c r="DB9" i="3" s="1"/>
  <c r="DA9" i="3"/>
  <c r="DC9" i="3"/>
  <c r="A10" i="3"/>
  <c r="Y10" i="3"/>
  <c r="CY10" i="3"/>
  <c r="CZ10" i="3"/>
  <c r="DA10" i="3"/>
  <c r="DB10" i="3"/>
  <c r="DC10" i="3"/>
  <c r="A11" i="3"/>
  <c r="Y11" i="3"/>
  <c r="CY11" i="3"/>
  <c r="CZ11" i="3"/>
  <c r="DB11" i="3" s="1"/>
  <c r="DA11" i="3"/>
  <c r="DC11" i="3"/>
  <c r="A12" i="3"/>
  <c r="Y12" i="3"/>
  <c r="CY12" i="3"/>
  <c r="CZ12" i="3"/>
  <c r="DB12" i="3" s="1"/>
  <c r="DA12" i="3"/>
  <c r="DC12" i="3"/>
  <c r="A13" i="3"/>
  <c r="Y13" i="3"/>
  <c r="CY13" i="3"/>
  <c r="CZ13" i="3"/>
  <c r="DB13" i="3" s="1"/>
  <c r="DA13" i="3"/>
  <c r="DC13" i="3"/>
  <c r="A14" i="3"/>
  <c r="Y14" i="3"/>
  <c r="CY14" i="3"/>
  <c r="CZ14" i="3"/>
  <c r="DB14" i="3" s="1"/>
  <c r="DA14" i="3"/>
  <c r="DC14" i="3"/>
  <c r="A15" i="3"/>
  <c r="Y15" i="3"/>
  <c r="CY15" i="3"/>
  <c r="CZ15" i="3"/>
  <c r="DA15" i="3"/>
  <c r="DB15" i="3"/>
  <c r="DC15" i="3"/>
  <c r="A16" i="3"/>
  <c r="Y16" i="3"/>
  <c r="CY16" i="3"/>
  <c r="CZ16" i="3"/>
  <c r="DB16" i="3" s="1"/>
  <c r="DA16" i="3"/>
  <c r="DC16" i="3"/>
  <c r="A17" i="3"/>
  <c r="Y17" i="3"/>
  <c r="CY17" i="3"/>
  <c r="CZ17" i="3"/>
  <c r="DB17" i="3" s="1"/>
  <c r="DA17" i="3"/>
  <c r="DC17" i="3"/>
  <c r="A18" i="3"/>
  <c r="Y18" i="3"/>
  <c r="CY18" i="3"/>
  <c r="CZ18" i="3"/>
  <c r="DA18" i="3"/>
  <c r="DB18" i="3"/>
  <c r="DC18" i="3"/>
  <c r="A19" i="3"/>
  <c r="Y19" i="3"/>
  <c r="CY19" i="3"/>
  <c r="CZ19" i="3"/>
  <c r="DB19" i="3" s="1"/>
  <c r="DA19" i="3"/>
  <c r="DC19" i="3"/>
  <c r="A20" i="3"/>
  <c r="Y20" i="3"/>
  <c r="CY20" i="3"/>
  <c r="CZ20" i="3"/>
  <c r="DB20" i="3" s="1"/>
  <c r="DA20" i="3"/>
  <c r="DC20" i="3"/>
  <c r="A21" i="3"/>
  <c r="Y21" i="3"/>
  <c r="CY21" i="3"/>
  <c r="CZ21" i="3"/>
  <c r="DB21" i="3" s="1"/>
  <c r="DA21" i="3"/>
  <c r="DC21" i="3"/>
  <c r="A22" i="3"/>
  <c r="Y22" i="3"/>
  <c r="CY22" i="3"/>
  <c r="CZ22" i="3"/>
  <c r="DB22" i="3" s="1"/>
  <c r="DA22" i="3"/>
  <c r="DC22" i="3"/>
  <c r="A23" i="3"/>
  <c r="Y23" i="3"/>
  <c r="CY23" i="3"/>
  <c r="CZ23" i="3"/>
  <c r="DB23" i="3" s="1"/>
  <c r="DA23" i="3"/>
  <c r="DC23" i="3"/>
  <c r="A24" i="3"/>
  <c r="Y24" i="3"/>
  <c r="CY24" i="3"/>
  <c r="CZ24" i="3"/>
  <c r="DB24" i="3" s="1"/>
  <c r="DA24" i="3"/>
  <c r="DC24" i="3"/>
  <c r="A25" i="3"/>
  <c r="Y25" i="3"/>
  <c r="CY25" i="3"/>
  <c r="CZ25" i="3"/>
  <c r="DB25" i="3" s="1"/>
  <c r="DA25" i="3"/>
  <c r="DC25" i="3"/>
  <c r="A26" i="3"/>
  <c r="Y26" i="3"/>
  <c r="CY26" i="3"/>
  <c r="CZ26" i="3"/>
  <c r="DA26" i="3"/>
  <c r="DB26" i="3"/>
  <c r="DC26" i="3"/>
  <c r="A27" i="3"/>
  <c r="Y27" i="3"/>
  <c r="CY27" i="3"/>
  <c r="CZ27" i="3"/>
  <c r="DA27" i="3"/>
  <c r="DB27" i="3"/>
  <c r="DC27" i="3"/>
  <c r="A28" i="3"/>
  <c r="Y28" i="3"/>
  <c r="CY28" i="3"/>
  <c r="CZ28" i="3"/>
  <c r="DB28" i="3" s="1"/>
  <c r="DA28" i="3"/>
  <c r="DC28" i="3"/>
  <c r="A29" i="3"/>
  <c r="Y29" i="3"/>
  <c r="CY29" i="3"/>
  <c r="CZ29" i="3"/>
  <c r="DB29" i="3" s="1"/>
  <c r="DA29" i="3"/>
  <c r="DC29" i="3"/>
  <c r="A30" i="3"/>
  <c r="Y30" i="3"/>
  <c r="CY30" i="3"/>
  <c r="CZ30" i="3"/>
  <c r="DA30" i="3"/>
  <c r="DB30" i="3"/>
  <c r="DC30" i="3"/>
  <c r="A31" i="3"/>
  <c r="Y31" i="3"/>
  <c r="CY31" i="3"/>
  <c r="CZ31" i="3"/>
  <c r="DB31" i="3" s="1"/>
  <c r="DA31" i="3"/>
  <c r="DC31" i="3"/>
  <c r="A32" i="3"/>
  <c r="Y32" i="3"/>
  <c r="CY32" i="3"/>
  <c r="CZ32" i="3"/>
  <c r="DB32" i="3" s="1"/>
  <c r="DA32" i="3"/>
  <c r="DC32" i="3"/>
  <c r="A33" i="3"/>
  <c r="Y33" i="3"/>
  <c r="CY33" i="3"/>
  <c r="CZ33" i="3"/>
  <c r="DB33" i="3" s="1"/>
  <c r="DA33" i="3"/>
  <c r="DC33" i="3"/>
  <c r="A34" i="3"/>
  <c r="Y34" i="3"/>
  <c r="CY34" i="3"/>
  <c r="CZ34" i="3"/>
  <c r="DB34" i="3" s="1"/>
  <c r="DA34" i="3"/>
  <c r="DC34" i="3"/>
  <c r="A35" i="3"/>
  <c r="Y35" i="3"/>
  <c r="CY35" i="3"/>
  <c r="CZ35" i="3"/>
  <c r="DA35" i="3"/>
  <c r="DB35" i="3"/>
  <c r="DC35" i="3"/>
  <c r="A36" i="3"/>
  <c r="Y36" i="3"/>
  <c r="CY36" i="3"/>
  <c r="CZ36" i="3"/>
  <c r="DA36" i="3"/>
  <c r="DB36" i="3"/>
  <c r="DC36" i="3"/>
  <c r="A37" i="3"/>
  <c r="Y37" i="3"/>
  <c r="CY37" i="3"/>
  <c r="CZ37" i="3"/>
  <c r="DB37" i="3" s="1"/>
  <c r="DA37" i="3"/>
  <c r="DC37" i="3"/>
  <c r="A38" i="3"/>
  <c r="Y38" i="3"/>
  <c r="CY38" i="3"/>
  <c r="CZ38" i="3"/>
  <c r="DB38" i="3" s="1"/>
  <c r="DA38" i="3"/>
  <c r="DC38" i="3"/>
  <c r="A39" i="3"/>
  <c r="Y39" i="3"/>
  <c r="CY39" i="3"/>
  <c r="CZ39" i="3"/>
  <c r="DB39" i="3" s="1"/>
  <c r="DA39" i="3"/>
  <c r="DC39" i="3"/>
  <c r="A40" i="3"/>
  <c r="Y40" i="3"/>
  <c r="CY40" i="3"/>
  <c r="CZ40" i="3"/>
  <c r="DB40" i="3" s="1"/>
  <c r="DA40" i="3"/>
  <c r="DC40" i="3"/>
  <c r="A41" i="3"/>
  <c r="Y41" i="3"/>
  <c r="CY41" i="3"/>
  <c r="CZ41" i="3"/>
  <c r="DB41" i="3" s="1"/>
  <c r="DA41" i="3"/>
  <c r="DC41" i="3"/>
  <c r="A42" i="3"/>
  <c r="Y42" i="3"/>
  <c r="CY42" i="3"/>
  <c r="CZ42" i="3"/>
  <c r="DB42" i="3" s="1"/>
  <c r="DA42" i="3"/>
  <c r="DC42" i="3"/>
  <c r="A43" i="3"/>
  <c r="Y43" i="3"/>
  <c r="CY43" i="3"/>
  <c r="CZ43" i="3"/>
  <c r="DA43" i="3"/>
  <c r="DB43" i="3"/>
  <c r="DC43" i="3"/>
  <c r="A44" i="3"/>
  <c r="Y44" i="3"/>
  <c r="CY44" i="3"/>
  <c r="CZ44" i="3"/>
  <c r="DA44" i="3"/>
  <c r="DB44" i="3"/>
  <c r="DC44" i="3"/>
  <c r="A45" i="3"/>
  <c r="Y45" i="3"/>
  <c r="CY45" i="3"/>
  <c r="CZ45" i="3"/>
  <c r="DB45" i="3" s="1"/>
  <c r="DA45" i="3"/>
  <c r="DC45" i="3"/>
  <c r="A46" i="3"/>
  <c r="Y46" i="3"/>
  <c r="CY46" i="3"/>
  <c r="CZ46" i="3"/>
  <c r="DB46" i="3" s="1"/>
  <c r="DA46" i="3"/>
  <c r="DC46" i="3"/>
  <c r="A47" i="3"/>
  <c r="Y47" i="3"/>
  <c r="CY47" i="3"/>
  <c r="CZ47" i="3"/>
  <c r="DB47" i="3" s="1"/>
  <c r="DA47" i="3"/>
  <c r="DC47" i="3"/>
  <c r="A48" i="3"/>
  <c r="Y48" i="3"/>
  <c r="CY48" i="3"/>
  <c r="CZ48" i="3"/>
  <c r="DB48" i="3" s="1"/>
  <c r="DA48" i="3"/>
  <c r="DC48" i="3"/>
  <c r="A49" i="3"/>
  <c r="Y49" i="3"/>
  <c r="CY49" i="3"/>
  <c r="CZ49" i="3"/>
  <c r="DB49" i="3" s="1"/>
  <c r="DA49" i="3"/>
  <c r="DC49" i="3"/>
  <c r="A50" i="3"/>
  <c r="Y50" i="3"/>
  <c r="CY50" i="3"/>
  <c r="CZ50" i="3"/>
  <c r="DB50" i="3" s="1"/>
  <c r="DA50" i="3"/>
  <c r="DC50" i="3"/>
  <c r="A51" i="3"/>
  <c r="Y51" i="3"/>
  <c r="CY51" i="3"/>
  <c r="CZ51" i="3"/>
  <c r="DA51" i="3"/>
  <c r="DB51" i="3"/>
  <c r="DC51" i="3"/>
  <c r="A52" i="3"/>
  <c r="Y52" i="3"/>
  <c r="CY52" i="3"/>
  <c r="CZ52" i="3"/>
  <c r="DA52" i="3"/>
  <c r="DB52" i="3"/>
  <c r="DC52" i="3"/>
  <c r="A53" i="3"/>
  <c r="Y53" i="3"/>
  <c r="CY53" i="3"/>
  <c r="CZ53" i="3"/>
  <c r="DB53" i="3" s="1"/>
  <c r="DA53" i="3"/>
  <c r="DC53" i="3"/>
  <c r="A54" i="3"/>
  <c r="Y54" i="3"/>
  <c r="CY54" i="3"/>
  <c r="CZ54" i="3"/>
  <c r="DA54" i="3"/>
  <c r="DB54" i="3"/>
  <c r="DC54" i="3"/>
  <c r="A55" i="3"/>
  <c r="Y55" i="3"/>
  <c r="CY55" i="3"/>
  <c r="CZ55" i="3"/>
  <c r="DA55" i="3"/>
  <c r="DB55" i="3"/>
  <c r="DC55" i="3"/>
  <c r="A56" i="3"/>
  <c r="Y56" i="3"/>
  <c r="CY56" i="3"/>
  <c r="CZ56" i="3"/>
  <c r="DB56" i="3" s="1"/>
  <c r="DA56" i="3"/>
  <c r="DC56" i="3"/>
  <c r="A57" i="3"/>
  <c r="Y57" i="3"/>
  <c r="CY57" i="3"/>
  <c r="CZ57" i="3"/>
  <c r="DB57" i="3" s="1"/>
  <c r="DA57" i="3"/>
  <c r="DC57" i="3"/>
  <c r="A58" i="3"/>
  <c r="Y58" i="3"/>
  <c r="CY58" i="3"/>
  <c r="CZ58" i="3"/>
  <c r="DB58" i="3" s="1"/>
  <c r="DA58" i="3"/>
  <c r="DC58" i="3"/>
  <c r="A59" i="3"/>
  <c r="Y59" i="3"/>
  <c r="CY59" i="3"/>
  <c r="CZ59" i="3"/>
  <c r="DB59" i="3" s="1"/>
  <c r="DA59" i="3"/>
  <c r="DC59" i="3"/>
  <c r="A60" i="3"/>
  <c r="Y60" i="3"/>
  <c r="CY60" i="3"/>
  <c r="CZ60" i="3"/>
  <c r="DA60" i="3"/>
  <c r="DB60" i="3"/>
  <c r="DC60" i="3"/>
  <c r="A61" i="3"/>
  <c r="Y61" i="3"/>
  <c r="CY61" i="3"/>
  <c r="CZ61" i="3"/>
  <c r="DB61" i="3" s="1"/>
  <c r="DA61" i="3"/>
  <c r="DC61" i="3"/>
  <c r="A62" i="3"/>
  <c r="Y62" i="3"/>
  <c r="CY62" i="3"/>
  <c r="CZ62" i="3"/>
  <c r="DB62" i="3" s="1"/>
  <c r="DA62" i="3"/>
  <c r="DC62" i="3"/>
  <c r="A63" i="3"/>
  <c r="Y63" i="3"/>
  <c r="CY63" i="3"/>
  <c r="CZ63" i="3"/>
  <c r="DA63" i="3"/>
  <c r="DB63" i="3"/>
  <c r="DC63" i="3"/>
  <c r="A64" i="3"/>
  <c r="Y64" i="3"/>
  <c r="CY64" i="3"/>
  <c r="CZ64" i="3"/>
  <c r="DB64" i="3" s="1"/>
  <c r="DA64" i="3"/>
  <c r="DC64" i="3"/>
  <c r="A65" i="3"/>
  <c r="Y65" i="3"/>
  <c r="CY65" i="3"/>
  <c r="CZ65" i="3"/>
  <c r="DB65" i="3" s="1"/>
  <c r="DA65" i="3"/>
  <c r="DC65" i="3"/>
  <c r="A66" i="3"/>
  <c r="Y66" i="3"/>
  <c r="CY66" i="3"/>
  <c r="CZ66" i="3"/>
  <c r="DA66" i="3"/>
  <c r="DB66" i="3"/>
  <c r="DC66" i="3"/>
  <c r="A67" i="3"/>
  <c r="Y67" i="3"/>
  <c r="CY67" i="3"/>
  <c r="CZ67" i="3"/>
  <c r="DB67" i="3" s="1"/>
  <c r="DA67" i="3"/>
  <c r="DC67" i="3"/>
  <c r="A68" i="3"/>
  <c r="Y68" i="3"/>
  <c r="CY68" i="3"/>
  <c r="CZ68" i="3"/>
  <c r="DB68" i="3" s="1"/>
  <c r="DA68" i="3"/>
  <c r="DC68" i="3"/>
  <c r="A69" i="3"/>
  <c r="Y69" i="3"/>
  <c r="CY69" i="3"/>
  <c r="CZ69" i="3"/>
  <c r="DB69" i="3" s="1"/>
  <c r="DA69" i="3"/>
  <c r="DC69" i="3"/>
  <c r="A70" i="3"/>
  <c r="Y70" i="3"/>
  <c r="CY70" i="3"/>
  <c r="CZ70" i="3"/>
  <c r="DB70" i="3" s="1"/>
  <c r="DA70" i="3"/>
  <c r="DC70" i="3"/>
  <c r="A71" i="3"/>
  <c r="Y71" i="3"/>
  <c r="CY71" i="3"/>
  <c r="CZ71" i="3"/>
  <c r="DB71" i="3" s="1"/>
  <c r="DA71" i="3"/>
  <c r="DC71" i="3"/>
  <c r="A72" i="3"/>
  <c r="Y72" i="3"/>
  <c r="CY72" i="3"/>
  <c r="CZ72" i="3"/>
  <c r="DB72" i="3" s="1"/>
  <c r="DA72" i="3"/>
  <c r="DC72" i="3"/>
  <c r="A73" i="3"/>
  <c r="Y73" i="3"/>
  <c r="CY73" i="3"/>
  <c r="CZ73" i="3"/>
  <c r="DB73" i="3" s="1"/>
  <c r="DA73" i="3"/>
  <c r="DC73" i="3"/>
  <c r="A74" i="3"/>
  <c r="Y74" i="3"/>
  <c r="CY74" i="3"/>
  <c r="CZ74" i="3"/>
  <c r="DA74" i="3"/>
  <c r="DB74" i="3"/>
  <c r="DC74" i="3"/>
  <c r="A75" i="3"/>
  <c r="Y75" i="3"/>
  <c r="CY75" i="3"/>
  <c r="CZ75" i="3"/>
  <c r="DA75" i="3"/>
  <c r="DB75" i="3"/>
  <c r="DC75" i="3"/>
  <c r="A76" i="3"/>
  <c r="Y76" i="3"/>
  <c r="CY76" i="3"/>
  <c r="CZ76" i="3"/>
  <c r="DB76" i="3" s="1"/>
  <c r="DA76" i="3"/>
  <c r="DC76" i="3"/>
  <c r="A77" i="3"/>
  <c r="Y77" i="3"/>
  <c r="CY77" i="3"/>
  <c r="CZ77" i="3"/>
  <c r="DB77" i="3" s="1"/>
  <c r="DA77" i="3"/>
  <c r="DC77" i="3"/>
  <c r="A78" i="3"/>
  <c r="Y78" i="3"/>
  <c r="CY78" i="3"/>
  <c r="CZ78" i="3"/>
  <c r="DB78" i="3" s="1"/>
  <c r="DA78" i="3"/>
  <c r="DC78" i="3"/>
  <c r="A79" i="3"/>
  <c r="Y79" i="3"/>
  <c r="CY79" i="3"/>
  <c r="CZ79" i="3"/>
  <c r="DB79" i="3" s="1"/>
  <c r="DA79" i="3"/>
  <c r="DC79" i="3"/>
  <c r="A80" i="3"/>
  <c r="Y80" i="3"/>
  <c r="CY80" i="3"/>
  <c r="CZ80" i="3"/>
  <c r="DB80" i="3" s="1"/>
  <c r="DA80" i="3"/>
  <c r="DC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I24" i="1"/>
  <c r="K24" i="1"/>
  <c r="AC24" i="1"/>
  <c r="AE24" i="1"/>
  <c r="AF24" i="1"/>
  <c r="CT24" i="1" s="1"/>
  <c r="AG24" i="1"/>
  <c r="AH24" i="1"/>
  <c r="CV24" i="1" s="1"/>
  <c r="U24" i="1" s="1"/>
  <c r="AI24" i="1"/>
  <c r="AJ24" i="1"/>
  <c r="CX24" i="1" s="1"/>
  <c r="CU24" i="1"/>
  <c r="T24" i="1" s="1"/>
  <c r="CW24" i="1"/>
  <c r="V24" i="1" s="1"/>
  <c r="FR24" i="1"/>
  <c r="GL24" i="1"/>
  <c r="GO24" i="1"/>
  <c r="GP24" i="1"/>
  <c r="GV24" i="1"/>
  <c r="HC24" i="1" s="1"/>
  <c r="GX24" i="1" s="1"/>
  <c r="C25" i="1"/>
  <c r="D25" i="1"/>
  <c r="I25" i="1"/>
  <c r="K25" i="1"/>
  <c r="W25" i="1"/>
  <c r="AC25" i="1"/>
  <c r="AE25" i="1"/>
  <c r="AF25" i="1"/>
  <c r="CT25" i="1" s="1"/>
  <c r="S25" i="1" s="1"/>
  <c r="K45" i="6" s="1"/>
  <c r="AG25" i="1"/>
  <c r="CU25" i="1" s="1"/>
  <c r="T25" i="1" s="1"/>
  <c r="AH25" i="1"/>
  <c r="AI25" i="1"/>
  <c r="CW25" i="1" s="1"/>
  <c r="V25" i="1" s="1"/>
  <c r="AJ25" i="1"/>
  <c r="CX25" i="1" s="1"/>
  <c r="CQ25" i="1"/>
  <c r="P25" i="1" s="1"/>
  <c r="CS25" i="1"/>
  <c r="R25" i="1" s="1"/>
  <c r="K47" i="6" s="1"/>
  <c r="CV25" i="1"/>
  <c r="U25" i="1" s="1"/>
  <c r="FR25" i="1"/>
  <c r="GL25" i="1"/>
  <c r="GO25" i="1"/>
  <c r="GP25" i="1"/>
  <c r="CD55" i="1" s="1"/>
  <c r="CD22" i="1" s="1"/>
  <c r="GV25" i="1"/>
  <c r="HC25" i="1"/>
  <c r="GX25" i="1" s="1"/>
  <c r="C26" i="1"/>
  <c r="D26" i="1"/>
  <c r="I26" i="1"/>
  <c r="E52" i="6" s="1"/>
  <c r="K26" i="1"/>
  <c r="AC26" i="1"/>
  <c r="CQ26" i="1" s="1"/>
  <c r="P26" i="1" s="1"/>
  <c r="AE26" i="1"/>
  <c r="AF26" i="1"/>
  <c r="AG26" i="1"/>
  <c r="AH26" i="1"/>
  <c r="AI26" i="1"/>
  <c r="AJ26" i="1"/>
  <c r="CX26" i="1" s="1"/>
  <c r="W26" i="1" s="1"/>
  <c r="CU26" i="1"/>
  <c r="T26" i="1" s="1"/>
  <c r="CV26" i="1"/>
  <c r="U26" i="1" s="1"/>
  <c r="CW26" i="1"/>
  <c r="V26" i="1" s="1"/>
  <c r="FR26" i="1"/>
  <c r="GL26" i="1"/>
  <c r="GO26" i="1"/>
  <c r="GP26" i="1"/>
  <c r="GV26" i="1"/>
  <c r="HC26" i="1"/>
  <c r="GX26" i="1" s="1"/>
  <c r="C27" i="1"/>
  <c r="D27" i="1"/>
  <c r="I27" i="1"/>
  <c r="K27" i="1"/>
  <c r="AC27" i="1"/>
  <c r="AE27" i="1"/>
  <c r="CS27" i="1" s="1"/>
  <c r="R27" i="1" s="1"/>
  <c r="K64" i="6" s="1"/>
  <c r="AF27" i="1"/>
  <c r="CT27" i="1" s="1"/>
  <c r="S27" i="1" s="1"/>
  <c r="AG27" i="1"/>
  <c r="CU27" i="1" s="1"/>
  <c r="AH27" i="1"/>
  <c r="AI27" i="1"/>
  <c r="CW27" i="1" s="1"/>
  <c r="V27" i="1" s="1"/>
  <c r="AJ27" i="1"/>
  <c r="CX27" i="1" s="1"/>
  <c r="W27" i="1" s="1"/>
  <c r="CV27" i="1"/>
  <c r="U27" i="1" s="1"/>
  <c r="FR27" i="1"/>
  <c r="GL27" i="1"/>
  <c r="GO27" i="1"/>
  <c r="GP27" i="1"/>
  <c r="GV27" i="1"/>
  <c r="HC27" i="1"/>
  <c r="GX27" i="1" s="1"/>
  <c r="C28" i="1"/>
  <c r="D28" i="1"/>
  <c r="AC28" i="1"/>
  <c r="CQ28" i="1" s="1"/>
  <c r="AE28" i="1"/>
  <c r="AF28" i="1"/>
  <c r="AG28" i="1"/>
  <c r="AH28" i="1"/>
  <c r="AI28" i="1"/>
  <c r="AJ28" i="1"/>
  <c r="CX28" i="1" s="1"/>
  <c r="CU28" i="1"/>
  <c r="CV28" i="1"/>
  <c r="CW28" i="1"/>
  <c r="FR28" i="1"/>
  <c r="GL28" i="1"/>
  <c r="GO28" i="1"/>
  <c r="GP28" i="1"/>
  <c r="GV28" i="1"/>
  <c r="HC28" i="1"/>
  <c r="AC29" i="1"/>
  <c r="AD29" i="1"/>
  <c r="AE29" i="1"/>
  <c r="AF29" i="1"/>
  <c r="AG29" i="1"/>
  <c r="CU29" i="1" s="1"/>
  <c r="AH29" i="1"/>
  <c r="CV29" i="1" s="1"/>
  <c r="AI29" i="1"/>
  <c r="CW29" i="1" s="1"/>
  <c r="AJ29" i="1"/>
  <c r="CR29" i="1"/>
  <c r="CS29" i="1"/>
  <c r="CX29" i="1"/>
  <c r="FR29" i="1"/>
  <c r="GL29" i="1"/>
  <c r="GO29" i="1"/>
  <c r="GP29" i="1"/>
  <c r="GV29" i="1"/>
  <c r="HC29" i="1" s="1"/>
  <c r="C30" i="1"/>
  <c r="D30" i="1"/>
  <c r="I30" i="1"/>
  <c r="E80" i="6" s="1"/>
  <c r="K30" i="1"/>
  <c r="AC30" i="1"/>
  <c r="H84" i="6" s="1"/>
  <c r="AE30" i="1"/>
  <c r="CR30" i="1" s="1"/>
  <c r="Q30" i="1" s="1"/>
  <c r="K82" i="6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T30" i="1"/>
  <c r="S30" i="1" s="1"/>
  <c r="K81" i="6" s="1"/>
  <c r="CX30" i="1"/>
  <c r="W30" i="1" s="1"/>
  <c r="FR30" i="1"/>
  <c r="GL30" i="1"/>
  <c r="GO30" i="1"/>
  <c r="GP30" i="1"/>
  <c r="GV30" i="1"/>
  <c r="HC30" i="1" s="1"/>
  <c r="GX30" i="1" s="1"/>
  <c r="I31" i="1"/>
  <c r="E89" i="6" s="1"/>
  <c r="K31" i="1"/>
  <c r="AC31" i="1"/>
  <c r="AE31" i="1"/>
  <c r="AD31" i="1" s="1"/>
  <c r="AF31" i="1"/>
  <c r="AG31" i="1"/>
  <c r="CU31" i="1" s="1"/>
  <c r="AH31" i="1"/>
  <c r="AI31" i="1"/>
  <c r="AJ31" i="1"/>
  <c r="CX31" i="1" s="1"/>
  <c r="W31" i="1" s="1"/>
  <c r="CS31" i="1"/>
  <c r="R31" i="1" s="1"/>
  <c r="CV31" i="1"/>
  <c r="U31" i="1" s="1"/>
  <c r="L90" i="6" s="1"/>
  <c r="Q90" i="6" s="1"/>
  <c r="CW31" i="1"/>
  <c r="V31" i="1" s="1"/>
  <c r="FR31" i="1"/>
  <c r="GL31" i="1"/>
  <c r="GO31" i="1"/>
  <c r="GP31" i="1"/>
  <c r="GV31" i="1"/>
  <c r="HC31" i="1" s="1"/>
  <c r="GX31" i="1" s="1"/>
  <c r="C32" i="1"/>
  <c r="D32" i="1"/>
  <c r="I32" i="1"/>
  <c r="K32" i="1"/>
  <c r="AC32" i="1"/>
  <c r="AE32" i="1"/>
  <c r="AF32" i="1"/>
  <c r="AG32" i="1"/>
  <c r="CU32" i="1" s="1"/>
  <c r="AH32" i="1"/>
  <c r="AI32" i="1"/>
  <c r="CW32" i="1" s="1"/>
  <c r="AJ32" i="1"/>
  <c r="CX32" i="1" s="1"/>
  <c r="W32" i="1" s="1"/>
  <c r="CV32" i="1"/>
  <c r="FR32" i="1"/>
  <c r="GL32" i="1"/>
  <c r="GO32" i="1"/>
  <c r="GP32" i="1"/>
  <c r="GV32" i="1"/>
  <c r="HC32" i="1" s="1"/>
  <c r="GX32" i="1" s="1"/>
  <c r="C33" i="1"/>
  <c r="D33" i="1"/>
  <c r="I33" i="1"/>
  <c r="K33" i="1"/>
  <c r="AC33" i="1"/>
  <c r="AE33" i="1"/>
  <c r="AF33" i="1"/>
  <c r="AG33" i="1"/>
  <c r="CU33" i="1" s="1"/>
  <c r="AH33" i="1"/>
  <c r="CV33" i="1" s="1"/>
  <c r="U33" i="1" s="1"/>
  <c r="AI33" i="1"/>
  <c r="CW33" i="1" s="1"/>
  <c r="AJ33" i="1"/>
  <c r="CX33" i="1" s="1"/>
  <c r="CR33" i="1"/>
  <c r="CS33" i="1"/>
  <c r="R33" i="1" s="1"/>
  <c r="FR33" i="1"/>
  <c r="GL33" i="1"/>
  <c r="GO33" i="1"/>
  <c r="GP33" i="1"/>
  <c r="GV33" i="1"/>
  <c r="HC33" i="1"/>
  <c r="AC34" i="1"/>
  <c r="AE34" i="1"/>
  <c r="AD34" i="1" s="1"/>
  <c r="AF34" i="1"/>
  <c r="CT34" i="1" s="1"/>
  <c r="AG34" i="1"/>
  <c r="CU34" i="1" s="1"/>
  <c r="AH34" i="1"/>
  <c r="AI34" i="1"/>
  <c r="CW34" i="1" s="1"/>
  <c r="AJ34" i="1"/>
  <c r="CX34" i="1" s="1"/>
  <c r="CR34" i="1"/>
  <c r="CV34" i="1"/>
  <c r="FR34" i="1"/>
  <c r="GL34" i="1"/>
  <c r="GO34" i="1"/>
  <c r="GP34" i="1"/>
  <c r="GV34" i="1"/>
  <c r="HC34" i="1" s="1"/>
  <c r="C35" i="1"/>
  <c r="D35" i="1"/>
  <c r="I35" i="1"/>
  <c r="K35" i="1"/>
  <c r="AC35" i="1"/>
  <c r="AE35" i="1"/>
  <c r="AF35" i="1"/>
  <c r="AG35" i="1"/>
  <c r="AH35" i="1"/>
  <c r="CV35" i="1" s="1"/>
  <c r="AI35" i="1"/>
  <c r="CW35" i="1" s="1"/>
  <c r="AJ35" i="1"/>
  <c r="CT35" i="1"/>
  <c r="CU35" i="1"/>
  <c r="CX35" i="1"/>
  <c r="FR35" i="1"/>
  <c r="GL35" i="1"/>
  <c r="GO35" i="1"/>
  <c r="GP35" i="1"/>
  <c r="GV35" i="1"/>
  <c r="HC35" i="1" s="1"/>
  <c r="AC36" i="1"/>
  <c r="CQ36" i="1" s="1"/>
  <c r="AE36" i="1"/>
  <c r="AD36" i="1" s="1"/>
  <c r="AF36" i="1"/>
  <c r="AG36" i="1"/>
  <c r="CU36" i="1" s="1"/>
  <c r="AH36" i="1"/>
  <c r="AI36" i="1"/>
  <c r="AJ36" i="1"/>
  <c r="CX36" i="1" s="1"/>
  <c r="CS36" i="1"/>
  <c r="CV36" i="1"/>
  <c r="CW36" i="1"/>
  <c r="FR36" i="1"/>
  <c r="GL36" i="1"/>
  <c r="GO36" i="1"/>
  <c r="GP36" i="1"/>
  <c r="GV36" i="1"/>
  <c r="HC36" i="1"/>
  <c r="C37" i="1"/>
  <c r="D37" i="1"/>
  <c r="I37" i="1"/>
  <c r="E123" i="6" s="1"/>
  <c r="K37" i="1"/>
  <c r="W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 s="1"/>
  <c r="CV37" i="1"/>
  <c r="U37" i="1" s="1"/>
  <c r="FR37" i="1"/>
  <c r="GL37" i="1"/>
  <c r="GO37" i="1"/>
  <c r="GP37" i="1"/>
  <c r="GV37" i="1"/>
  <c r="HC37" i="1"/>
  <c r="GX37" i="1" s="1"/>
  <c r="I38" i="1"/>
  <c r="E131" i="6" s="1"/>
  <c r="AC38" i="1"/>
  <c r="AE38" i="1"/>
  <c r="AD38" i="1" s="1"/>
  <c r="AF38" i="1"/>
  <c r="AG38" i="1"/>
  <c r="CU38" i="1" s="1"/>
  <c r="T38" i="1" s="1"/>
  <c r="AH38" i="1"/>
  <c r="AI38" i="1"/>
  <c r="CW38" i="1" s="1"/>
  <c r="V38" i="1" s="1"/>
  <c r="AJ38" i="1"/>
  <c r="CX38" i="1" s="1"/>
  <c r="CQ38" i="1"/>
  <c r="P38" i="1" s="1"/>
  <c r="CS38" i="1"/>
  <c r="CV38" i="1"/>
  <c r="U38" i="1" s="1"/>
  <c r="FR38" i="1"/>
  <c r="GL38" i="1"/>
  <c r="GO38" i="1"/>
  <c r="GP38" i="1"/>
  <c r="GV38" i="1"/>
  <c r="HC38" i="1"/>
  <c r="GX38" i="1" s="1"/>
  <c r="AC39" i="1"/>
  <c r="AE39" i="1"/>
  <c r="AD39" i="1" s="1"/>
  <c r="AF39" i="1"/>
  <c r="AG39" i="1"/>
  <c r="CU39" i="1" s="1"/>
  <c r="AH39" i="1"/>
  <c r="CV39" i="1" s="1"/>
  <c r="AI39" i="1"/>
  <c r="CW39" i="1" s="1"/>
  <c r="AJ39" i="1"/>
  <c r="CX39" i="1" s="1"/>
  <c r="CQ39" i="1"/>
  <c r="CS39" i="1"/>
  <c r="CT39" i="1"/>
  <c r="FR39" i="1"/>
  <c r="GL39" i="1"/>
  <c r="GO39" i="1"/>
  <c r="GP39" i="1"/>
  <c r="GV39" i="1"/>
  <c r="HC39" i="1"/>
  <c r="C40" i="1"/>
  <c r="D40" i="1"/>
  <c r="I40" i="1"/>
  <c r="K40" i="1"/>
  <c r="AC40" i="1"/>
  <c r="AE40" i="1"/>
  <c r="AF40" i="1"/>
  <c r="AG40" i="1"/>
  <c r="CU40" i="1" s="1"/>
  <c r="T40" i="1" s="1"/>
  <c r="AH40" i="1"/>
  <c r="CV40" i="1" s="1"/>
  <c r="AI40" i="1"/>
  <c r="CW40" i="1" s="1"/>
  <c r="AJ40" i="1"/>
  <c r="CQ40" i="1"/>
  <c r="P40" i="1" s="1"/>
  <c r="K141" i="6" s="1"/>
  <c r="CS40" i="1"/>
  <c r="CX40" i="1"/>
  <c r="W40" i="1" s="1"/>
  <c r="FR40" i="1"/>
  <c r="GL40" i="1"/>
  <c r="GO40" i="1"/>
  <c r="GP40" i="1"/>
  <c r="GV40" i="1"/>
  <c r="HC40" i="1"/>
  <c r="K41" i="1"/>
  <c r="AC41" i="1"/>
  <c r="AE41" i="1"/>
  <c r="AD41" i="1" s="1"/>
  <c r="AF41" i="1"/>
  <c r="AG41" i="1"/>
  <c r="CU41" i="1" s="1"/>
  <c r="AH41" i="1"/>
  <c r="AI41" i="1"/>
  <c r="CW41" i="1" s="1"/>
  <c r="AJ41" i="1"/>
  <c r="CX41" i="1" s="1"/>
  <c r="CQ41" i="1"/>
  <c r="CS41" i="1"/>
  <c r="CV41" i="1"/>
  <c r="FR41" i="1"/>
  <c r="GL41" i="1"/>
  <c r="GO41" i="1"/>
  <c r="GP41" i="1"/>
  <c r="GV41" i="1"/>
  <c r="HC41" i="1"/>
  <c r="AC42" i="1"/>
  <c r="AE42" i="1"/>
  <c r="CS42" i="1" s="1"/>
  <c r="AF42" i="1"/>
  <c r="AG42" i="1"/>
  <c r="AH42" i="1"/>
  <c r="CV42" i="1" s="1"/>
  <c r="AI42" i="1"/>
  <c r="CW42" i="1" s="1"/>
  <c r="AJ42" i="1"/>
  <c r="CX42" i="1" s="1"/>
  <c r="CQ42" i="1"/>
  <c r="CU42" i="1"/>
  <c r="FR42" i="1"/>
  <c r="GL42" i="1"/>
  <c r="GO42" i="1"/>
  <c r="GP42" i="1"/>
  <c r="GV42" i="1"/>
  <c r="HC42" i="1" s="1"/>
  <c r="C43" i="1"/>
  <c r="D43" i="1"/>
  <c r="I43" i="1"/>
  <c r="K43" i="1"/>
  <c r="AC43" i="1"/>
  <c r="AE43" i="1"/>
  <c r="AF43" i="1"/>
  <c r="AG43" i="1"/>
  <c r="CU43" i="1" s="1"/>
  <c r="T43" i="1" s="1"/>
  <c r="AH43" i="1"/>
  <c r="CV43" i="1" s="1"/>
  <c r="AI43" i="1"/>
  <c r="CW43" i="1" s="1"/>
  <c r="V43" i="1" s="1"/>
  <c r="AJ43" i="1"/>
  <c r="CQ43" i="1"/>
  <c r="P43" i="1" s="1"/>
  <c r="K157" i="6" s="1"/>
  <c r="CS43" i="1"/>
  <c r="R43" i="1" s="1"/>
  <c r="K156" i="6" s="1"/>
  <c r="CX43" i="1"/>
  <c r="W43" i="1" s="1"/>
  <c r="FR43" i="1"/>
  <c r="GL43" i="1"/>
  <c r="GO43" i="1"/>
  <c r="GP43" i="1"/>
  <c r="GV43" i="1"/>
  <c r="HC43" i="1"/>
  <c r="GX43" i="1" s="1"/>
  <c r="AC44" i="1"/>
  <c r="AE44" i="1"/>
  <c r="AD44" i="1" s="1"/>
  <c r="AF44" i="1"/>
  <c r="AG44" i="1"/>
  <c r="CU44" i="1" s="1"/>
  <c r="AH44" i="1"/>
  <c r="CV44" i="1" s="1"/>
  <c r="AI44" i="1"/>
  <c r="AJ44" i="1"/>
  <c r="CR44" i="1"/>
  <c r="CW44" i="1"/>
  <c r="CX44" i="1"/>
  <c r="FR44" i="1"/>
  <c r="GL44" i="1"/>
  <c r="GO44" i="1"/>
  <c r="GP44" i="1"/>
  <c r="GV44" i="1"/>
  <c r="HC44" i="1" s="1"/>
  <c r="AC45" i="1"/>
  <c r="AE45" i="1"/>
  <c r="AF45" i="1"/>
  <c r="AG45" i="1"/>
  <c r="AH45" i="1"/>
  <c r="AI45" i="1"/>
  <c r="AJ45" i="1"/>
  <c r="CX45" i="1" s="1"/>
  <c r="CU45" i="1"/>
  <c r="CV45" i="1"/>
  <c r="CW45" i="1"/>
  <c r="FR45" i="1"/>
  <c r="GL45" i="1"/>
  <c r="GO45" i="1"/>
  <c r="GP45" i="1"/>
  <c r="GV45" i="1"/>
  <c r="HC45" i="1"/>
  <c r="AC46" i="1"/>
  <c r="AE46" i="1"/>
  <c r="AD46" i="1" s="1"/>
  <c r="AF46" i="1"/>
  <c r="CT46" i="1" s="1"/>
  <c r="AG46" i="1"/>
  <c r="CU46" i="1" s="1"/>
  <c r="AH46" i="1"/>
  <c r="AI46" i="1"/>
  <c r="CW46" i="1" s="1"/>
  <c r="AJ46" i="1"/>
  <c r="CX46" i="1" s="1"/>
  <c r="CR46" i="1"/>
  <c r="CV46" i="1"/>
  <c r="FR46" i="1"/>
  <c r="GL46" i="1"/>
  <c r="GO46" i="1"/>
  <c r="GP46" i="1"/>
  <c r="GV46" i="1"/>
  <c r="HC46" i="1" s="1"/>
  <c r="I47" i="1"/>
  <c r="K47" i="1"/>
  <c r="AC47" i="1"/>
  <c r="CQ47" i="1" s="1"/>
  <c r="P47" i="1" s="1"/>
  <c r="AE47" i="1"/>
  <c r="AD47" i="1" s="1"/>
  <c r="AF47" i="1"/>
  <c r="AG47" i="1"/>
  <c r="CU47" i="1" s="1"/>
  <c r="AH47" i="1"/>
  <c r="CV47" i="1" s="1"/>
  <c r="U47" i="1" s="1"/>
  <c r="L170" i="6" s="1"/>
  <c r="Q170" i="6" s="1"/>
  <c r="AI47" i="1"/>
  <c r="CW47" i="1" s="1"/>
  <c r="V47" i="1" s="1"/>
  <c r="AJ47" i="1"/>
  <c r="CX47" i="1" s="1"/>
  <c r="W47" i="1" s="1"/>
  <c r="CS47" i="1"/>
  <c r="R47" i="1" s="1"/>
  <c r="CT47" i="1"/>
  <c r="S47" i="1" s="1"/>
  <c r="FR47" i="1"/>
  <c r="GL47" i="1"/>
  <c r="GO47" i="1"/>
  <c r="GP47" i="1"/>
  <c r="GV47" i="1"/>
  <c r="HC47" i="1"/>
  <c r="GX47" i="1" s="1"/>
  <c r="C48" i="1"/>
  <c r="D48" i="1"/>
  <c r="I48" i="1"/>
  <c r="K48" i="1"/>
  <c r="U48" i="1"/>
  <c r="AC48" i="1"/>
  <c r="AE48" i="1"/>
  <c r="AF48" i="1"/>
  <c r="AG48" i="1"/>
  <c r="CU48" i="1" s="1"/>
  <c r="AH48" i="1"/>
  <c r="AI48" i="1"/>
  <c r="AJ48" i="1"/>
  <c r="CR48" i="1"/>
  <c r="Q48" i="1" s="1"/>
  <c r="K174" i="6" s="1"/>
  <c r="CV48" i="1"/>
  <c r="CW48" i="1"/>
  <c r="CX48" i="1"/>
  <c r="W48" i="1" s="1"/>
  <c r="FR48" i="1"/>
  <c r="GL48" i="1"/>
  <c r="GO48" i="1"/>
  <c r="GP48" i="1"/>
  <c r="GV48" i="1"/>
  <c r="HC48" i="1"/>
  <c r="AC49" i="1"/>
  <c r="AD49" i="1"/>
  <c r="AB49" i="1" s="1"/>
  <c r="AE49" i="1"/>
  <c r="CS49" i="1" s="1"/>
  <c r="AF49" i="1"/>
  <c r="AG49" i="1"/>
  <c r="CU49" i="1" s="1"/>
  <c r="AH49" i="1"/>
  <c r="CV49" i="1" s="1"/>
  <c r="AI49" i="1"/>
  <c r="AJ49" i="1"/>
  <c r="CX49" i="1" s="1"/>
  <c r="CQ49" i="1"/>
  <c r="CR49" i="1"/>
  <c r="CW49" i="1"/>
  <c r="FR49" i="1"/>
  <c r="GL49" i="1"/>
  <c r="GO49" i="1"/>
  <c r="GP49" i="1"/>
  <c r="GV49" i="1"/>
  <c r="HC49" i="1" s="1"/>
  <c r="AC50" i="1"/>
  <c r="AE50" i="1"/>
  <c r="AD50" i="1" s="1"/>
  <c r="AF50" i="1"/>
  <c r="AG50" i="1"/>
  <c r="AH50" i="1"/>
  <c r="CV50" i="1" s="1"/>
  <c r="AI50" i="1"/>
  <c r="CW50" i="1" s="1"/>
  <c r="AJ50" i="1"/>
  <c r="CX50" i="1" s="1"/>
  <c r="CU50" i="1"/>
  <c r="FR50" i="1"/>
  <c r="GL50" i="1"/>
  <c r="GO50" i="1"/>
  <c r="GP50" i="1"/>
  <c r="GV50" i="1"/>
  <c r="HC50" i="1"/>
  <c r="I51" i="1"/>
  <c r="K51" i="1"/>
  <c r="O51" i="1"/>
  <c r="P51" i="1"/>
  <c r="Q51" i="1"/>
  <c r="R51" i="1"/>
  <c r="S51" i="1"/>
  <c r="T51" i="1"/>
  <c r="U51" i="1"/>
  <c r="L186" i="6" s="1"/>
  <c r="Q186" i="6" s="1"/>
  <c r="V51" i="1"/>
  <c r="W51" i="1"/>
  <c r="X51" i="1"/>
  <c r="T185" i="6" s="1"/>
  <c r="Y51" i="1"/>
  <c r="V185" i="6" s="1"/>
  <c r="AB51" i="1"/>
  <c r="AC51" i="1"/>
  <c r="AD51" i="1"/>
  <c r="AE51" i="1"/>
  <c r="AF51" i="1"/>
  <c r="AG51" i="1"/>
  <c r="AH51" i="1"/>
  <c r="AI51" i="1"/>
  <c r="AJ51" i="1"/>
  <c r="CP51" i="1"/>
  <c r="FR51" i="1"/>
  <c r="GL51" i="1"/>
  <c r="GO51" i="1"/>
  <c r="GP51" i="1"/>
  <c r="GV51" i="1"/>
  <c r="GX51" i="1"/>
  <c r="I52" i="1"/>
  <c r="K52" i="1"/>
  <c r="O52" i="1"/>
  <c r="P52" i="1"/>
  <c r="Q52" i="1"/>
  <c r="R52" i="1"/>
  <c r="S52" i="1"/>
  <c r="T52" i="1"/>
  <c r="U52" i="1"/>
  <c r="L188" i="6" s="1"/>
  <c r="Q188" i="6" s="1"/>
  <c r="V52" i="1"/>
  <c r="W52" i="1"/>
  <c r="X52" i="1"/>
  <c r="T187" i="6" s="1"/>
  <c r="Y52" i="1"/>
  <c r="V187" i="6" s="1"/>
  <c r="AB52" i="1"/>
  <c r="H187" i="6" s="1"/>
  <c r="AC52" i="1"/>
  <c r="AD52" i="1"/>
  <c r="AE52" i="1"/>
  <c r="AF52" i="1"/>
  <c r="AG52" i="1"/>
  <c r="AH52" i="1"/>
  <c r="AI52" i="1"/>
  <c r="AJ52" i="1"/>
  <c r="CP52" i="1"/>
  <c r="GN52" i="1" s="1"/>
  <c r="FR52" i="1"/>
  <c r="GL52" i="1"/>
  <c r="GO52" i="1"/>
  <c r="GP52" i="1"/>
  <c r="GV52" i="1"/>
  <c r="GX52" i="1"/>
  <c r="I53" i="1"/>
  <c r="AC53" i="1"/>
  <c r="CQ53" i="1" s="1"/>
  <c r="P53" i="1" s="1"/>
  <c r="K189" i="6" s="1"/>
  <c r="J191" i="6" s="1"/>
  <c r="P191" i="6" s="1"/>
  <c r="AE53" i="1"/>
  <c r="AD53" i="1" s="1"/>
  <c r="AF53" i="1"/>
  <c r="AG53" i="1"/>
  <c r="CU53" i="1" s="1"/>
  <c r="T53" i="1" s="1"/>
  <c r="AH53" i="1"/>
  <c r="CV53" i="1" s="1"/>
  <c r="AI53" i="1"/>
  <c r="CW53" i="1" s="1"/>
  <c r="V53" i="1" s="1"/>
  <c r="AJ53" i="1"/>
  <c r="CS53" i="1"/>
  <c r="R53" i="1" s="1"/>
  <c r="CX53" i="1"/>
  <c r="FR53" i="1"/>
  <c r="GL53" i="1"/>
  <c r="GO53" i="1"/>
  <c r="GP53" i="1"/>
  <c r="GV53" i="1"/>
  <c r="HC53" i="1"/>
  <c r="GX53" i="1" s="1"/>
  <c r="B55" i="1"/>
  <c r="B22" i="1" s="1"/>
  <c r="C55" i="1"/>
  <c r="C22" i="1" s="1"/>
  <c r="D55" i="1"/>
  <c r="D22" i="1" s="1"/>
  <c r="F55" i="1"/>
  <c r="F22" i="1" s="1"/>
  <c r="G55" i="1"/>
  <c r="BX55" i="1"/>
  <c r="AO55" i="1" s="1"/>
  <c r="CK55" i="1"/>
  <c r="CK22" i="1" s="1"/>
  <c r="CL55" i="1"/>
  <c r="CL22" i="1" s="1"/>
  <c r="B85" i="1"/>
  <c r="B18" i="1" s="1"/>
  <c r="C85" i="1"/>
  <c r="C18" i="1" s="1"/>
  <c r="D85" i="1"/>
  <c r="D18" i="1" s="1"/>
  <c r="F85" i="1"/>
  <c r="F18" i="1" s="1"/>
  <c r="G85" i="1"/>
  <c r="B20" i="2"/>
  <c r="B21" i="2"/>
  <c r="B22" i="2"/>
  <c r="B23" i="2"/>
  <c r="B24" i="2"/>
  <c r="B25" i="2"/>
  <c r="B26" i="2"/>
  <c r="B27" i="2"/>
  <c r="B28" i="2"/>
  <c r="B29" i="2"/>
  <c r="B30" i="2"/>
  <c r="B32" i="2"/>
  <c r="B33" i="2"/>
  <c r="B35" i="2"/>
  <c r="B36" i="2"/>
  <c r="B37" i="2"/>
  <c r="B39" i="2"/>
  <c r="B40" i="2"/>
  <c r="B41" i="2"/>
  <c r="B42" i="2"/>
  <c r="B43" i="2"/>
  <c r="B44" i="2"/>
  <c r="B45" i="2"/>
  <c r="B46" i="2"/>
  <c r="L107" i="6" l="1"/>
  <c r="Q107" i="6" s="1"/>
  <c r="L106" i="6"/>
  <c r="L69" i="6"/>
  <c r="Q69" i="6" s="1"/>
  <c r="L68" i="6"/>
  <c r="W44" i="1"/>
  <c r="L59" i="6"/>
  <c r="Q59" i="6" s="1"/>
  <c r="L58" i="6"/>
  <c r="CY27" i="1"/>
  <c r="X27" i="1" s="1"/>
  <c r="T60" i="6" s="1"/>
  <c r="K66" i="6" s="1"/>
  <c r="K62" i="6"/>
  <c r="CZ27" i="1"/>
  <c r="Y27" i="1" s="1"/>
  <c r="V60" i="6" s="1"/>
  <c r="K67" i="6" s="1"/>
  <c r="U185" i="6"/>
  <c r="S185" i="6"/>
  <c r="E185" i="6"/>
  <c r="L179" i="6"/>
  <c r="L181" i="6"/>
  <c r="Q181" i="6" s="1"/>
  <c r="U168" i="6"/>
  <c r="S168" i="6"/>
  <c r="CT45" i="1"/>
  <c r="S163" i="6"/>
  <c r="AB44" i="1"/>
  <c r="CT41" i="1"/>
  <c r="L132" i="6"/>
  <c r="Q132" i="6" s="1"/>
  <c r="L130" i="6"/>
  <c r="CS35" i="1"/>
  <c r="R35" i="1" s="1"/>
  <c r="K115" i="6" s="1"/>
  <c r="H115" i="6"/>
  <c r="R115" i="6" s="1"/>
  <c r="H114" i="6"/>
  <c r="AB34" i="1"/>
  <c r="H108" i="6"/>
  <c r="U91" i="6"/>
  <c r="H97" i="6" s="1"/>
  <c r="S91" i="6"/>
  <c r="H96" i="6" s="1"/>
  <c r="L50" i="6"/>
  <c r="L51" i="6"/>
  <c r="Q51" i="6" s="1"/>
  <c r="U53" i="1"/>
  <c r="L191" i="6" s="1"/>
  <c r="Q191" i="6" s="1"/>
  <c r="W188" i="6"/>
  <c r="G188" i="6"/>
  <c r="O188" i="6" s="1"/>
  <c r="AB50" i="1"/>
  <c r="AB47" i="1"/>
  <c r="CQ44" i="1"/>
  <c r="P44" i="1" s="1"/>
  <c r="CT43" i="1"/>
  <c r="S43" i="1" s="1"/>
  <c r="K154" i="6" s="1"/>
  <c r="U152" i="6"/>
  <c r="S152" i="6"/>
  <c r="H154" i="6"/>
  <c r="I41" i="1"/>
  <c r="E136" i="6"/>
  <c r="C137" i="6"/>
  <c r="CQ35" i="1"/>
  <c r="P35" i="1" s="1"/>
  <c r="K116" i="6" s="1"/>
  <c r="H116" i="6"/>
  <c r="GX33" i="1"/>
  <c r="Q33" i="1"/>
  <c r="K102" i="6" s="1"/>
  <c r="AD32" i="1"/>
  <c r="AB32" i="1" s="1"/>
  <c r="H94" i="6"/>
  <c r="R94" i="6" s="1"/>
  <c r="H93" i="6"/>
  <c r="CT31" i="1"/>
  <c r="S31" i="1" s="1"/>
  <c r="U89" i="6"/>
  <c r="S89" i="6"/>
  <c r="C61" i="6"/>
  <c r="E60" i="6"/>
  <c r="CS24" i="1"/>
  <c r="R24" i="1" s="1"/>
  <c r="H38" i="6"/>
  <c r="G18" i="1"/>
  <c r="AF197" i="6"/>
  <c r="A197" i="6"/>
  <c r="W53" i="1"/>
  <c r="U187" i="6"/>
  <c r="S187" i="6"/>
  <c r="E187" i="6"/>
  <c r="GN51" i="1"/>
  <c r="CS50" i="1"/>
  <c r="CQ50" i="1"/>
  <c r="U180" i="6"/>
  <c r="H175" i="6"/>
  <c r="R175" i="6" s="1"/>
  <c r="H174" i="6"/>
  <c r="E171" i="6"/>
  <c r="C172" i="6"/>
  <c r="CR47" i="1"/>
  <c r="Q47" i="1" s="1"/>
  <c r="CP47" i="1" s="1"/>
  <c r="O47" i="1" s="1"/>
  <c r="GN47" i="1" s="1"/>
  <c r="H163" i="6"/>
  <c r="S161" i="6"/>
  <c r="AD43" i="1"/>
  <c r="H156" i="6"/>
  <c r="R156" i="6" s="1"/>
  <c r="H155" i="6"/>
  <c r="I44" i="1"/>
  <c r="E161" i="6" s="1"/>
  <c r="C153" i="6"/>
  <c r="E152" i="6"/>
  <c r="CR42" i="1"/>
  <c r="AD42" i="1"/>
  <c r="AB42" i="1" s="1"/>
  <c r="CR41" i="1"/>
  <c r="GX40" i="1"/>
  <c r="R40" i="1"/>
  <c r="K140" i="6" s="1"/>
  <c r="V40" i="1"/>
  <c r="AD40" i="1"/>
  <c r="H140" i="6"/>
  <c r="R140" i="6" s="1"/>
  <c r="H139" i="6"/>
  <c r="R38" i="1"/>
  <c r="AB38" i="1"/>
  <c r="AD37" i="1"/>
  <c r="AB37" i="1" s="1"/>
  <c r="H126" i="6"/>
  <c r="R126" i="6" s="1"/>
  <c r="H125" i="6"/>
  <c r="BY55" i="1"/>
  <c r="AP55" i="1" s="1"/>
  <c r="CT36" i="1"/>
  <c r="CR35" i="1"/>
  <c r="W33" i="1"/>
  <c r="CT33" i="1"/>
  <c r="S33" i="1" s="1"/>
  <c r="K101" i="6" s="1"/>
  <c r="U99" i="6"/>
  <c r="H105" i="6" s="1"/>
  <c r="S99" i="6"/>
  <c r="H104" i="6" s="1"/>
  <c r="H101" i="6"/>
  <c r="CT32" i="1"/>
  <c r="CQ32" i="1"/>
  <c r="P32" i="1" s="1"/>
  <c r="K95" i="6" s="1"/>
  <c r="H95" i="6"/>
  <c r="CQ30" i="1"/>
  <c r="P30" i="1" s="1"/>
  <c r="K84" i="6" s="1"/>
  <c r="H65" i="6"/>
  <c r="CT26" i="1"/>
  <c r="S26" i="1" s="1"/>
  <c r="K53" i="6" s="1"/>
  <c r="S52" i="6"/>
  <c r="H56" i="6" s="1"/>
  <c r="H53" i="6"/>
  <c r="U52" i="6"/>
  <c r="H57" i="6" s="1"/>
  <c r="AD25" i="1"/>
  <c r="AB25" i="1" s="1"/>
  <c r="H47" i="6"/>
  <c r="R47" i="6" s="1"/>
  <c r="H46" i="6"/>
  <c r="L42" i="6"/>
  <c r="Q42" i="6" s="1"/>
  <c r="L41" i="6"/>
  <c r="AD24" i="1"/>
  <c r="CX1" i="3"/>
  <c r="E35" i="6"/>
  <c r="C36" i="6"/>
  <c r="C190" i="6"/>
  <c r="E189" i="6"/>
  <c r="U149" i="6"/>
  <c r="S149" i="6"/>
  <c r="CZ33" i="1"/>
  <c r="Y33" i="1" s="1"/>
  <c r="V99" i="6" s="1"/>
  <c r="K105" i="6" s="1"/>
  <c r="K103" i="6"/>
  <c r="E99" i="6"/>
  <c r="C100" i="6"/>
  <c r="CX35" i="3"/>
  <c r="DF35" i="3" s="1"/>
  <c r="C92" i="6"/>
  <c r="E91" i="6"/>
  <c r="CS30" i="1"/>
  <c r="R30" i="1" s="1"/>
  <c r="K83" i="6" s="1"/>
  <c r="H83" i="6"/>
  <c r="R83" i="6" s="1"/>
  <c r="H82" i="6"/>
  <c r="CT28" i="1"/>
  <c r="U70" i="6"/>
  <c r="H75" i="6" s="1"/>
  <c r="H71" i="6"/>
  <c r="R71" i="6" s="1"/>
  <c r="S60" i="6"/>
  <c r="H66" i="6" s="1"/>
  <c r="H62" i="6"/>
  <c r="U60" i="6"/>
  <c r="H67" i="6" s="1"/>
  <c r="S35" i="6"/>
  <c r="H39" i="6" s="1"/>
  <c r="H37" i="6"/>
  <c r="U35" i="6"/>
  <c r="H40" i="6" s="1"/>
  <c r="CR53" i="1"/>
  <c r="Q53" i="1" s="1"/>
  <c r="CP53" i="1" s="1"/>
  <c r="O53" i="1" s="1"/>
  <c r="AB53" i="1"/>
  <c r="H189" i="6"/>
  <c r="GM52" i="1"/>
  <c r="CT50" i="1"/>
  <c r="CT48" i="1"/>
  <c r="S48" i="1" s="1"/>
  <c r="K173" i="6" s="1"/>
  <c r="H173" i="6"/>
  <c r="U171" i="6"/>
  <c r="S171" i="6"/>
  <c r="C169" i="6"/>
  <c r="E168" i="6"/>
  <c r="V45" i="1"/>
  <c r="CT42" i="1"/>
  <c r="CT40" i="1"/>
  <c r="S40" i="1" s="1"/>
  <c r="K138" i="6" s="1"/>
  <c r="H138" i="6"/>
  <c r="U136" i="6"/>
  <c r="H143" i="6" s="1"/>
  <c r="S136" i="6"/>
  <c r="H142" i="6" s="1"/>
  <c r="CR39" i="1"/>
  <c r="CT38" i="1"/>
  <c r="S38" i="1" s="1"/>
  <c r="CZ38" i="1" s="1"/>
  <c r="Y38" i="1" s="1"/>
  <c r="S131" i="6"/>
  <c r="U131" i="6"/>
  <c r="CT37" i="1"/>
  <c r="S37" i="1" s="1"/>
  <c r="K124" i="6" s="1"/>
  <c r="S123" i="6"/>
  <c r="U123" i="6"/>
  <c r="H124" i="6"/>
  <c r="S108" i="6"/>
  <c r="T33" i="1"/>
  <c r="V32" i="1"/>
  <c r="L88" i="6"/>
  <c r="Q88" i="6" s="1"/>
  <c r="L87" i="6"/>
  <c r="AB29" i="1"/>
  <c r="AD28" i="1"/>
  <c r="AB28" i="1" s="1"/>
  <c r="H73" i="6"/>
  <c r="R73" i="6" s="1"/>
  <c r="H72" i="6"/>
  <c r="AD27" i="1"/>
  <c r="H63" i="6"/>
  <c r="H64" i="6"/>
  <c r="R64" i="6" s="1"/>
  <c r="H45" i="6"/>
  <c r="S43" i="6"/>
  <c r="H48" i="6" s="1"/>
  <c r="U43" i="6"/>
  <c r="H49" i="6" s="1"/>
  <c r="G22" i="1"/>
  <c r="A193" i="6"/>
  <c r="CT53" i="1"/>
  <c r="S53" i="1" s="1"/>
  <c r="U189" i="6"/>
  <c r="S189" i="6"/>
  <c r="K53" i="1"/>
  <c r="GM51" i="1"/>
  <c r="H185" i="6"/>
  <c r="CR50" i="1"/>
  <c r="CT49" i="1"/>
  <c r="H176" i="6"/>
  <c r="T47" i="1"/>
  <c r="CS46" i="1"/>
  <c r="T45" i="1"/>
  <c r="I45" i="1"/>
  <c r="U163" i="6" s="1"/>
  <c r="CT44" i="1"/>
  <c r="CR43" i="1"/>
  <c r="Q43" i="1" s="1"/>
  <c r="K155" i="6" s="1"/>
  <c r="U43" i="1"/>
  <c r="AB43" i="1"/>
  <c r="H157" i="6"/>
  <c r="CR40" i="1"/>
  <c r="Q40" i="1" s="1"/>
  <c r="U40" i="1"/>
  <c r="AB40" i="1"/>
  <c r="H141" i="6"/>
  <c r="AB39" i="1"/>
  <c r="S133" i="6"/>
  <c r="K39" i="1"/>
  <c r="CR38" i="1"/>
  <c r="Q38" i="1" s="1"/>
  <c r="CP38" i="1" s="1"/>
  <c r="O38" i="1" s="1"/>
  <c r="K131" i="6" s="1"/>
  <c r="H131" i="6"/>
  <c r="W131" i="6" s="1"/>
  <c r="CQ37" i="1"/>
  <c r="P37" i="1" s="1"/>
  <c r="K127" i="6" s="1"/>
  <c r="H127" i="6"/>
  <c r="U111" i="6"/>
  <c r="H118" i="6" s="1"/>
  <c r="S111" i="6"/>
  <c r="H117" i="6" s="1"/>
  <c r="H113" i="6"/>
  <c r="C112" i="6"/>
  <c r="E111" i="6"/>
  <c r="CS34" i="1"/>
  <c r="V33" i="1"/>
  <c r="AD33" i="1"/>
  <c r="H103" i="6"/>
  <c r="R103" i="6" s="1"/>
  <c r="H102" i="6"/>
  <c r="CS32" i="1"/>
  <c r="R32" i="1" s="1"/>
  <c r="K94" i="6" s="1"/>
  <c r="CQ31" i="1"/>
  <c r="P31" i="1" s="1"/>
  <c r="K89" i="6" s="1"/>
  <c r="J90" i="6" s="1"/>
  <c r="P90" i="6" s="1"/>
  <c r="H89" i="6"/>
  <c r="H81" i="6"/>
  <c r="U80" i="6"/>
  <c r="H86" i="6" s="1"/>
  <c r="S80" i="6"/>
  <c r="H85" i="6" s="1"/>
  <c r="CT29" i="1"/>
  <c r="CS28" i="1"/>
  <c r="CQ27" i="1"/>
  <c r="H55" i="6"/>
  <c r="R55" i="6" s="1"/>
  <c r="H54" i="6"/>
  <c r="CR25" i="1"/>
  <c r="Q25" i="1" s="1"/>
  <c r="K46" i="6" s="1"/>
  <c r="C44" i="6"/>
  <c r="E43" i="6"/>
  <c r="CR24" i="1"/>
  <c r="Q24" i="1" s="1"/>
  <c r="K38" i="6" s="1"/>
  <c r="V36" i="1"/>
  <c r="CX49" i="3"/>
  <c r="CX51" i="3"/>
  <c r="CX50" i="3"/>
  <c r="CX48" i="3"/>
  <c r="I36" i="1"/>
  <c r="E121" i="6" s="1"/>
  <c r="K36" i="1"/>
  <c r="W34" i="1"/>
  <c r="CY30" i="1"/>
  <c r="X30" i="1" s="1"/>
  <c r="T80" i="6" s="1"/>
  <c r="K85" i="6" s="1"/>
  <c r="CZ30" i="1"/>
  <c r="Y30" i="1" s="1"/>
  <c r="V80" i="6" s="1"/>
  <c r="K86" i="6" s="1"/>
  <c r="W45" i="1"/>
  <c r="CY37" i="1"/>
  <c r="X37" i="1" s="1"/>
  <c r="T123" i="6" s="1"/>
  <c r="U35" i="1"/>
  <c r="CC55" i="1"/>
  <c r="CX78" i="3"/>
  <c r="CX74" i="3"/>
  <c r="CX75" i="3"/>
  <c r="I49" i="1"/>
  <c r="E180" i="6" s="1"/>
  <c r="I50" i="1"/>
  <c r="K50" i="1"/>
  <c r="CX80" i="3"/>
  <c r="CZ43" i="1"/>
  <c r="Y43" i="1" s="1"/>
  <c r="V152" i="6" s="1"/>
  <c r="W35" i="1"/>
  <c r="W49" i="1"/>
  <c r="CS45" i="1"/>
  <c r="R45" i="1" s="1"/>
  <c r="AD45" i="1"/>
  <c r="U44" i="1"/>
  <c r="AB41" i="1"/>
  <c r="W36" i="1"/>
  <c r="GX35" i="1"/>
  <c r="CP30" i="1"/>
  <c r="O30" i="1" s="1"/>
  <c r="AB45" i="1"/>
  <c r="AO22" i="1"/>
  <c r="F59" i="1"/>
  <c r="AO85" i="1"/>
  <c r="V49" i="1"/>
  <c r="GX48" i="1"/>
  <c r="V48" i="1"/>
  <c r="CY47" i="1"/>
  <c r="X47" i="1" s="1"/>
  <c r="T168" i="6" s="1"/>
  <c r="CZ47" i="1"/>
  <c r="Y47" i="1" s="1"/>
  <c r="CR45" i="1"/>
  <c r="Q45" i="1" s="1"/>
  <c r="V44" i="1"/>
  <c r="U39" i="1"/>
  <c r="L135" i="6" s="1"/>
  <c r="Q135" i="6" s="1"/>
  <c r="S35" i="1"/>
  <c r="K113" i="6" s="1"/>
  <c r="CZ26" i="1"/>
  <c r="Y26" i="1" s="1"/>
  <c r="V52" i="6" s="1"/>
  <c r="K57" i="6" s="1"/>
  <c r="CY53" i="1"/>
  <c r="X53" i="1" s="1"/>
  <c r="T189" i="6" s="1"/>
  <c r="CZ53" i="1"/>
  <c r="Y53" i="1" s="1"/>
  <c r="V189" i="6" s="1"/>
  <c r="T44" i="1"/>
  <c r="T35" i="1"/>
  <c r="CY31" i="1"/>
  <c r="X31" i="1" s="1"/>
  <c r="T89" i="6" s="1"/>
  <c r="CZ31" i="1"/>
  <c r="Y31" i="1" s="1"/>
  <c r="V89" i="6" s="1"/>
  <c r="BC55" i="1"/>
  <c r="CS48" i="1"/>
  <c r="R48" i="1" s="1"/>
  <c r="K175" i="6" s="1"/>
  <c r="AD48" i="1"/>
  <c r="AB48" i="1" s="1"/>
  <c r="S44" i="1"/>
  <c r="CP43" i="1"/>
  <c r="O43" i="1" s="1"/>
  <c r="CZ40" i="1"/>
  <c r="Y40" i="1" s="1"/>
  <c r="V136" i="6" s="1"/>
  <c r="K143" i="6" s="1"/>
  <c r="BZ55" i="1"/>
  <c r="AU55" i="1"/>
  <c r="T48" i="1"/>
  <c r="CQ46" i="1"/>
  <c r="AB46" i="1"/>
  <c r="GX44" i="1"/>
  <c r="Q44" i="1"/>
  <c r="CP44" i="1" s="1"/>
  <c r="O44" i="1" s="1"/>
  <c r="K161" i="6" s="1"/>
  <c r="CY38" i="1"/>
  <c r="X38" i="1" s="1"/>
  <c r="BY22" i="1"/>
  <c r="CQ33" i="1"/>
  <c r="P33" i="1" s="1"/>
  <c r="CP33" i="1" s="1"/>
  <c r="O33" i="1" s="1"/>
  <c r="AB33" i="1"/>
  <c r="BB55" i="1"/>
  <c r="CQ48" i="1"/>
  <c r="P48" i="1" s="1"/>
  <c r="CQ45" i="1"/>
  <c r="P45" i="1" s="1"/>
  <c r="K163" i="6" s="1"/>
  <c r="J164" i="6" s="1"/>
  <c r="P164" i="6" s="1"/>
  <c r="CS44" i="1"/>
  <c r="R44" i="1" s="1"/>
  <c r="CQ34" i="1"/>
  <c r="CX41" i="3"/>
  <c r="CX38" i="3"/>
  <c r="CX46" i="3"/>
  <c r="CX43" i="3"/>
  <c r="I34" i="1"/>
  <c r="K34" i="1"/>
  <c r="CX42" i="3"/>
  <c r="CX40" i="3"/>
  <c r="CR32" i="1"/>
  <c r="Q32" i="1" s="1"/>
  <c r="T31" i="1"/>
  <c r="T27" i="1"/>
  <c r="CX14" i="3"/>
  <c r="CX11" i="3"/>
  <c r="CX55" i="3"/>
  <c r="CX65" i="3"/>
  <c r="CX62" i="3"/>
  <c r="CX59" i="3"/>
  <c r="CX64" i="3"/>
  <c r="V35" i="1"/>
  <c r="DH35" i="3"/>
  <c r="DI35" i="3"/>
  <c r="DJ35" i="3" s="1"/>
  <c r="CS26" i="1"/>
  <c r="R26" i="1" s="1"/>
  <c r="K55" i="6" s="1"/>
  <c r="AD26" i="1"/>
  <c r="AB26" i="1" s="1"/>
  <c r="BX22" i="1"/>
  <c r="CX73" i="3"/>
  <c r="CX70" i="3"/>
  <c r="CX67" i="3"/>
  <c r="CX66" i="3"/>
  <c r="CX72" i="3"/>
  <c r="CR31" i="1"/>
  <c r="Q31" i="1" s="1"/>
  <c r="CP31" i="1" s="1"/>
  <c r="O31" i="1" s="1"/>
  <c r="AD30" i="1"/>
  <c r="AB30" i="1" s="1"/>
  <c r="AB27" i="1"/>
  <c r="CR26" i="1"/>
  <c r="Q26" i="1" s="1"/>
  <c r="CS37" i="1"/>
  <c r="R37" i="1" s="1"/>
  <c r="V34" i="1"/>
  <c r="AB31" i="1"/>
  <c r="CR27" i="1"/>
  <c r="Q27" i="1" s="1"/>
  <c r="K63" i="6" s="1"/>
  <c r="CX22" i="3"/>
  <c r="CX19" i="3"/>
  <c r="K28" i="1"/>
  <c r="I29" i="1"/>
  <c r="CX18" i="3"/>
  <c r="K29" i="1"/>
  <c r="CX16" i="3"/>
  <c r="CY25" i="1"/>
  <c r="X25" i="1" s="1"/>
  <c r="T43" i="6" s="1"/>
  <c r="K48" i="6" s="1"/>
  <c r="CZ25" i="1"/>
  <c r="Y25" i="1" s="1"/>
  <c r="V43" i="6" s="1"/>
  <c r="K49" i="6" s="1"/>
  <c r="K46" i="1"/>
  <c r="CR37" i="1"/>
  <c r="Q37" i="1" s="1"/>
  <c r="Q35" i="1"/>
  <c r="K114" i="6" s="1"/>
  <c r="CY33" i="1"/>
  <c r="X33" i="1" s="1"/>
  <c r="T99" i="6" s="1"/>
  <c r="K104" i="6" s="1"/>
  <c r="T32" i="1"/>
  <c r="U32" i="1"/>
  <c r="L98" i="6" s="1"/>
  <c r="Q98" i="6" s="1"/>
  <c r="CX33" i="3"/>
  <c r="CX30" i="3"/>
  <c r="CX34" i="3"/>
  <c r="CX32" i="3"/>
  <c r="I28" i="1"/>
  <c r="S70" i="6" s="1"/>
  <c r="H74" i="6" s="1"/>
  <c r="W77" i="6" s="1"/>
  <c r="P27" i="1"/>
  <c r="CQ24" i="1"/>
  <c r="P24" i="1" s="1"/>
  <c r="AB24" i="1"/>
  <c r="CX58" i="3"/>
  <c r="CX52" i="3"/>
  <c r="I46" i="1"/>
  <c r="K42" i="1"/>
  <c r="W38" i="1"/>
  <c r="CX57" i="3"/>
  <c r="CX54" i="3"/>
  <c r="CX56" i="3"/>
  <c r="I39" i="1"/>
  <c r="CR36" i="1"/>
  <c r="Q36" i="1" s="1"/>
  <c r="P36" i="1"/>
  <c r="AD35" i="1"/>
  <c r="AB35" i="1" s="1"/>
  <c r="CQ29" i="1"/>
  <c r="CR28" i="1"/>
  <c r="CX53" i="3"/>
  <c r="K45" i="1"/>
  <c r="I42" i="1"/>
  <c r="AB36" i="1"/>
  <c r="S32" i="1"/>
  <c r="W24" i="1"/>
  <c r="CX79" i="3"/>
  <c r="CX47" i="3"/>
  <c r="CX45" i="3"/>
  <c r="CX44" i="3"/>
  <c r="CX39" i="3"/>
  <c r="CX37" i="3"/>
  <c r="CX36" i="3"/>
  <c r="DF1" i="3"/>
  <c r="DG1" i="3"/>
  <c r="DH1" i="3"/>
  <c r="DI1" i="3"/>
  <c r="DJ1" i="3" s="1"/>
  <c r="CX77" i="3"/>
  <c r="CX76" i="3"/>
  <c r="CX31" i="3"/>
  <c r="CX29" i="3"/>
  <c r="CX6" i="3"/>
  <c r="CX3" i="3"/>
  <c r="CX23" i="3"/>
  <c r="CX21" i="3"/>
  <c r="CX20" i="3"/>
  <c r="CX17" i="3"/>
  <c r="CX15" i="3"/>
  <c r="CX13" i="3"/>
  <c r="CX12" i="3"/>
  <c r="CX9" i="3"/>
  <c r="CX8" i="3"/>
  <c r="S24" i="1"/>
  <c r="K37" i="6" s="1"/>
  <c r="CX71" i="3"/>
  <c r="CX69" i="3"/>
  <c r="CX68" i="3"/>
  <c r="CX10" i="3"/>
  <c r="CX7" i="3"/>
  <c r="CX5" i="3"/>
  <c r="CX4" i="3"/>
  <c r="CX63" i="3"/>
  <c r="CX61" i="3"/>
  <c r="CX60" i="3"/>
  <c r="CX2" i="3"/>
  <c r="H129" i="6" l="1"/>
  <c r="J51" i="6"/>
  <c r="P51" i="6" s="1"/>
  <c r="J88" i="6"/>
  <c r="P88" i="6" s="1"/>
  <c r="K139" i="6"/>
  <c r="CP40" i="1"/>
  <c r="O40" i="1" s="1"/>
  <c r="GM40" i="1" s="1"/>
  <c r="GM38" i="1"/>
  <c r="V131" i="6"/>
  <c r="R46" i="1"/>
  <c r="E165" i="6"/>
  <c r="C166" i="6"/>
  <c r="Q29" i="1"/>
  <c r="E78" i="6"/>
  <c r="R50" i="1"/>
  <c r="C183" i="6"/>
  <c r="E182" i="6"/>
  <c r="V46" i="1"/>
  <c r="R81" i="6"/>
  <c r="W88" i="6"/>
  <c r="G88" i="6"/>
  <c r="O88" i="6" s="1"/>
  <c r="L145" i="6"/>
  <c r="Q145" i="6" s="1"/>
  <c r="L144" i="6"/>
  <c r="L162" i="6"/>
  <c r="Q162" i="6" s="1"/>
  <c r="L160" i="6"/>
  <c r="G77" i="6"/>
  <c r="O77" i="6" s="1"/>
  <c r="W107" i="6"/>
  <c r="R101" i="6"/>
  <c r="Q41" i="1"/>
  <c r="C147" i="6"/>
  <c r="E146" i="6"/>
  <c r="W110" i="6"/>
  <c r="G110" i="6"/>
  <c r="O110" i="6" s="1"/>
  <c r="S146" i="6"/>
  <c r="S182" i="6"/>
  <c r="CP37" i="1"/>
  <c r="O37" i="1" s="1"/>
  <c r="K125" i="6"/>
  <c r="R29" i="1"/>
  <c r="CZ37" i="1"/>
  <c r="Y37" i="1" s="1"/>
  <c r="V123" i="6" s="1"/>
  <c r="K126" i="6"/>
  <c r="GN38" i="1"/>
  <c r="T131" i="6"/>
  <c r="K128" i="6" s="1"/>
  <c r="CY40" i="1"/>
  <c r="X40" i="1" s="1"/>
  <c r="T136" i="6" s="1"/>
  <c r="K142" i="6" s="1"/>
  <c r="U29" i="1"/>
  <c r="L79" i="6" s="1"/>
  <c r="Q79" i="6" s="1"/>
  <c r="CY26" i="1"/>
  <c r="X26" i="1" s="1"/>
  <c r="T52" i="6" s="1"/>
  <c r="K56" i="6" s="1"/>
  <c r="Q50" i="1"/>
  <c r="P50" i="1"/>
  <c r="K182" i="6" s="1"/>
  <c r="J184" i="6" s="1"/>
  <c r="P184" i="6" s="1"/>
  <c r="P41" i="1"/>
  <c r="CY43" i="1"/>
  <c r="X43" i="1" s="1"/>
  <c r="T152" i="6" s="1"/>
  <c r="U50" i="1"/>
  <c r="L184" i="6" s="1"/>
  <c r="Q184" i="6" s="1"/>
  <c r="W90" i="6"/>
  <c r="G90" i="6"/>
  <c r="O90" i="6" s="1"/>
  <c r="H128" i="6"/>
  <c r="G132" i="6" s="1"/>
  <c r="O132" i="6" s="1"/>
  <c r="W145" i="6"/>
  <c r="R138" i="6"/>
  <c r="S165" i="6"/>
  <c r="G107" i="6"/>
  <c r="O107" i="6" s="1"/>
  <c r="W164" i="6"/>
  <c r="G164" i="6"/>
  <c r="O164" i="6" s="1"/>
  <c r="H182" i="6"/>
  <c r="R154" i="6"/>
  <c r="S41" i="1"/>
  <c r="U182" i="6"/>
  <c r="V41" i="1"/>
  <c r="DG35" i="3"/>
  <c r="CP32" i="1"/>
  <c r="O32" i="1" s="1"/>
  <c r="K93" i="6"/>
  <c r="C109" i="6"/>
  <c r="E108" i="6"/>
  <c r="CP48" i="1"/>
  <c r="O48" i="1" s="1"/>
  <c r="GM48" i="1" s="1"/>
  <c r="K176" i="6"/>
  <c r="CI55" i="1"/>
  <c r="T41" i="1"/>
  <c r="T29" i="1"/>
  <c r="W41" i="1"/>
  <c r="R41" i="1"/>
  <c r="W186" i="6"/>
  <c r="G186" i="6"/>
  <c r="O186" i="6" s="1"/>
  <c r="U108" i="6"/>
  <c r="U165" i="6"/>
  <c r="H178" i="6"/>
  <c r="HD52" i="1"/>
  <c r="K187" i="6"/>
  <c r="J188" i="6" s="1"/>
  <c r="P188" i="6" s="1"/>
  <c r="W42" i="6"/>
  <c r="R62" i="6"/>
  <c r="G69" i="6"/>
  <c r="O69" i="6" s="1"/>
  <c r="R53" i="6"/>
  <c r="W59" i="6"/>
  <c r="G59" i="6"/>
  <c r="O59" i="6" s="1"/>
  <c r="U78" i="6"/>
  <c r="S121" i="6"/>
  <c r="J107" i="6"/>
  <c r="P107" i="6" s="1"/>
  <c r="H158" i="6"/>
  <c r="W98" i="6"/>
  <c r="GX41" i="1"/>
  <c r="R45" i="6"/>
  <c r="W51" i="6"/>
  <c r="G51" i="6"/>
  <c r="O51" i="6" s="1"/>
  <c r="E149" i="6"/>
  <c r="C150" i="6"/>
  <c r="E133" i="6"/>
  <c r="C134" i="6"/>
  <c r="CP27" i="1"/>
  <c r="O27" i="1" s="1"/>
  <c r="GN27" i="1" s="1"/>
  <c r="K65" i="6"/>
  <c r="J69" i="6" s="1"/>
  <c r="P69" i="6" s="1"/>
  <c r="CP25" i="1"/>
  <c r="O25" i="1" s="1"/>
  <c r="CX28" i="3"/>
  <c r="DI28" i="3" s="1"/>
  <c r="E70" i="6"/>
  <c r="CP26" i="1"/>
  <c r="O26" i="1" s="1"/>
  <c r="K54" i="6"/>
  <c r="P34" i="1"/>
  <c r="K108" i="6" s="1"/>
  <c r="J110" i="6" s="1"/>
  <c r="P110" i="6" s="1"/>
  <c r="W42" i="1"/>
  <c r="AJ55" i="1" s="1"/>
  <c r="P42" i="1"/>
  <c r="GM47" i="1"/>
  <c r="V168" i="6"/>
  <c r="V39" i="1"/>
  <c r="W39" i="1"/>
  <c r="L120" i="6"/>
  <c r="Q120" i="6" s="1"/>
  <c r="L119" i="6"/>
  <c r="G120" i="6"/>
  <c r="O120" i="6" s="1"/>
  <c r="R113" i="6"/>
  <c r="W120" i="6"/>
  <c r="U133" i="6"/>
  <c r="U45" i="1"/>
  <c r="L164" i="6" s="1"/>
  <c r="Q164" i="6" s="1"/>
  <c r="E163" i="6"/>
  <c r="HD51" i="1"/>
  <c r="CM55" i="1" s="1"/>
  <c r="CM22" i="1" s="1"/>
  <c r="K185" i="6"/>
  <c r="J186" i="6" s="1"/>
  <c r="P186" i="6" s="1"/>
  <c r="H78" i="6"/>
  <c r="R124" i="6"/>
  <c r="G145" i="6"/>
  <c r="O145" i="6" s="1"/>
  <c r="R173" i="6"/>
  <c r="G191" i="6"/>
  <c r="O191" i="6" s="1"/>
  <c r="W191" i="6"/>
  <c r="R37" i="6"/>
  <c r="G42" i="6"/>
  <c r="O42" i="6" s="1"/>
  <c r="W69" i="6"/>
  <c r="U41" i="1"/>
  <c r="L148" i="6" s="1"/>
  <c r="Q148" i="6" s="1"/>
  <c r="S78" i="6"/>
  <c r="U121" i="6"/>
  <c r="H133" i="6"/>
  <c r="U161" i="6"/>
  <c r="H159" i="6" s="1"/>
  <c r="S180" i="6"/>
  <c r="H177" i="6" s="1"/>
  <c r="G98" i="6"/>
  <c r="O98" i="6" s="1"/>
  <c r="H180" i="6"/>
  <c r="W180" i="6" s="1"/>
  <c r="U146" i="6"/>
  <c r="H161" i="6"/>
  <c r="W161" i="6" s="1"/>
  <c r="S45" i="1"/>
  <c r="CY45" i="1" s="1"/>
  <c r="X45" i="1" s="1"/>
  <c r="T163" i="6" s="1"/>
  <c r="GX45" i="1"/>
  <c r="GM26" i="1"/>
  <c r="GN26" i="1"/>
  <c r="GM31" i="1"/>
  <c r="GN31" i="1"/>
  <c r="DG28" i="3"/>
  <c r="DH28" i="3"/>
  <c r="GN37" i="1"/>
  <c r="GN53" i="1"/>
  <c r="GM53" i="1"/>
  <c r="T46" i="1"/>
  <c r="CC22" i="1"/>
  <c r="AT55" i="1"/>
  <c r="W46" i="1"/>
  <c r="DG44" i="3"/>
  <c r="DH44" i="3"/>
  <c r="DI44" i="3"/>
  <c r="DF44" i="3"/>
  <c r="DJ44" i="3" s="1"/>
  <c r="DF41" i="3"/>
  <c r="DG41" i="3"/>
  <c r="DJ41" i="3" s="1"/>
  <c r="DH41" i="3"/>
  <c r="DI41" i="3"/>
  <c r="DH23" i="3"/>
  <c r="DI23" i="3"/>
  <c r="DF23" i="3"/>
  <c r="DJ23" i="3" s="1"/>
  <c r="DG23" i="3"/>
  <c r="DF67" i="3"/>
  <c r="DG67" i="3"/>
  <c r="DH67" i="3"/>
  <c r="DI67" i="3"/>
  <c r="DJ67" i="3" s="1"/>
  <c r="DH77" i="3"/>
  <c r="DF77" i="3"/>
  <c r="DG77" i="3"/>
  <c r="DJ77" i="3" s="1"/>
  <c r="DI77" i="3"/>
  <c r="T28" i="1"/>
  <c r="V28" i="1"/>
  <c r="DF9" i="3"/>
  <c r="DJ9" i="3" s="1"/>
  <c r="DG9" i="3"/>
  <c r="DH9" i="3"/>
  <c r="DI9" i="3"/>
  <c r="Q42" i="1"/>
  <c r="T42" i="1"/>
  <c r="DH79" i="3"/>
  <c r="DI79" i="3"/>
  <c r="DF79" i="3"/>
  <c r="DJ79" i="3" s="1"/>
  <c r="DG79" i="3"/>
  <c r="DF70" i="3"/>
  <c r="DG70" i="3"/>
  <c r="DJ70" i="3" s="1"/>
  <c r="DH70" i="3"/>
  <c r="DI70" i="3"/>
  <c r="AP22" i="1"/>
  <c r="F64" i="1"/>
  <c r="G16" i="2" s="1"/>
  <c r="G18" i="2" s="1"/>
  <c r="AP85" i="1"/>
  <c r="W29" i="1"/>
  <c r="AO18" i="1"/>
  <c r="F89" i="1"/>
  <c r="S50" i="1"/>
  <c r="U42" i="1"/>
  <c r="L151" i="6" s="1"/>
  <c r="Q151" i="6" s="1"/>
  <c r="Q49" i="1"/>
  <c r="T49" i="1"/>
  <c r="V50" i="1"/>
  <c r="R36" i="1"/>
  <c r="S36" i="1"/>
  <c r="U36" i="1"/>
  <c r="L122" i="6" s="1"/>
  <c r="Q122" i="6" s="1"/>
  <c r="GX36" i="1"/>
  <c r="DF72" i="3"/>
  <c r="DJ72" i="3" s="1"/>
  <c r="DG72" i="3"/>
  <c r="DI72" i="3"/>
  <c r="DH72" i="3"/>
  <c r="DF80" i="3"/>
  <c r="DJ80" i="3" s="1"/>
  <c r="DI80" i="3"/>
  <c r="DG80" i="3"/>
  <c r="DH80" i="3"/>
  <c r="DG4" i="3"/>
  <c r="DH4" i="3"/>
  <c r="DI4" i="3"/>
  <c r="DJ4" i="3" s="1"/>
  <c r="DF4" i="3"/>
  <c r="DF32" i="3"/>
  <c r="DG32" i="3"/>
  <c r="DJ32" i="3" s="1"/>
  <c r="DI32" i="3"/>
  <c r="DH32" i="3"/>
  <c r="DF40" i="3"/>
  <c r="DG40" i="3"/>
  <c r="DJ40" i="3" s="1"/>
  <c r="DI40" i="3"/>
  <c r="DH40" i="3"/>
  <c r="DF5" i="3"/>
  <c r="DH5" i="3"/>
  <c r="DG5" i="3"/>
  <c r="DJ5" i="3" s="1"/>
  <c r="DI5" i="3"/>
  <c r="DG52" i="3"/>
  <c r="DH52" i="3"/>
  <c r="DI52" i="3"/>
  <c r="DF52" i="3"/>
  <c r="DJ52" i="3" s="1"/>
  <c r="DI42" i="3"/>
  <c r="DG42" i="3"/>
  <c r="DJ42" i="3" s="1"/>
  <c r="DF42" i="3"/>
  <c r="DH42" i="3"/>
  <c r="DF30" i="3"/>
  <c r="DG30" i="3"/>
  <c r="DH30" i="3"/>
  <c r="DI30" i="3"/>
  <c r="DJ30" i="3" s="1"/>
  <c r="BD55" i="1"/>
  <c r="DF48" i="3"/>
  <c r="DG48" i="3"/>
  <c r="DI48" i="3"/>
  <c r="DJ48" i="3" s="1"/>
  <c r="DH48" i="3"/>
  <c r="DF21" i="3"/>
  <c r="DJ21" i="3" s="1"/>
  <c r="DH21" i="3"/>
  <c r="DG21" i="3"/>
  <c r="DI21" i="3"/>
  <c r="DF16" i="3"/>
  <c r="DG16" i="3"/>
  <c r="DI16" i="3"/>
  <c r="DJ16" i="3" s="1"/>
  <c r="DH16" i="3"/>
  <c r="DF8" i="3"/>
  <c r="DJ8" i="3" s="1"/>
  <c r="DG8" i="3"/>
  <c r="DI8" i="3"/>
  <c r="DH8" i="3"/>
  <c r="Q46" i="1"/>
  <c r="S46" i="1"/>
  <c r="DI66" i="3"/>
  <c r="DJ66" i="3" s="1"/>
  <c r="DG66" i="3"/>
  <c r="DF66" i="3"/>
  <c r="DH66" i="3"/>
  <c r="DF3" i="3"/>
  <c r="DG3" i="3"/>
  <c r="DH3" i="3"/>
  <c r="DI3" i="3"/>
  <c r="DJ3" i="3" s="1"/>
  <c r="DI34" i="3"/>
  <c r="DG34" i="3"/>
  <c r="DF34" i="3"/>
  <c r="DJ34" i="3" s="1"/>
  <c r="DH34" i="3"/>
  <c r="DI18" i="3"/>
  <c r="DG18" i="3"/>
  <c r="DJ18" i="3" s="1"/>
  <c r="DF18" i="3"/>
  <c r="DH18" i="3"/>
  <c r="CI22" i="1"/>
  <c r="AZ55" i="1"/>
  <c r="DG12" i="3"/>
  <c r="DH12" i="3"/>
  <c r="DI12" i="3"/>
  <c r="DJ12" i="3" s="1"/>
  <c r="DF12" i="3"/>
  <c r="AQ55" i="1"/>
  <c r="BZ22" i="1"/>
  <c r="DI10" i="3"/>
  <c r="DG10" i="3"/>
  <c r="DH10" i="3"/>
  <c r="DF10" i="3"/>
  <c r="DJ10" i="3" s="1"/>
  <c r="DF33" i="3"/>
  <c r="DJ33" i="3" s="1"/>
  <c r="DG33" i="3"/>
  <c r="DH33" i="3"/>
  <c r="DI33" i="3"/>
  <c r="S34" i="1"/>
  <c r="Q34" i="1"/>
  <c r="DG68" i="3"/>
  <c r="DJ68" i="3" s="1"/>
  <c r="DH68" i="3"/>
  <c r="DI68" i="3"/>
  <c r="DF68" i="3"/>
  <c r="DF29" i="3"/>
  <c r="DH29" i="3"/>
  <c r="DG29" i="3"/>
  <c r="DI29" i="3"/>
  <c r="DJ29" i="3" s="1"/>
  <c r="DG36" i="3"/>
  <c r="DJ36" i="3" s="1"/>
  <c r="DH36" i="3"/>
  <c r="DI36" i="3"/>
  <c r="DF36" i="3"/>
  <c r="GM25" i="1"/>
  <c r="GN25" i="1"/>
  <c r="P28" i="1"/>
  <c r="DF54" i="3"/>
  <c r="DG54" i="3"/>
  <c r="DH54" i="3"/>
  <c r="DI54" i="3"/>
  <c r="DJ54" i="3" s="1"/>
  <c r="CP24" i="1"/>
  <c r="O24" i="1" s="1"/>
  <c r="CG55" i="1"/>
  <c r="DF19" i="3"/>
  <c r="DG19" i="3"/>
  <c r="DJ19" i="3" s="1"/>
  <c r="DH19" i="3"/>
  <c r="DI19" i="3"/>
  <c r="U34" i="1"/>
  <c r="L110" i="6" s="1"/>
  <c r="Q110" i="6" s="1"/>
  <c r="GX34" i="1"/>
  <c r="DF43" i="3"/>
  <c r="DJ43" i="3" s="1"/>
  <c r="DG43" i="3"/>
  <c r="DH43" i="3"/>
  <c r="DI43" i="3"/>
  <c r="BB22" i="1"/>
  <c r="F68" i="1"/>
  <c r="BB85" i="1"/>
  <c r="U49" i="1"/>
  <c r="CP35" i="1"/>
  <c r="O35" i="1" s="1"/>
  <c r="GX28" i="1"/>
  <c r="GX42" i="1"/>
  <c r="T50" i="1"/>
  <c r="DI74" i="3"/>
  <c r="DJ74" i="3" s="1"/>
  <c r="DG74" i="3"/>
  <c r="DH74" i="3"/>
  <c r="DF74" i="3"/>
  <c r="DI50" i="3"/>
  <c r="DG50" i="3"/>
  <c r="DJ50" i="3" s="1"/>
  <c r="DF50" i="3"/>
  <c r="DH50" i="3"/>
  <c r="S49" i="1"/>
  <c r="DF62" i="3"/>
  <c r="DG62" i="3"/>
  <c r="DJ62" i="3" s="1"/>
  <c r="DH62" i="3"/>
  <c r="DI62" i="3"/>
  <c r="DF65" i="3"/>
  <c r="DJ65" i="3" s="1"/>
  <c r="DG65" i="3"/>
  <c r="DH65" i="3"/>
  <c r="DI65" i="3"/>
  <c r="GN43" i="1"/>
  <c r="GM43" i="1"/>
  <c r="DH55" i="3"/>
  <c r="DI55" i="3"/>
  <c r="DJ55" i="3" s="1"/>
  <c r="DF55" i="3"/>
  <c r="DG55" i="3"/>
  <c r="CY44" i="1"/>
  <c r="X44" i="1" s="1"/>
  <c r="CZ44" i="1"/>
  <c r="Y44" i="1" s="1"/>
  <c r="V161" i="6" s="1"/>
  <c r="K159" i="6" s="1"/>
  <c r="DF11" i="3"/>
  <c r="DG11" i="3"/>
  <c r="DH11" i="3"/>
  <c r="DI11" i="3"/>
  <c r="DJ11" i="3" s="1"/>
  <c r="DF13" i="3"/>
  <c r="DH13" i="3"/>
  <c r="DI13" i="3"/>
  <c r="DG13" i="3"/>
  <c r="DJ13" i="3" s="1"/>
  <c r="DF53" i="3"/>
  <c r="DJ53" i="3" s="1"/>
  <c r="DH53" i="3"/>
  <c r="DG53" i="3"/>
  <c r="DI53" i="3"/>
  <c r="DF73" i="3"/>
  <c r="DJ73" i="3" s="1"/>
  <c r="DG73" i="3"/>
  <c r="DH73" i="3"/>
  <c r="DI73" i="3"/>
  <c r="DF14" i="3"/>
  <c r="DG14" i="3"/>
  <c r="DJ14" i="3" s="1"/>
  <c r="DH14" i="3"/>
  <c r="DI14" i="3"/>
  <c r="GN40" i="1"/>
  <c r="DF69" i="3"/>
  <c r="DH69" i="3"/>
  <c r="DG69" i="3"/>
  <c r="DJ69" i="3" s="1"/>
  <c r="DI69" i="3"/>
  <c r="DH31" i="3"/>
  <c r="DI31" i="3"/>
  <c r="DF31" i="3"/>
  <c r="DG31" i="3"/>
  <c r="DJ31" i="3" s="1"/>
  <c r="CY32" i="1"/>
  <c r="X32" i="1" s="1"/>
  <c r="T91" i="6" s="1"/>
  <c r="K96" i="6" s="1"/>
  <c r="CZ32" i="1"/>
  <c r="Y32" i="1" s="1"/>
  <c r="V29" i="1"/>
  <c r="R49" i="1"/>
  <c r="CZ35" i="1"/>
  <c r="Y35" i="1" s="1"/>
  <c r="V111" i="6" s="1"/>
  <c r="K118" i="6" s="1"/>
  <c r="CY35" i="1"/>
  <c r="X35" i="1" s="1"/>
  <c r="T111" i="6" s="1"/>
  <c r="K117" i="6" s="1"/>
  <c r="CY48" i="1"/>
  <c r="X48" i="1" s="1"/>
  <c r="CZ48" i="1"/>
  <c r="Y48" i="1" s="1"/>
  <c r="V171" i="6" s="1"/>
  <c r="S42" i="1"/>
  <c r="GN30" i="1"/>
  <c r="GM30" i="1"/>
  <c r="DF78" i="3"/>
  <c r="DJ78" i="3" s="1"/>
  <c r="DG78" i="3"/>
  <c r="DH78" i="3"/>
  <c r="DI78" i="3"/>
  <c r="V42" i="1"/>
  <c r="GX29" i="1"/>
  <c r="DF51" i="3"/>
  <c r="DG51" i="3"/>
  <c r="DJ51" i="3" s="1"/>
  <c r="DH51" i="3"/>
  <c r="DI51" i="3"/>
  <c r="CZ24" i="1"/>
  <c r="Y24" i="1" s="1"/>
  <c r="V35" i="6" s="1"/>
  <c r="K40" i="6" s="1"/>
  <c r="CY24" i="1"/>
  <c r="X24" i="1" s="1"/>
  <c r="T35" i="6" s="1"/>
  <c r="K39" i="6" s="1"/>
  <c r="CX25" i="3"/>
  <c r="CX27" i="3"/>
  <c r="CX26" i="3"/>
  <c r="CX24" i="3"/>
  <c r="R28" i="1"/>
  <c r="S28" i="1"/>
  <c r="K71" i="6" s="1"/>
  <c r="AU22" i="1"/>
  <c r="F74" i="1"/>
  <c r="AU85" i="1"/>
  <c r="DF45" i="3"/>
  <c r="DJ45" i="3" s="1"/>
  <c r="DH45" i="3"/>
  <c r="DG45" i="3"/>
  <c r="DI45" i="3"/>
  <c r="GM33" i="1"/>
  <c r="GN33" i="1"/>
  <c r="W28" i="1"/>
  <c r="DH47" i="3"/>
  <c r="DI47" i="3"/>
  <c r="DJ47" i="3" s="1"/>
  <c r="DF47" i="3"/>
  <c r="DG47" i="3"/>
  <c r="DH7" i="3"/>
  <c r="DI7" i="3"/>
  <c r="DF7" i="3"/>
  <c r="DG7" i="3"/>
  <c r="DJ7" i="3" s="1"/>
  <c r="DF6" i="3"/>
  <c r="DG6" i="3"/>
  <c r="DJ6" i="3" s="1"/>
  <c r="DH6" i="3"/>
  <c r="DI6" i="3"/>
  <c r="Q39" i="1"/>
  <c r="P39" i="1"/>
  <c r="K133" i="6" s="1"/>
  <c r="J135" i="6" s="1"/>
  <c r="P135" i="6" s="1"/>
  <c r="DI58" i="3"/>
  <c r="DJ58" i="3" s="1"/>
  <c r="DG58" i="3"/>
  <c r="DF58" i="3"/>
  <c r="DH58" i="3"/>
  <c r="GX39" i="1"/>
  <c r="DI2" i="3"/>
  <c r="DG2" i="3"/>
  <c r="DJ2" i="3" s="1"/>
  <c r="DF2" i="3"/>
  <c r="DH2" i="3"/>
  <c r="DF56" i="3"/>
  <c r="DG56" i="3"/>
  <c r="DJ56" i="3" s="1"/>
  <c r="DI56" i="3"/>
  <c r="DH56" i="3"/>
  <c r="P46" i="1"/>
  <c r="S39" i="1"/>
  <c r="R42" i="1"/>
  <c r="U28" i="1"/>
  <c r="GX50" i="1"/>
  <c r="DF75" i="3"/>
  <c r="DG75" i="3"/>
  <c r="DH75" i="3"/>
  <c r="DI75" i="3"/>
  <c r="DJ75" i="3" s="1"/>
  <c r="DG60" i="3"/>
  <c r="DJ60" i="3" s="1"/>
  <c r="DH60" i="3"/>
  <c r="DI60" i="3"/>
  <c r="DF60" i="3"/>
  <c r="DH15" i="3"/>
  <c r="DI15" i="3"/>
  <c r="DF15" i="3"/>
  <c r="DJ15" i="3" s="1"/>
  <c r="DG15" i="3"/>
  <c r="DF61" i="3"/>
  <c r="DH61" i="3"/>
  <c r="DG61" i="3"/>
  <c r="DJ61" i="3" s="1"/>
  <c r="DI61" i="3"/>
  <c r="DF17" i="3"/>
  <c r="DG17" i="3"/>
  <c r="DH17" i="3"/>
  <c r="DI17" i="3"/>
  <c r="DJ17" i="3" s="1"/>
  <c r="DF37" i="3"/>
  <c r="DJ37" i="3" s="1"/>
  <c r="DH37" i="3"/>
  <c r="DG37" i="3"/>
  <c r="DI37" i="3"/>
  <c r="Q28" i="1"/>
  <c r="DF57" i="3"/>
  <c r="DJ57" i="3" s="1"/>
  <c r="DG57" i="3"/>
  <c r="DH57" i="3"/>
  <c r="DI57" i="3"/>
  <c r="DF22" i="3"/>
  <c r="DJ22" i="3" s="1"/>
  <c r="DG22" i="3"/>
  <c r="DH22" i="3"/>
  <c r="DI22" i="3"/>
  <c r="T36" i="1"/>
  <c r="DF64" i="3"/>
  <c r="DJ64" i="3" s="1"/>
  <c r="DG64" i="3"/>
  <c r="DI64" i="3"/>
  <c r="DH64" i="3"/>
  <c r="DF46" i="3"/>
  <c r="DJ46" i="3" s="1"/>
  <c r="DG46" i="3"/>
  <c r="DH46" i="3"/>
  <c r="DI46" i="3"/>
  <c r="R39" i="1"/>
  <c r="W50" i="1"/>
  <c r="DH63" i="3"/>
  <c r="DI63" i="3"/>
  <c r="DF63" i="3"/>
  <c r="DJ63" i="3" s="1"/>
  <c r="DG63" i="3"/>
  <c r="DH71" i="3"/>
  <c r="DI71" i="3"/>
  <c r="DF71" i="3"/>
  <c r="DJ71" i="3" s="1"/>
  <c r="DG71" i="3"/>
  <c r="DG20" i="3"/>
  <c r="DJ20" i="3" s="1"/>
  <c r="DH20" i="3"/>
  <c r="DI20" i="3"/>
  <c r="DF20" i="3"/>
  <c r="DG76" i="3"/>
  <c r="DJ76" i="3" s="1"/>
  <c r="DH76" i="3"/>
  <c r="DI76" i="3"/>
  <c r="DF76" i="3"/>
  <c r="DH39" i="3"/>
  <c r="DI39" i="3"/>
  <c r="DJ39" i="3" s="1"/>
  <c r="DF39" i="3"/>
  <c r="DG39" i="3"/>
  <c r="R34" i="1"/>
  <c r="P29" i="1"/>
  <c r="DF59" i="3"/>
  <c r="DG59" i="3"/>
  <c r="DH59" i="3"/>
  <c r="DI59" i="3"/>
  <c r="DJ59" i="3" s="1"/>
  <c r="DF38" i="3"/>
  <c r="DG38" i="3"/>
  <c r="DH38" i="3"/>
  <c r="DI38" i="3"/>
  <c r="DJ38" i="3" s="1"/>
  <c r="S29" i="1"/>
  <c r="GX49" i="1"/>
  <c r="BC22" i="1"/>
  <c r="BC85" i="1"/>
  <c r="F71" i="1"/>
  <c r="T39" i="1"/>
  <c r="GX46" i="1"/>
  <c r="T34" i="1"/>
  <c r="U46" i="1"/>
  <c r="L167" i="6" s="1"/>
  <c r="Q167" i="6" s="1"/>
  <c r="P49" i="1"/>
  <c r="DF49" i="3"/>
  <c r="DG49" i="3"/>
  <c r="DJ49" i="3" s="1"/>
  <c r="DH49" i="3"/>
  <c r="DI49" i="3"/>
  <c r="J120" i="6" l="1"/>
  <c r="P120" i="6" s="1"/>
  <c r="J42" i="6"/>
  <c r="P42" i="6" s="1"/>
  <c r="W132" i="6"/>
  <c r="J59" i="6"/>
  <c r="P59" i="6" s="1"/>
  <c r="J145" i="6"/>
  <c r="P145" i="6" s="1"/>
  <c r="K129" i="6"/>
  <c r="J132" i="6" s="1"/>
  <c r="P132" i="6" s="1"/>
  <c r="W181" i="6"/>
  <c r="GN48" i="1"/>
  <c r="T171" i="6"/>
  <c r="W135" i="6"/>
  <c r="G135" i="6"/>
  <c r="O135" i="6" s="1"/>
  <c r="G162" i="6"/>
  <c r="O162" i="6" s="1"/>
  <c r="CP46" i="1"/>
  <c r="O46" i="1" s="1"/>
  <c r="GM37" i="1"/>
  <c r="CZ45" i="1"/>
  <c r="Y45" i="1" s="1"/>
  <c r="V163" i="6" s="1"/>
  <c r="W162" i="6"/>
  <c r="G181" i="6"/>
  <c r="O181" i="6" s="1"/>
  <c r="GM27" i="1"/>
  <c r="L77" i="6"/>
  <c r="Q77" i="6" s="1"/>
  <c r="L76" i="6"/>
  <c r="AE55" i="1"/>
  <c r="R55" i="1" s="1"/>
  <c r="K73" i="6"/>
  <c r="GM44" i="1"/>
  <c r="T161" i="6"/>
  <c r="K158" i="6" s="1"/>
  <c r="J162" i="6" s="1"/>
  <c r="P162" i="6" s="1"/>
  <c r="CP34" i="1"/>
  <c r="O34" i="1" s="1"/>
  <c r="GM34" i="1" s="1"/>
  <c r="DF28" i="3"/>
  <c r="DJ28" i="3" s="1"/>
  <c r="AD55" i="1"/>
  <c r="K72" i="6"/>
  <c r="CY41" i="1"/>
  <c r="X41" i="1" s="1"/>
  <c r="T146" i="6" s="1"/>
  <c r="CZ41" i="1"/>
  <c r="Y41" i="1" s="1"/>
  <c r="V146" i="6" s="1"/>
  <c r="GM32" i="1"/>
  <c r="V91" i="6"/>
  <c r="K97" i="6" s="1"/>
  <c r="J98" i="6" s="1"/>
  <c r="P98" i="6" s="1"/>
  <c r="CP49" i="1"/>
  <c r="O49" i="1" s="1"/>
  <c r="K180" i="6" s="1"/>
  <c r="CP29" i="1"/>
  <c r="O29" i="1" s="1"/>
  <c r="K78" i="6"/>
  <c r="J79" i="6" s="1"/>
  <c r="P79" i="6" s="1"/>
  <c r="AG55" i="1"/>
  <c r="CP45" i="1"/>
  <c r="O45" i="1" s="1"/>
  <c r="CP42" i="1"/>
  <c r="O42" i="1" s="1"/>
  <c r="G79" i="6"/>
  <c r="O79" i="6" s="1"/>
  <c r="W79" i="6"/>
  <c r="G184" i="6"/>
  <c r="O184" i="6" s="1"/>
  <c r="W184" i="6"/>
  <c r="CP41" i="1"/>
  <c r="O41" i="1" s="1"/>
  <c r="AE22" i="1"/>
  <c r="AG22" i="1"/>
  <c r="T55" i="1"/>
  <c r="AD22" i="1"/>
  <c r="Q55" i="1"/>
  <c r="GN35" i="1"/>
  <c r="GM35" i="1"/>
  <c r="CG22" i="1"/>
  <c r="AX55" i="1"/>
  <c r="CY36" i="1"/>
  <c r="X36" i="1" s="1"/>
  <c r="T121" i="6" s="1"/>
  <c r="CZ36" i="1"/>
  <c r="Y36" i="1" s="1"/>
  <c r="V121" i="6" s="1"/>
  <c r="GN32" i="1"/>
  <c r="CJ55" i="1"/>
  <c r="CZ34" i="1"/>
  <c r="Y34" i="1" s="1"/>
  <c r="V108" i="6" s="1"/>
  <c r="CY34" i="1"/>
  <c r="X34" i="1" s="1"/>
  <c r="AZ22" i="1"/>
  <c r="F66" i="1"/>
  <c r="AZ85" i="1"/>
  <c r="CY28" i="1"/>
  <c r="X28" i="1" s="1"/>
  <c r="CZ28" i="1"/>
  <c r="Y28" i="1" s="1"/>
  <c r="V70" i="6" s="1"/>
  <c r="K75" i="6" s="1"/>
  <c r="CP28" i="1"/>
  <c r="O28" i="1" s="1"/>
  <c r="BC18" i="1"/>
  <c r="F101" i="1"/>
  <c r="DF27" i="3"/>
  <c r="DG27" i="3"/>
  <c r="DJ27" i="3" s="1"/>
  <c r="DH27" i="3"/>
  <c r="DI27" i="3"/>
  <c r="BB18" i="1"/>
  <c r="F98" i="1"/>
  <c r="GM24" i="1"/>
  <c r="GN24" i="1"/>
  <c r="AP18" i="1"/>
  <c r="F94" i="1"/>
  <c r="GN44" i="1"/>
  <c r="BD22" i="1"/>
  <c r="F80" i="1"/>
  <c r="BD85" i="1"/>
  <c r="DF24" i="3"/>
  <c r="DG24" i="3"/>
  <c r="DI24" i="3"/>
  <c r="DJ24" i="3" s="1"/>
  <c r="DH24" i="3"/>
  <c r="CP36" i="1"/>
  <c r="O36" i="1" s="1"/>
  <c r="AT22" i="1"/>
  <c r="F73" i="1"/>
  <c r="F16" i="2" s="1"/>
  <c r="F18" i="2" s="1"/>
  <c r="AT85" i="1"/>
  <c r="AJ22" i="1"/>
  <c r="W55" i="1"/>
  <c r="CY50" i="1"/>
  <c r="X50" i="1" s="1"/>
  <c r="T182" i="6" s="1"/>
  <c r="CZ50" i="1"/>
  <c r="Y50" i="1" s="1"/>
  <c r="V182" i="6" s="1"/>
  <c r="DI26" i="3"/>
  <c r="DG26" i="3"/>
  <c r="DJ26" i="3" s="1"/>
  <c r="DF26" i="3"/>
  <c r="DH26" i="3"/>
  <c r="AC55" i="1"/>
  <c r="CZ29" i="1"/>
  <c r="Y29" i="1" s="1"/>
  <c r="CY29" i="1"/>
  <c r="X29" i="1" s="1"/>
  <c r="DF25" i="3"/>
  <c r="DG25" i="3"/>
  <c r="DH25" i="3"/>
  <c r="DI25" i="3"/>
  <c r="DJ25" i="3" s="1"/>
  <c r="AF55" i="1"/>
  <c r="CZ42" i="1"/>
  <c r="Y42" i="1" s="1"/>
  <c r="V149" i="6" s="1"/>
  <c r="CY42" i="1"/>
  <c r="X42" i="1" s="1"/>
  <c r="AQ22" i="1"/>
  <c r="AQ85" i="1"/>
  <c r="F65" i="1"/>
  <c r="CY46" i="1"/>
  <c r="X46" i="1" s="1"/>
  <c r="CZ46" i="1"/>
  <c r="Y46" i="1" s="1"/>
  <c r="AI55" i="1"/>
  <c r="GM45" i="1"/>
  <c r="GN45" i="1"/>
  <c r="AH55" i="1"/>
  <c r="CP50" i="1"/>
  <c r="O50" i="1" s="1"/>
  <c r="CZ39" i="1"/>
  <c r="Y39" i="1" s="1"/>
  <c r="V133" i="6" s="1"/>
  <c r="CY39" i="1"/>
  <c r="X39" i="1" s="1"/>
  <c r="T133" i="6" s="1"/>
  <c r="F104" i="1"/>
  <c r="AU18" i="1"/>
  <c r="CZ49" i="1"/>
  <c r="Y49" i="1" s="1"/>
  <c r="V180" i="6" s="1"/>
  <c r="K178" i="6" s="1"/>
  <c r="CY49" i="1"/>
  <c r="X49" i="1" s="1"/>
  <c r="CP39" i="1"/>
  <c r="O39" i="1" s="1"/>
  <c r="G197" i="6" l="1"/>
  <c r="G193" i="6"/>
  <c r="GM46" i="1"/>
  <c r="T165" i="6"/>
  <c r="AL55" i="1"/>
  <c r="V78" i="6"/>
  <c r="AK55" i="1"/>
  <c r="AK22" i="1" s="1"/>
  <c r="T70" i="6"/>
  <c r="K74" i="6" s="1"/>
  <c r="J77" i="6" s="1"/>
  <c r="P77" i="6" s="1"/>
  <c r="GN34" i="1"/>
  <c r="T108" i="6"/>
  <c r="GM41" i="1"/>
  <c r="GN41" i="1"/>
  <c r="GN49" i="1"/>
  <c r="L193" i="6"/>
  <c r="L197" i="6"/>
  <c r="GM42" i="1"/>
  <c r="T149" i="6"/>
  <c r="GM49" i="1"/>
  <c r="T180" i="6"/>
  <c r="K177" i="6" s="1"/>
  <c r="J181" i="6" s="1"/>
  <c r="P181" i="6" s="1"/>
  <c r="GN46" i="1"/>
  <c r="V165" i="6"/>
  <c r="GM29" i="1"/>
  <c r="T78" i="6"/>
  <c r="X55" i="1"/>
  <c r="AL22" i="1"/>
  <c r="Y55" i="1"/>
  <c r="GM36" i="1"/>
  <c r="GN36" i="1"/>
  <c r="Q22" i="1"/>
  <c r="F67" i="1"/>
  <c r="Q85" i="1"/>
  <c r="GM39" i="1"/>
  <c r="GN39" i="1"/>
  <c r="AI22" i="1"/>
  <c r="V55" i="1"/>
  <c r="AC22" i="1"/>
  <c r="CE55" i="1"/>
  <c r="CH55" i="1"/>
  <c r="P55" i="1"/>
  <c r="CF55" i="1"/>
  <c r="AB55" i="1"/>
  <c r="AZ18" i="1"/>
  <c r="F96" i="1"/>
  <c r="AQ18" i="1"/>
  <c r="F95" i="1"/>
  <c r="R22" i="1"/>
  <c r="R85" i="1"/>
  <c r="F69" i="1"/>
  <c r="GM28" i="1"/>
  <c r="CA55" i="1" s="1"/>
  <c r="GN28" i="1"/>
  <c r="CB55" i="1" s="1"/>
  <c r="GN42" i="1"/>
  <c r="AF22" i="1"/>
  <c r="S55" i="1"/>
  <c r="BA55" i="1"/>
  <c r="CJ22" i="1"/>
  <c r="GM50" i="1"/>
  <c r="GN50" i="1"/>
  <c r="GN29" i="1"/>
  <c r="T22" i="1"/>
  <c r="F76" i="1"/>
  <c r="T85" i="1"/>
  <c r="W22" i="1"/>
  <c r="W85" i="1"/>
  <c r="F79" i="1"/>
  <c r="AH22" i="1"/>
  <c r="U55" i="1"/>
  <c r="AX22" i="1"/>
  <c r="F62" i="1"/>
  <c r="AX85" i="1"/>
  <c r="AT18" i="1"/>
  <c r="F103" i="1"/>
  <c r="BD18" i="1"/>
  <c r="F110" i="1"/>
  <c r="J210" i="6" s="1"/>
  <c r="J193" i="6" l="1"/>
  <c r="J197" i="6"/>
  <c r="CA22" i="1"/>
  <c r="AR55" i="1"/>
  <c r="S22" i="1"/>
  <c r="F70" i="1"/>
  <c r="J16" i="2" s="1"/>
  <c r="J18" i="2" s="1"/>
  <c r="S85" i="1"/>
  <c r="CH22" i="1"/>
  <c r="AY55" i="1"/>
  <c r="CE22" i="1"/>
  <c r="AV55" i="1"/>
  <c r="U22" i="1"/>
  <c r="F77" i="1"/>
  <c r="U85" i="1"/>
  <c r="V22" i="1"/>
  <c r="F78" i="1"/>
  <c r="V85" i="1"/>
  <c r="Y22" i="1"/>
  <c r="F82" i="1"/>
  <c r="Y85" i="1"/>
  <c r="AB22" i="1"/>
  <c r="O55" i="1"/>
  <c r="CF22" i="1"/>
  <c r="AW55" i="1"/>
  <c r="T18" i="1"/>
  <c r="F106" i="1"/>
  <c r="CB22" i="1"/>
  <c r="AS55" i="1"/>
  <c r="F109" i="1"/>
  <c r="W18" i="1"/>
  <c r="X22" i="1"/>
  <c r="X85" i="1"/>
  <c r="F81" i="1"/>
  <c r="AX18" i="1"/>
  <c r="F92" i="1"/>
  <c r="BA22" i="1"/>
  <c r="F75" i="1"/>
  <c r="H16" i="2" s="1"/>
  <c r="H18" i="2" s="1"/>
  <c r="BA85" i="1"/>
  <c r="R18" i="1"/>
  <c r="F99" i="1"/>
  <c r="J205" i="6" s="1"/>
  <c r="P22" i="1"/>
  <c r="F58" i="1"/>
  <c r="P85" i="1"/>
  <c r="Q18" i="1"/>
  <c r="F97" i="1"/>
  <c r="J204" i="6" s="1"/>
  <c r="V18" i="1" l="1"/>
  <c r="F108" i="1"/>
  <c r="J209" i="6" s="1"/>
  <c r="AY22" i="1"/>
  <c r="F63" i="1"/>
  <c r="AY85" i="1"/>
  <c r="X18" i="1"/>
  <c r="F111" i="1"/>
  <c r="J211" i="6" s="1"/>
  <c r="Y18" i="1"/>
  <c r="F112" i="1"/>
  <c r="J212" i="6" s="1"/>
  <c r="AW22" i="1"/>
  <c r="AW85" i="1"/>
  <c r="F61" i="1"/>
  <c r="S18" i="1"/>
  <c r="F100" i="1"/>
  <c r="BA18" i="1"/>
  <c r="F105" i="1"/>
  <c r="O22" i="1"/>
  <c r="F57" i="1"/>
  <c r="O85" i="1"/>
  <c r="U18" i="1"/>
  <c r="F107" i="1"/>
  <c r="AS22" i="1"/>
  <c r="F72" i="1"/>
  <c r="E16" i="2" s="1"/>
  <c r="AS85" i="1"/>
  <c r="AR22" i="1"/>
  <c r="F83" i="1"/>
  <c r="AR85" i="1"/>
  <c r="P18" i="1"/>
  <c r="F88" i="1"/>
  <c r="J200" i="6" s="1"/>
  <c r="AV22" i="1"/>
  <c r="AV85" i="1"/>
  <c r="F60" i="1"/>
  <c r="J206" i="6" l="1"/>
  <c r="J208" i="6"/>
  <c r="AV18" i="1"/>
  <c r="F90" i="1"/>
  <c r="J201" i="6" s="1"/>
  <c r="AS18" i="1"/>
  <c r="F102" i="1"/>
  <c r="I16" i="2"/>
  <c r="I18" i="2" s="1"/>
  <c r="E18" i="2"/>
  <c r="AY18" i="1"/>
  <c r="F93" i="1"/>
  <c r="J203" i="6" s="1"/>
  <c r="AR18" i="1"/>
  <c r="F113" i="1"/>
  <c r="J213" i="6" s="1"/>
  <c r="O18" i="1"/>
  <c r="F87" i="1"/>
  <c r="J199" i="6" s="1"/>
  <c r="AW18" i="1"/>
  <c r="F91" i="1"/>
  <c r="J202" i="6" s="1"/>
  <c r="J207" i="6" l="1"/>
  <c r="F114" i="1"/>
  <c r="F115" i="1" l="1"/>
  <c r="I26" i="6" s="1"/>
</calcChain>
</file>

<file path=xl/sharedStrings.xml><?xml version="1.0" encoding="utf-8"?>
<sst xmlns="http://schemas.openxmlformats.org/spreadsheetml/2006/main" count="3409" uniqueCount="414">
  <si>
    <t>Smeta.RU  (495) 974-1589</t>
  </si>
  <si>
    <t>_PS_</t>
  </si>
  <si>
    <t>Smeta.RU</t>
  </si>
  <si>
    <t/>
  </si>
  <si>
    <t>7</t>
  </si>
  <si>
    <t>7. Ремонт кровли склада готовой продукции</t>
  </si>
  <si>
    <t>Дефектная ведомость №7</t>
  </si>
  <si>
    <t>Сметные нормы списания</t>
  </si>
  <si>
    <t>Коды ценников</t>
  </si>
  <si>
    <t>ФЕР-2020 И9</t>
  </si>
  <si>
    <t>Версия 1.7.0 ГСН (ГЭСН, ФЕР) и ТЕР (Методики НР (812/пр, 636/пр, 611/пр) и СП (774/пр и 317/пр) применять с 08.01.2023 г.)</t>
  </si>
  <si>
    <t>ФЕР-2020 - изменения И9</t>
  </si>
  <si>
    <t>Поправки для ГСН (ФЕР) 2020 от 11.09.2022 г И9 (в ред. 557/пр) Капитальный ремонт производственных зданий</t>
  </si>
  <si>
    <t>ГСН</t>
  </si>
  <si>
    <t>Новая локальная смета</t>
  </si>
  <si>
    <t>1</t>
  </si>
  <si>
    <t>46-04-008-01</t>
  </si>
  <si>
    <t>Разборка покрытий кровель: из рулонных материалов</t>
  </si>
  <si>
    <t>100 м2</t>
  </si>
  <si>
    <t>ФЕР-2001, 46-04-008-01, приказ Минстроя России № 876/пр от 26.12.2019</t>
  </si>
  <si>
    <t>Общестроительные работы</t>
  </si>
  <si>
    <t>Работы по реконструкции зданий и сооружений</t>
  </si>
  <si>
    <t>Работы по реконструкции зданий и сооружений: усиление и замена существующих конструкций, возведение отдельных конструктивных элементов</t>
  </si>
  <si>
    <t>ФЕР-46</t>
  </si>
  <si>
    <t>Пр/812-040.1-1</t>
  </si>
  <si>
    <t>Пр/774-040.1</t>
  </si>
  <si>
    <t>2</t>
  </si>
  <si>
    <t>12-01-017-01</t>
  </si>
  <si>
    <t>Демонтаж // Устройство выравнивающих стяжек: цементно-песчаных толщиной 15 мм</t>
  </si>
  <si>
    <t>ФЕР-2001, 12-01-017-01, приказ Минстроя России № 876/пр от 26.12.2019</t>
  </si>
  <si>
    <t>Поправка: МР 519/пр Табл.2, п.1  Наименование: При демонтаже (разборке) сборных бетонных и железобетонных конструкций</t>
  </si>
  <si>
    <t>)*0</t>
  </si>
  <si>
    <t>)*0,8</t>
  </si>
  <si>
    <t>Кровли</t>
  </si>
  <si>
    <t>ФЕР-12</t>
  </si>
  <si>
    <t>Поправка: МР 519/пр Табл.2, п.1</t>
  </si>
  <si>
    <t>Пр/812-012.0-1</t>
  </si>
  <si>
    <t>Пр/774-012.0</t>
  </si>
  <si>
    <t>3</t>
  </si>
  <si>
    <t>12-01-017-02</t>
  </si>
  <si>
    <t>Демонтаж - корр. толщины 50мм // Устройство выравнивающих стяжек: на каждый 1 мм изменения толщины добавлять или исключать к расценке 12-01-017-01</t>
  </si>
  <si>
    <t>ФЕР-2001, 12-01-017-02, приказ Минстроя России № 876/пр от 26.12.2019</t>
  </si>
  <si>
    <t>)*0)*35</t>
  </si>
  <si>
    <t>)*0,8)*35</t>
  </si>
  <si>
    <t>)*35</t>
  </si>
  <si>
    <t>4</t>
  </si>
  <si>
    <t>Устройство выравнивающих стяжек: цементно-песчаных толщиной 15 мм</t>
  </si>
  <si>
    <t>)*1,25</t>
  </si>
  <si>
    <t>)*1,15</t>
  </si>
  <si>
    <t>)*0,85</t>
  </si>
  <si>
    <t>Поправка: М-ка 421/пр 04.08.20 п.58 п.п. б)</t>
  </si>
  <si>
    <t>5</t>
  </si>
  <si>
    <t>Корректировка толщ. до 50мм // Устройство выравнивающих стяжек: на каждый 1 мм изменения толщины добавлять или исключать к расценке 12-01-017-01</t>
  </si>
  <si>
    <t>)*1,25)*35</t>
  </si>
  <si>
    <t>)*1,15)*35</t>
  </si>
  <si>
    <t>6</t>
  </si>
  <si>
    <t>Цена Поставщика</t>
  </si>
  <si>
    <t>Раствор цементно-песчаный М100 с учетом доставки</t>
  </si>
  <si>
    <t>м3</t>
  </si>
  <si>
    <t>Материалы строительные</t>
  </si>
  <si>
    <t>Материалы, изделия и конструкции</t>
  </si>
  <si>
    <t>материалы (03)</t>
  </si>
  <si>
    <t>[6 000 / 1.2 /  8.98]</t>
  </si>
  <si>
    <t>0</t>
  </si>
  <si>
    <t>06-03-004-12</t>
  </si>
  <si>
    <t>Армирование подстилающих слоев и набетонок</t>
  </si>
  <si>
    <t>т</t>
  </si>
  <si>
    <t>ФЕР-2001 доп. 3, 06-03-004-12, приказ Минстроя России № 352/пр от 30.06.2020</t>
  </si>
  <si>
    <t>Бетонные и железобетонные монолитные конструкции и работы в строительстве</t>
  </si>
  <si>
    <t>ФЕР-06</t>
  </si>
  <si>
    <t>Пр/812-006.0-1</t>
  </si>
  <si>
    <t>Пр/774-006.0</t>
  </si>
  <si>
    <t>8</t>
  </si>
  <si>
    <t>Сетка сварная 100х100х4 мм</t>
  </si>
  <si>
    <t>м2</t>
  </si>
  <si>
    <t>[130 / 1.2 /  8.98] +  5% Трансп +  2% Заг.скл</t>
  </si>
  <si>
    <t>9</t>
  </si>
  <si>
    <t>58-26-1</t>
  </si>
  <si>
    <t>Прорезка борозд в старой кровле нарезчиками с алмазными дисками, толщина кровли: до 10 см</t>
  </si>
  <si>
    <t>100 м</t>
  </si>
  <si>
    <t>ФЕРр-2001, 58-26-1, приказ Минстроя России № 876/пр от 26.12.2019</t>
  </si>
  <si>
    <t>Ремонтно-строительные работы</t>
  </si>
  <si>
    <t>Крыши, кровли</t>
  </si>
  <si>
    <t>рФЕР-58</t>
  </si>
  <si>
    <t>Пр/812-092.0-1</t>
  </si>
  <si>
    <t>Пр/774-092.0</t>
  </si>
  <si>
    <t>Крыши, кровля</t>
  </si>
  <si>
    <t>10</t>
  </si>
  <si>
    <t>06-03-007-01</t>
  </si>
  <si>
    <t>Устройство деформационного осадочного шва фундаментов под оборудование с заполнением битумом при толщине шва 25 мм, глубине 20 см // Прим.</t>
  </si>
  <si>
    <t>ФЕР-2001, 06-03-007-01, приказ Минстроя России № 876/пр от 26.12.2019</t>
  </si>
  <si>
    <t>*0</t>
  </si>
  <si>
    <t>11</t>
  </si>
  <si>
    <t>Праймер битумный Технониколь №1</t>
  </si>
  <si>
    <t>кг</t>
  </si>
  <si>
    <t>[236.88 / 1.2 /  8.98] +  5% Трансп +  2% Заг.скл</t>
  </si>
  <si>
    <t>12</t>
  </si>
  <si>
    <t>12-01-005-04</t>
  </si>
  <si>
    <t>Защита ендов: дополнительным одним слоем рулонных наплавляемых материалов</t>
  </si>
  <si>
    <t>ФЕР-2001, 12-01-005-04, приказ Минстроя России № 876/пр от 26.12.2019</t>
  </si>
  <si>
    <t>13</t>
  </si>
  <si>
    <t>Поставка Заказчика</t>
  </si>
  <si>
    <t>ТЕХНОЭЛАСТ ЭПП</t>
  </si>
  <si>
    <t>занесена вручную</t>
  </si>
  <si>
    <t>14</t>
  </si>
  <si>
    <t>12-01-016-02</t>
  </si>
  <si>
    <t>Огрунтовка оснований из бетона или раствора под водоизоляционный кровельный ковер: готовой эмульсией битумной</t>
  </si>
  <si>
    <t>ФЕР-2001, 12-01-016-02, приказ Минстроя России № 876/пр от 26.12.2019</t>
  </si>
  <si>
    <t>14.1</t>
  </si>
  <si>
    <t>01.2.03.07-0022</t>
  </si>
  <si>
    <t>Эмульсия битумная гидроизоляционная</t>
  </si>
  <si>
    <t>ФССЦ-2001, 01.2.03.07-0022, приказ Минстроя России № 876/пр от 26.12.2019</t>
  </si>
  <si>
    <t>15</t>
  </si>
  <si>
    <t>Праймер битумный Технониколь №1 (расход 0,3кг/м2)</t>
  </si>
  <si>
    <t>16</t>
  </si>
  <si>
    <t>12-01-002-09</t>
  </si>
  <si>
    <t>Устройство кровель плоских из наплавляемых материалов: в два слоя</t>
  </si>
  <si>
    <t>ФЕР-2001 доп.5, 12-01-002-09, приказ Минстроя России № 51/пр от 09.02.2021</t>
  </si>
  <si>
    <t>17</t>
  </si>
  <si>
    <t>18</t>
  </si>
  <si>
    <t>ТЕХНОЭЛАСТ ЭКП СЛАНЕЦ СЕРЫЙ</t>
  </si>
  <si>
    <t>19</t>
  </si>
  <si>
    <t>12-01-004-04</t>
  </si>
  <si>
    <t>Устройство примыканий кровель из наплавляемых материалов к стенам и парапетам высотой: до 600 мм без фартуков</t>
  </si>
  <si>
    <t>ФЕР-2001, 12-01-004-04, приказ Минстроя России № 876/пр от 26.12.2019</t>
  </si>
  <si>
    <t>19.1</t>
  </si>
  <si>
    <t>04.3.01.09-0014</t>
  </si>
  <si>
    <t>Раствор готовый кладочный, цементный, М100</t>
  </si>
  <si>
    <t>ФССЦ-2001, 04.3.01.09-0014, приказ Минстроя России № 876/пр от 26.12.2019</t>
  </si>
  <si>
    <t>20</t>
  </si>
  <si>
    <t>21</t>
  </si>
  <si>
    <t>22</t>
  </si>
  <si>
    <t>23</t>
  </si>
  <si>
    <t>12-01-010-01</t>
  </si>
  <si>
    <t>Устройство мелких покрытий (брандмауэры, парапеты, свесы и т.п.) из листовой оцинкованной стали</t>
  </si>
  <si>
    <t>ФЕР-2001, 12-01-010-01, приказ Минстроя России № 876/пр от 26.12.2019</t>
  </si>
  <si>
    <t>23.1</t>
  </si>
  <si>
    <t>08.3.05.05-0051</t>
  </si>
  <si>
    <t>Сталь листовая оцинкованная, толщина 0,5 мм</t>
  </si>
  <si>
    <t>ФССЦ-2001, 08.3.05.05-0051, приказ Минстроя России № 876/пр от 26.12.2019</t>
  </si>
  <si>
    <t>24</t>
  </si>
  <si>
    <t>Сталь листовая оцинкованная, толщина 0,4 мм</t>
  </si>
  <si>
    <t>[486.73 / 1.2 /  8.98] +  5% Трансп +  2% Заг.скл</t>
  </si>
  <si>
    <t>25</t>
  </si>
  <si>
    <t>т01-01-01-041</t>
  </si>
  <si>
    <t>Погрузка при автомобильных перевозках мусора строительного с погрузкой вручную</t>
  </si>
  <si>
    <t>1 т груза</t>
  </si>
  <si>
    <t>ФССЦпг-2001, т01-01-01-041, приказ Минстроя России №876/пр от 26.12.2019</t>
  </si>
  <si>
    <t>Погрузочно-разгрузочные работы</t>
  </si>
  <si>
    <t>ФССЦпр  пог. а/п (2011,изм. 4-6)</t>
  </si>
  <si>
    <t>26</t>
  </si>
  <si>
    <t>т01-01-01-043</t>
  </si>
  <si>
    <t>Погрузка при автомобильных перевозках мусора строительного с погрузкой экскаваторами емкостью ковша до 0,5 м3</t>
  </si>
  <si>
    <t>ФССЦпг-2001, т01-01-01-043, приказ Минстроя России №876/пр от 26.12.2019</t>
  </si>
  <si>
    <t>27</t>
  </si>
  <si>
    <t>Договорная цена</t>
  </si>
  <si>
    <t>Утилизация строительного мусора с учетом транспортировки</t>
  </si>
  <si>
    <t>[1 000 / 1.2 /  8.98]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</si>
  <si>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</si>
  <si>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</si>
  <si>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</si>
  <si>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</si>
  <si>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</si>
  <si>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</si>
  <si>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</si>
  <si>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</si>
  <si>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</si>
  <si>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</si>
  <si>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</si>
  <si>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</si>
  <si>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</si>
  <si>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</si>
  <si>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</si>
  <si>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</si>
  <si>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</si>
  <si>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</si>
  <si>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</si>
  <si>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</si>
  <si>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</si>
  <si>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</si>
  <si>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</si>
  <si>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</si>
  <si>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</si>
  <si>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</si>
  <si>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</si>
  <si>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</si>
  <si>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</si>
  <si>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</si>
  <si>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</si>
  <si>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</si>
  <si>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</si>
  <si>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</si>
  <si>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</si>
  <si>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</si>
  <si>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</si>
  <si>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</si>
  <si>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</si>
  <si>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</si>
  <si>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</si>
  <si>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</si>
  <si>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</si>
  <si>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</si>
  <si>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</si>
  <si>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</si>
  <si>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</si>
  <si>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</si>
  <si>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</si>
  <si>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</si>
  <si>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</si>
  <si>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</si>
  <si>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</si>
  <si>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</si>
  <si>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н</t>
  </si>
  <si>
    <t>НДС 20%</t>
  </si>
  <si>
    <t>в с н</t>
  </si>
  <si>
    <t>Всего с НДС 20%</t>
  </si>
  <si>
    <t>НДС</t>
  </si>
  <si>
    <t>Новая переменная</t>
  </si>
  <si>
    <t>Переменная</t>
  </si>
  <si>
    <t>Переменная1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</si>
  <si>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</si>
  <si>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</si>
  <si>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</si>
  <si>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</si>
  <si>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</si>
  <si>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</si>
  <si>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</si>
  <si>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</si>
  <si>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</si>
  <si>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</si>
  <si>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</si>
  <si>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</si>
  <si>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</si>
  <si>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</si>
  <si>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</si>
  <si>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</si>
  <si>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</si>
  <si>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</si>
  <si>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</si>
  <si>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СТНДРТ</t>
  </si>
  <si>
    <t>При определении сметной стоимости строительства объектов капитального строительства (за исключением АЭС).</t>
  </si>
  <si>
    <t>АЭС_ПНР</t>
  </si>
  <si>
    <t>При определении сметной стоимости строительства объектов капитального строительства АЭС. Пусконаладочные работы (за исключением технологического оборудования АЭС).</t>
  </si>
  <si>
    <t>АЭС_ПНР_ТЕХ</t>
  </si>
  <si>
    <t>При определении сметной стоимости строительства объектов капитального строительства АЭС. Пусконаладочные работы технологического оборудования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</si>
  <si>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</si>
  <si>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АЭС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</si>
  <si>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</si>
  <si>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</si>
  <si>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</si>
  <si>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</si>
  <si>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</si>
  <si>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</si>
  <si>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</si>
  <si>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</si>
  <si>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</si>
  <si>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</si>
  <si>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</si>
  <si>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</si>
  <si>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</si>
  <si>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</si>
  <si>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</si>
  <si>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ОБ_ПР</t>
  </si>
  <si>
    <t>Объект производственного назначения</t>
  </si>
  <si>
    <t>ОБ_НПР</t>
  </si>
  <si>
    <t>Объект непроизводственного назначения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</si>
  <si>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</si>
  <si>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</si>
  <si>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</si>
  <si>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</si>
  <si>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</si>
  <si>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</si>
  <si>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</si>
  <si>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</si>
  <si>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</si>
  <si>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</si>
  <si>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</si>
  <si>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</si>
  <si>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</si>
  <si>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</si>
  <si>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</si>
  <si>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</si>
  <si>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</si>
  <si>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</si>
  <si>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</si>
  <si>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</si>
  <si>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1-100-20</t>
  </si>
  <si>
    <t>Рабочий среднего разряда 2</t>
  </si>
  <si>
    <t>чел.-ч.</t>
  </si>
  <si>
    <t>91.06.03-055</t>
  </si>
  <si>
    <t>ФСЭМ-2001, 91.06.03-055 , приказ Минстроя России № 876/пр от 26.12.2019</t>
  </si>
  <si>
    <t>Лебедки электрические тяговым усилием 19,62 кН (2 т)</t>
  </si>
  <si>
    <t>маш.-ч</t>
  </si>
  <si>
    <t>1-100-31</t>
  </si>
  <si>
    <t>Затраты труда рабочих (Средний разряд - 3,1)</t>
  </si>
  <si>
    <t>4-100-00</t>
  </si>
  <si>
    <t>Затраты труда машинистов</t>
  </si>
  <si>
    <t>91.05.01-017</t>
  </si>
  <si>
    <t>ФСЭМ-2001, 91.05.01-017 , приказ Минстроя России № 876/пр от 26.12.2019</t>
  </si>
  <si>
    <t>Краны башенные, грузоподъемность 8 т</t>
  </si>
  <si>
    <t>маш.-ч.</t>
  </si>
  <si>
    <t>91.06.05-011</t>
  </si>
  <si>
    <t>ФСЭМ-2001, 91.06.05-011 , приказ Минстроя России № 876/пр от 26.12.2019</t>
  </si>
  <si>
    <t>Погрузчики, грузоподъемность 5 т</t>
  </si>
  <si>
    <t>91.07.07-001</t>
  </si>
  <si>
    <t>ФСЭМ-2001, 91.07.07-001 , приказ Минстроя России № 876/пр от 26.12.2019</t>
  </si>
  <si>
    <t>Агрегаты электронасосные с регулированием подачи вручную для строительных растворов, подача до 4 м3/ч, напор 150 м</t>
  </si>
  <si>
    <t>01.7.03.01-0001</t>
  </si>
  <si>
    <t>ФССЦ-2001, 01.7.03.01-0001, приказ Минстроя России № 876/пр от 26.12.2019</t>
  </si>
  <si>
    <t>Вода</t>
  </si>
  <si>
    <t>04.3.01.09</t>
  </si>
  <si>
    <t>Раствор готовый кладочный тяжелый цементный</t>
  </si>
  <si>
    <t>12.1.02.06-0022</t>
  </si>
  <si>
    <t>ФССЦ-2001, 12.1.02.06-0022, приказ Минстроя России № 876/пр от 26.12.2019</t>
  </si>
  <si>
    <t>Рубероид кровельный РКП-350</t>
  </si>
  <si>
    <t>1-100-33</t>
  </si>
  <si>
    <t>Затраты труда рабочих (Средний разряд - 3,3)</t>
  </si>
  <si>
    <t>91.05.05-015</t>
  </si>
  <si>
    <t>ФСЭМ-2001, 91.05.05-015 , приказ Минстроя России № 876/пр от 26.12.2019</t>
  </si>
  <si>
    <t>Краны на автомобильном ходу, грузоподъемность 16 т</t>
  </si>
  <si>
    <t>91.14.02-001</t>
  </si>
  <si>
    <t>ФСЭМ-2001, 91.14.02-001 , приказ Минстроя России № 876/пр от 26.12.2019</t>
  </si>
  <si>
    <t>Автомобили бортовые, грузоподъемность до 5 т</t>
  </si>
  <si>
    <t>08.3.03.04-0012</t>
  </si>
  <si>
    <t>ФССЦ-2001, 08.3.03.04-0012, приказ Минстроя России № 876/пр от 26.12.2019</t>
  </si>
  <si>
    <t>Проволока светлая, диаметр 1,1 мм</t>
  </si>
  <si>
    <t>08.4.03.03</t>
  </si>
  <si>
    <t>Арматура</t>
  </si>
  <si>
    <t>91.08.06-004</t>
  </si>
  <si>
    <t>ФСЭМ-2001, 91.08.06-004 , приказ Минстроя России № 876/пр от 26.12.2019</t>
  </si>
  <si>
    <t>Нарезчики швов, максимальная глубина резки 350 мм</t>
  </si>
  <si>
    <t>01.7.17.10-0001</t>
  </si>
  <si>
    <t>ФССЦ-2001, 01.7.17.10-0001, приказ Минстроя России № 876/пр от 26.12.2019</t>
  </si>
  <si>
    <t>Фреза для нарезчика</t>
  </si>
  <si>
    <t>ШТ</t>
  </si>
  <si>
    <t>91.08.04-024</t>
  </si>
  <si>
    <t>ФСЭМ-2001, 91.08.04-024 , приказ Минстроя России № 876/пр от 26.12.2019</t>
  </si>
  <si>
    <t>Котлы битумные электрические 1000 л</t>
  </si>
  <si>
    <t>01.1.02.10-1022</t>
  </si>
  <si>
    <t>ФССЦ-2001, 01.1.02.10-1022, приказ Минстроя России № 876/пр от 26.12.2019</t>
  </si>
  <si>
    <t>Хризотил, группа 6К</t>
  </si>
  <si>
    <t>01.2.01.02-0031</t>
  </si>
  <si>
    <t>ФССЦ-2001, 01.2.01.02-0031, приказ Минстроя России № 876/пр от 26.12.2019</t>
  </si>
  <si>
    <t>Битумы нефтяные строительные изоляционные БНИ-IV-3, БНИ-IV, БНИ-V</t>
  </si>
  <si>
    <t>02.2.02.03-0021</t>
  </si>
  <si>
    <t>ФССЦ-2001, 02.2.02.03-0021, приказ Минстроя России № 876/пр от 26.12.2019</t>
  </si>
  <si>
    <t>Порошок минеральный</t>
  </si>
  <si>
    <t>11.1.03.06-0087</t>
  </si>
  <si>
    <t>ФССЦ-2001, 11.1.03.06-0087, приказ Минстроя России № 876/пр от 26.12.2019</t>
  </si>
  <si>
    <t>Доска обрезная, хвойных пород, ширина 75-150 мм, толщина 25 мм, длина 4-6,5 м, сорт III</t>
  </si>
  <si>
    <t>1-100-38</t>
  </si>
  <si>
    <t>Затраты труда рабочих (Средний разряд - 3,8)</t>
  </si>
  <si>
    <t>01.3.02.09-0022</t>
  </si>
  <si>
    <t>ФССЦ-2001, 01.3.02.09-0022, приказ Минстроя России № 876/пр от 26.12.2019</t>
  </si>
  <si>
    <t>Пропан-бутан смесь техническая</t>
  </si>
  <si>
    <t>12.1.02.15</t>
  </si>
  <si>
    <t>Материалы рулонные кровельные наплавляемые</t>
  </si>
  <si>
    <t>1-100-32</t>
  </si>
  <si>
    <t>Затраты труда рабочих (Средний разряд - 3,2)</t>
  </si>
  <si>
    <t>Материалы рулонные кровельные для верхнего слоя</t>
  </si>
  <si>
    <t>Материалы рулонные кровельные для нижних слоев</t>
  </si>
  <si>
    <t>1-100-36</t>
  </si>
  <si>
    <t>Затраты труда рабочих (Средний разряд - 3,6)</t>
  </si>
  <si>
    <t>1-100-30</t>
  </si>
  <si>
    <t>Затраты труда рабочих (Средний разряд - 3)</t>
  </si>
  <si>
    <t>01.7.15.06-0146</t>
  </si>
  <si>
    <t>ФССЦ-2001, 01.7.15.06-0146, приказ Минстроя России № 876/пр от 26.12.2019</t>
  </si>
  <si>
    <t>Гвозди толевые круглые, размер 3,0x40 мм</t>
  </si>
  <si>
    <t>08.3.03.05-0002</t>
  </si>
  <si>
    <t>ФССЦ-2001, 08.3.03.05-0002, приказ Минстроя России № 876/пр от 26.12.2019</t>
  </si>
  <si>
    <t>Проволока канатная оцинкованная, диаметр 3 мм</t>
  </si>
  <si>
    <t>ГОСУДАРСТВЕННЫЕ СМЕТНЫЕ НОРМАТИВЫ (ФЕР-2020), утвержденные приказами Минстроя России от 26 декабря 2019 г.   № 876/пр (в редакции приказов Минстроя РФ от 30 марта 2020 г. № 172/пр, от 1 июня 2020 г. № 294/пр, от 30 июня 2020 г. № 352/пр,   от 20 октября 2020 г. № 636/пр, от 9 февраля 2021 г. № 51/пр, от 24 мая 2021 г. № 321/пр, от 24 июня 2021 г. № 408/пр,  от 14 октября 2021 № 746/пр, от 20 декабря 2021 № 962/пр)</t>
  </si>
  <si>
    <t>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</si>
  <si>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"СОГЛАСОВАНО"</t>
  </si>
  <si>
    <t>"УТВЕРЖДАЮ"</t>
  </si>
  <si>
    <t>"_____"________________ 2024 г.</t>
  </si>
  <si>
    <t>(наименование стройки)</t>
  </si>
  <si>
    <t>(наименование работ и затрат, наименование объекта)</t>
  </si>
  <si>
    <t>текущая цена</t>
  </si>
  <si>
    <t>Сметная стоимость</t>
  </si>
  <si>
    <t>тыс. руб.</t>
  </si>
  <si>
    <t>Строительный объем:</t>
  </si>
  <si>
    <t>Стоимость ед.стр.объема: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</si>
  <si>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</si>
  <si>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</si>
  <si>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</si>
  <si>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</si>
  <si>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</si>
  <si>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</si>
  <si>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</si>
  <si>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</si>
  <si>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</si>
  <si>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</si>
  <si>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</si>
  <si>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</si>
  <si>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 квартал 2024 года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</si>
  <si>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</si>
  <si>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</si>
  <si>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</si>
  <si>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</si>
  <si>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</si>
  <si>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</si>
  <si>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</si>
  <si>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t>Материальные ресурсы</t>
  </si>
  <si>
    <r>
      <t>Раствор цементно-песчаный М100 с учетом доставки</t>
    </r>
    <r>
      <rPr>
        <i/>
        <sz val="10"/>
        <rFont val="Arial"/>
        <family val="2"/>
        <charset val="204"/>
      </rPr>
      <t xml:space="preserve">
556.79 = [6 000 / 1.2 /  8.98]</t>
    </r>
  </si>
  <si>
    <r>
      <t>Сетка сварная 100х100х4 мм</t>
    </r>
    <r>
      <rPr>
        <i/>
        <sz val="10"/>
        <rFont val="Arial"/>
        <family val="2"/>
        <charset val="204"/>
      </rPr>
      <t xml:space="preserve">
12.91 = [130 / 1.2 /  8.98] +  5% Трансп +  2% Заг.скл</t>
    </r>
  </si>
  <si>
    <r>
      <t>Праймер битумный Технониколь №1</t>
    </r>
    <r>
      <rPr>
        <i/>
        <sz val="10"/>
        <rFont val="Arial"/>
        <family val="2"/>
        <charset val="204"/>
      </rPr>
      <t xml:space="preserve">
23.54 = [236.88 / 1.2 /  8.98] +  5% Трансп +  2% Заг.скл</t>
    </r>
  </si>
  <si>
    <r>
      <t>Праймер битумный Технониколь №1 (расход 0,3кг/м2)</t>
    </r>
    <r>
      <rPr>
        <i/>
        <sz val="10"/>
        <rFont val="Arial"/>
        <family val="2"/>
        <charset val="204"/>
      </rPr>
      <t xml:space="preserve">
23.54 = [236.88 / 1.2 /  8.98] +  5% Трансп +  2% Заг.скл</t>
    </r>
  </si>
  <si>
    <r>
      <t>Сталь листовая оцинкованная, толщина 0,4 мм</t>
    </r>
    <r>
      <rPr>
        <i/>
        <sz val="10"/>
        <rFont val="Arial"/>
        <family val="2"/>
        <charset val="204"/>
      </rPr>
      <t xml:space="preserve">
48.38 = [486.73 / 1.2 /  8.98] +  5% Трансп +  2% Заг.скл</t>
    </r>
  </si>
  <si>
    <r>
      <t>Утилизация строительного мусора с учетом транспортировки</t>
    </r>
    <r>
      <rPr>
        <i/>
        <sz val="10"/>
        <rFont val="Arial"/>
        <family val="2"/>
        <charset val="204"/>
      </rPr>
      <t xml:space="preserve">
92.80 = [1 000 / 1.2 /  8.98]</t>
    </r>
  </si>
  <si>
    <t>ЗАО "Жигулевские стройматериалы"</t>
  </si>
  <si>
    <t>Ремонт кровли склада готовой продукции (производственный корпус) Инв. № 43672</t>
  </si>
  <si>
    <t>Дефектная ведомость №1</t>
  </si>
  <si>
    <t>Приложение 2 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</si>
</sst>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########;[Red]\-\ #,##0.00############"/>
  </numFmts>
  <fonts count="22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164" fontId="0" fillId="0" borderId="0" xfId="0" applyNumberFormat="1"/>
    <xf numFmtId="0" fontId="0" fillId="0" borderId="2" xfId="0" applyBorder="1"/>
    <xf numFmtId="0" fontId="9" fillId="0" borderId="2" xfId="0" applyFont="1" applyBorder="1" applyAlignment="1">
      <alignment vertical="top" wrapText="1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7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164" fontId="9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B0EC2B2E-8762-4458-9D3E-1074C5652B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5"/>
  <sheetViews>
    <sheetView tabSelected="1" zoomScaleNormal="100" workbookViewId="0">
      <selection activeCell="J214" sqref="J214:K214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9.7109375" customWidth="1"/>
    <col min="15" max="31" width="0" hidden="1" customWidth="1"/>
    <col min="32" max="32" width="91.7109375" hidden="1" customWidth="1"/>
    <col min="33" max="36" width="0" hidden="1" customWidth="1"/>
  </cols>
  <sheetData>
    <row r="1" spans="1:12" x14ac:dyDescent="0.2">
      <c r="A1" s="9" t="str">
        <f>Source!B1</f>
        <v>Smeta.RU  (495) 974-1589</v>
      </c>
    </row>
    <row r="2" spans="1:12" x14ac:dyDescent="0.2">
      <c r="A2" s="9"/>
      <c r="H2" s="76" t="s">
        <v>413</v>
      </c>
      <c r="I2" s="76"/>
      <c r="J2" s="76"/>
      <c r="K2" s="76"/>
    </row>
    <row r="3" spans="1:12" x14ac:dyDescent="0.2">
      <c r="A3" s="9"/>
    </row>
    <row r="4" spans="1:12" ht="14.2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</row>
    <row r="5" spans="1:12" ht="16.5" x14ac:dyDescent="0.25">
      <c r="A5" s="12"/>
      <c r="B5" s="77" t="s">
        <v>373</v>
      </c>
      <c r="C5" s="77"/>
      <c r="D5" s="77"/>
      <c r="E5" s="77"/>
      <c r="F5" s="11"/>
      <c r="G5" s="11"/>
      <c r="H5" s="77" t="s">
        <v>374</v>
      </c>
      <c r="I5" s="77"/>
      <c r="J5" s="77"/>
      <c r="K5" s="77"/>
      <c r="L5" s="77"/>
    </row>
    <row r="6" spans="1:12" ht="14.25" x14ac:dyDescent="0.2">
      <c r="A6" s="11"/>
      <c r="B6" s="61"/>
      <c r="C6" s="61"/>
      <c r="D6" s="61"/>
      <c r="E6" s="61"/>
      <c r="F6" s="11"/>
      <c r="G6" s="11"/>
      <c r="H6" s="61"/>
      <c r="I6" s="61"/>
      <c r="J6" s="61"/>
      <c r="K6" s="61"/>
      <c r="L6" s="61"/>
    </row>
    <row r="7" spans="1:12" ht="14.25" x14ac:dyDescent="0.2">
      <c r="A7" s="13"/>
      <c r="B7" s="13"/>
      <c r="C7" s="14"/>
      <c r="D7" s="14"/>
      <c r="E7" s="14"/>
      <c r="F7" s="11"/>
      <c r="G7" s="11"/>
      <c r="H7" s="15"/>
      <c r="I7" s="14"/>
      <c r="J7" s="14"/>
      <c r="K7" s="14"/>
      <c r="L7" s="15"/>
    </row>
    <row r="8" spans="1:12" ht="14.25" x14ac:dyDescent="0.2">
      <c r="A8" s="15"/>
      <c r="B8" s="61" t="str">
        <f>CONCATENATE("______________________ ", IF(Source!AL12&lt;&gt;"", Source!AL12, ""))</f>
        <v xml:space="preserve">______________________ </v>
      </c>
      <c r="C8" s="61"/>
      <c r="D8" s="61"/>
      <c r="E8" s="61"/>
      <c r="F8" s="11"/>
      <c r="G8" s="11"/>
      <c r="H8" s="61" t="str">
        <f>CONCATENATE("______________________ ", IF(Source!AH12&lt;&gt;"", Source!AH12, ""))</f>
        <v xml:space="preserve">______________________ </v>
      </c>
      <c r="I8" s="61"/>
      <c r="J8" s="61"/>
      <c r="K8" s="61"/>
      <c r="L8" s="61"/>
    </row>
    <row r="9" spans="1:12" ht="14.25" x14ac:dyDescent="0.2">
      <c r="A9" s="16"/>
      <c r="B9" s="73" t="s">
        <v>375</v>
      </c>
      <c r="C9" s="73"/>
      <c r="D9" s="73"/>
      <c r="E9" s="73"/>
      <c r="F9" s="11"/>
      <c r="G9" s="11"/>
      <c r="H9" s="73" t="s">
        <v>375</v>
      </c>
      <c r="I9" s="73"/>
      <c r="J9" s="73"/>
      <c r="K9" s="73"/>
      <c r="L9" s="73"/>
    </row>
    <row r="12" spans="1:12" ht="15.75" x14ac:dyDescent="0.25">
      <c r="A12" s="16"/>
      <c r="B12" s="74" t="s">
        <v>410</v>
      </c>
      <c r="C12" s="74"/>
      <c r="D12" s="74"/>
      <c r="E12" s="74"/>
      <c r="F12" s="74"/>
      <c r="G12" s="74"/>
      <c r="H12" s="74"/>
      <c r="I12" s="74"/>
      <c r="J12" s="74"/>
      <c r="K12" s="74"/>
      <c r="L12" s="16"/>
    </row>
    <row r="13" spans="1:12" ht="14.25" x14ac:dyDescent="0.2">
      <c r="A13" s="17"/>
      <c r="B13" s="75" t="s">
        <v>376</v>
      </c>
      <c r="C13" s="75"/>
      <c r="D13" s="75"/>
      <c r="E13" s="75"/>
      <c r="F13" s="75"/>
      <c r="G13" s="75"/>
      <c r="H13" s="75"/>
      <c r="I13" s="75"/>
      <c r="J13" s="75"/>
      <c r="K13" s="75"/>
      <c r="L13" s="16"/>
    </row>
    <row r="14" spans="1:12" ht="14.2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 x14ac:dyDescent="0.25">
      <c r="A15" s="18"/>
      <c r="B15" s="74" t="str">
        <f>CONCATENATE( "ЛОКАЛЬНАЯ СМЕТА № ",IF(Source!F12&lt;&gt;"Новый объект", Source!F12, ""))</f>
        <v>ЛОКАЛЬНАЯ СМЕТА № 1</v>
      </c>
      <c r="C15" s="74"/>
      <c r="D15" s="74"/>
      <c r="E15" s="74"/>
      <c r="F15" s="74"/>
      <c r="G15" s="74"/>
      <c r="H15" s="74"/>
      <c r="I15" s="74"/>
      <c r="J15" s="74"/>
      <c r="K15" s="74"/>
      <c r="L15" s="18"/>
    </row>
    <row r="16" spans="1:12" ht="15.75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</row>
    <row r="17" spans="1:12" ht="18" hidden="1" x14ac:dyDescent="0.25">
      <c r="A17" s="1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18"/>
    </row>
    <row r="18" spans="1:12" ht="14.25" hidden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8" x14ac:dyDescent="0.25">
      <c r="A19" s="11"/>
      <c r="B19" s="70" t="str">
        <f>IF(Source!G12&lt;&gt;"Новый объект", Source!G12, "")</f>
        <v>Ремонт кровли склада готовой продукции (производственный корпус) Инв. № 43672</v>
      </c>
      <c r="C19" s="70"/>
      <c r="D19" s="70"/>
      <c r="E19" s="70"/>
      <c r="F19" s="70"/>
      <c r="G19" s="70"/>
      <c r="H19" s="70"/>
      <c r="I19" s="70"/>
      <c r="J19" s="70"/>
      <c r="K19" s="70"/>
      <c r="L19" s="20"/>
    </row>
    <row r="20" spans="1:12" ht="14.25" x14ac:dyDescent="0.2">
      <c r="A20" s="11"/>
      <c r="B20" s="71" t="s">
        <v>377</v>
      </c>
      <c r="C20" s="71"/>
      <c r="D20" s="71"/>
      <c r="E20" s="71"/>
      <c r="F20" s="71"/>
      <c r="G20" s="71"/>
      <c r="H20" s="71"/>
      <c r="I20" s="71"/>
      <c r="J20" s="71"/>
      <c r="K20" s="71"/>
      <c r="L20" s="16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4.25" x14ac:dyDescent="0.2">
      <c r="A22" s="63" t="str">
        <f>CONCATENATE("Основание: ", Source!J12)</f>
        <v>Основание: Дефектная ведомость №1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4.25" x14ac:dyDescent="0.2">
      <c r="A25" s="11"/>
      <c r="B25" s="11"/>
      <c r="C25" s="11"/>
      <c r="D25" s="11"/>
      <c r="E25" s="21"/>
      <c r="F25" s="21"/>
      <c r="G25" s="72"/>
      <c r="H25" s="72"/>
      <c r="I25" s="72" t="s">
        <v>378</v>
      </c>
      <c r="J25" s="72"/>
      <c r="K25" s="11"/>
      <c r="L25" s="11"/>
    </row>
    <row r="26" spans="1:12" ht="15" x14ac:dyDescent="0.25">
      <c r="A26" s="11"/>
      <c r="B26" s="11"/>
      <c r="C26" s="66" t="s">
        <v>379</v>
      </c>
      <c r="D26" s="66"/>
      <c r="E26" s="66"/>
      <c r="F26" s="66"/>
      <c r="G26" s="64"/>
      <c r="H26" s="64"/>
      <c r="I26" s="64">
        <f>J215/1000</f>
        <v>5209.1576599999999</v>
      </c>
      <c r="J26" s="64"/>
      <c r="K26" s="67" t="s">
        <v>380</v>
      </c>
      <c r="L26" s="67"/>
    </row>
    <row r="27" spans="1:12" ht="14.25" hidden="1" x14ac:dyDescent="0.2">
      <c r="A27" s="11"/>
      <c r="B27" s="11"/>
      <c r="C27" s="68" t="s">
        <v>197</v>
      </c>
      <c r="D27" s="68"/>
      <c r="E27" s="68"/>
      <c r="F27" s="68"/>
      <c r="G27" s="64"/>
      <c r="H27" s="64"/>
      <c r="I27" s="64"/>
      <c r="J27" s="64"/>
      <c r="K27" s="22" t="s">
        <v>380</v>
      </c>
      <c r="L27" s="11"/>
    </row>
    <row r="28" spans="1:12" ht="15" x14ac:dyDescent="0.25">
      <c r="A28" s="11"/>
      <c r="B28" s="11"/>
      <c r="C28" s="23"/>
      <c r="D28" s="23"/>
      <c r="E28" s="23"/>
      <c r="F28" s="15"/>
      <c r="G28" s="24"/>
      <c r="H28" s="24"/>
      <c r="I28" s="24"/>
      <c r="J28" s="24"/>
      <c r="K28" s="24"/>
      <c r="L28" s="24"/>
    </row>
    <row r="29" spans="1:12" ht="15" hidden="1" x14ac:dyDescent="0.2">
      <c r="A29" s="15" t="s">
        <v>381</v>
      </c>
      <c r="B29" s="11"/>
      <c r="C29" s="11"/>
      <c r="D29" s="13"/>
      <c r="E29" s="11"/>
      <c r="F29" s="11"/>
      <c r="G29" s="25"/>
      <c r="H29" s="25"/>
      <c r="I29" s="26"/>
      <c r="J29" s="25"/>
      <c r="K29" s="25"/>
      <c r="L29" s="25"/>
    </row>
    <row r="30" spans="1:12" ht="15" hidden="1" x14ac:dyDescent="0.2">
      <c r="A30" s="15" t="s">
        <v>382</v>
      </c>
      <c r="B30" s="11"/>
      <c r="C30" s="11"/>
      <c r="D30" s="13"/>
      <c r="E30" s="11"/>
      <c r="F30" s="11"/>
      <c r="G30" s="25"/>
      <c r="H30" s="25"/>
      <c r="I30" s="26"/>
      <c r="J30" s="25"/>
      <c r="K30" s="25"/>
      <c r="L30" s="25"/>
    </row>
    <row r="31" spans="1:12" ht="15" hidden="1" x14ac:dyDescent="0.2">
      <c r="A31" s="11"/>
      <c r="B31" s="11"/>
      <c r="C31" s="10"/>
      <c r="D31" s="10"/>
      <c r="E31" s="10"/>
      <c r="F31" s="10"/>
      <c r="G31" s="25"/>
      <c r="H31" s="25"/>
      <c r="I31" s="26"/>
      <c r="J31" s="25"/>
      <c r="K31" s="25"/>
      <c r="L31" s="25"/>
    </row>
    <row r="32" spans="1:12" ht="14.25" x14ac:dyDescent="0.2">
      <c r="A32" s="69" t="s">
        <v>395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26" ht="57" x14ac:dyDescent="0.2">
      <c r="A33" s="27" t="s">
        <v>383</v>
      </c>
      <c r="B33" s="27" t="s">
        <v>384</v>
      </c>
      <c r="C33" s="27" t="s">
        <v>385</v>
      </c>
      <c r="D33" s="27" t="s">
        <v>386</v>
      </c>
      <c r="E33" s="27" t="s">
        <v>387</v>
      </c>
      <c r="F33" s="27" t="s">
        <v>388</v>
      </c>
      <c r="G33" s="27" t="s">
        <v>389</v>
      </c>
      <c r="H33" s="27" t="s">
        <v>390</v>
      </c>
      <c r="I33" s="27" t="s">
        <v>391</v>
      </c>
      <c r="J33" s="27" t="s">
        <v>392</v>
      </c>
      <c r="K33" s="27" t="s">
        <v>393</v>
      </c>
      <c r="L33" s="27" t="s">
        <v>394</v>
      </c>
    </row>
    <row r="34" spans="1:26" ht="14.25" x14ac:dyDescent="0.2">
      <c r="A34" s="28">
        <v>1</v>
      </c>
      <c r="B34" s="28">
        <v>2</v>
      </c>
      <c r="C34" s="28">
        <v>3</v>
      </c>
      <c r="D34" s="28">
        <v>4</v>
      </c>
      <c r="E34" s="28">
        <v>5</v>
      </c>
      <c r="F34" s="28">
        <v>6</v>
      </c>
      <c r="G34" s="28">
        <v>7</v>
      </c>
      <c r="H34" s="28">
        <v>8</v>
      </c>
      <c r="I34" s="28">
        <v>9</v>
      </c>
      <c r="J34" s="28">
        <v>10</v>
      </c>
      <c r="K34" s="28">
        <v>11</v>
      </c>
      <c r="L34" s="29">
        <v>12</v>
      </c>
    </row>
    <row r="35" spans="1:26" ht="28.5" x14ac:dyDescent="0.2">
      <c r="A35" s="53">
        <v>1</v>
      </c>
      <c r="B35" s="53" t="str">
        <f>Source!F24</f>
        <v>46-04-008-01</v>
      </c>
      <c r="C35" s="53" t="str">
        <f>Source!G24</f>
        <v>Разборка покрытий кровель: из рулонных материалов</v>
      </c>
      <c r="D35" s="37" t="str">
        <f>Source!H24</f>
        <v>100 м2</v>
      </c>
      <c r="E35" s="10">
        <f>Source!I24</f>
        <v>20.8</v>
      </c>
      <c r="F35" s="38">
        <f>Source!AL24+Source!AM24+Source!AO24</f>
        <v>153.59</v>
      </c>
      <c r="G35" s="39"/>
      <c r="H35" s="38"/>
      <c r="I35" s="39" t="str">
        <f>Source!BO24</f>
        <v/>
      </c>
      <c r="J35" s="39"/>
      <c r="K35" s="38"/>
      <c r="L35" s="40"/>
      <c r="S35">
        <f>ROUND((Source!FX24/100)*((ROUND(Source!AF24*Source!I24, 2)+ROUND(Source!AE24*Source!I24, 2))), 2)</f>
        <v>2402.92</v>
      </c>
      <c r="T35">
        <f>Source!X24</f>
        <v>77277.77</v>
      </c>
      <c r="U35">
        <f>ROUND((Source!FY24/100)*((ROUND(Source!AF24*Source!I24, 2)+ROUND(Source!AE24*Source!I24, 2))), 2)</f>
        <v>1376.43</v>
      </c>
      <c r="V35">
        <f>Source!Y24</f>
        <v>44265.91</v>
      </c>
    </row>
    <row r="36" spans="1:26" x14ac:dyDescent="0.2">
      <c r="C36" s="30" t="str">
        <f>"Объем: "&amp;Source!I24&amp;"=2080/"&amp;"100"</f>
        <v>Объем: 20,8=2080/100</v>
      </c>
    </row>
    <row r="37" spans="1:26" ht="14.25" x14ac:dyDescent="0.2">
      <c r="A37" s="53"/>
      <c r="B37" s="53"/>
      <c r="C37" s="53" t="s">
        <v>396</v>
      </c>
      <c r="D37" s="37"/>
      <c r="E37" s="10"/>
      <c r="F37" s="38">
        <f>Source!AO24</f>
        <v>112.16</v>
      </c>
      <c r="G37" s="39" t="str">
        <f>Source!DG24</f>
        <v/>
      </c>
      <c r="H37" s="38">
        <f>ROUND(Source!AF24*Source!I24, 2)</f>
        <v>2332.9299999999998</v>
      </c>
      <c r="I37" s="39"/>
      <c r="J37" s="39">
        <f>IF(Source!BA24&lt;&gt; 0, Source!BA24, 1)</f>
        <v>32.159999999999997</v>
      </c>
      <c r="K37" s="38">
        <f>Source!S24</f>
        <v>75026.960000000006</v>
      </c>
      <c r="L37" s="40"/>
      <c r="R37">
        <f>H37</f>
        <v>2332.9299999999998</v>
      </c>
    </row>
    <row r="38" spans="1:26" ht="14.25" x14ac:dyDescent="0.2">
      <c r="A38" s="53"/>
      <c r="B38" s="53"/>
      <c r="C38" s="53" t="s">
        <v>179</v>
      </c>
      <c r="D38" s="37"/>
      <c r="E38" s="10"/>
      <c r="F38" s="38">
        <f>Source!AM24</f>
        <v>41.43</v>
      </c>
      <c r="G38" s="39" t="str">
        <f>Source!DE24</f>
        <v/>
      </c>
      <c r="H38" s="38">
        <f>ROUND((((Source!ET24)-(Source!EU24))+Source!AE24)*Source!I24, 2)</f>
        <v>861.74</v>
      </c>
      <c r="I38" s="39"/>
      <c r="J38" s="39">
        <f>IF(Source!BB24&lt;&gt; 0, Source!BB24, 1)</f>
        <v>12.43</v>
      </c>
      <c r="K38" s="38">
        <f>Source!Q24</f>
        <v>10711.48</v>
      </c>
      <c r="L38" s="40"/>
    </row>
    <row r="39" spans="1:26" ht="14.25" x14ac:dyDescent="0.2">
      <c r="A39" s="53"/>
      <c r="B39" s="53"/>
      <c r="C39" s="53" t="s">
        <v>397</v>
      </c>
      <c r="D39" s="37" t="s">
        <v>398</v>
      </c>
      <c r="E39" s="10">
        <f>Source!BZ24</f>
        <v>103</v>
      </c>
      <c r="F39" s="55"/>
      <c r="G39" s="39"/>
      <c r="H39" s="38">
        <f>SUM(S35:S41)</f>
        <v>2402.92</v>
      </c>
      <c r="I39" s="41"/>
      <c r="J39" s="35">
        <f>Source!AT24</f>
        <v>103</v>
      </c>
      <c r="K39" s="38">
        <f>SUM(T35:T41)</f>
        <v>77277.77</v>
      </c>
      <c r="L39" s="40"/>
    </row>
    <row r="40" spans="1:26" ht="14.25" x14ac:dyDescent="0.2">
      <c r="A40" s="53"/>
      <c r="B40" s="53"/>
      <c r="C40" s="53" t="s">
        <v>399</v>
      </c>
      <c r="D40" s="37" t="s">
        <v>398</v>
      </c>
      <c r="E40" s="10">
        <f>Source!CA24</f>
        <v>59</v>
      </c>
      <c r="F40" s="55"/>
      <c r="G40" s="39"/>
      <c r="H40" s="38">
        <f>SUM(U35:U41)</f>
        <v>1376.43</v>
      </c>
      <c r="I40" s="41"/>
      <c r="J40" s="35">
        <f>Source!AU24</f>
        <v>59</v>
      </c>
      <c r="K40" s="38">
        <f>SUM(V35:V41)</f>
        <v>44265.91</v>
      </c>
      <c r="L40" s="40"/>
    </row>
    <row r="41" spans="1:26" ht="14.25" x14ac:dyDescent="0.2">
      <c r="A41" s="54"/>
      <c r="B41" s="54"/>
      <c r="C41" s="54" t="s">
        <v>400</v>
      </c>
      <c r="D41" s="42" t="s">
        <v>401</v>
      </c>
      <c r="E41" s="43">
        <f>Source!AQ24</f>
        <v>14.38</v>
      </c>
      <c r="F41" s="44"/>
      <c r="G41" s="45" t="str">
        <f>Source!DI24</f>
        <v/>
      </c>
      <c r="H41" s="44"/>
      <c r="I41" s="45"/>
      <c r="J41" s="45"/>
      <c r="K41" s="44"/>
      <c r="L41" s="46">
        <f>Source!U24</f>
        <v>299.10400000000004</v>
      </c>
    </row>
    <row r="42" spans="1:26" ht="15" x14ac:dyDescent="0.25">
      <c r="G42" s="60">
        <f>H37+H38+H39+H40</f>
        <v>6974.02</v>
      </c>
      <c r="H42" s="60"/>
      <c r="J42" s="60">
        <f>K37+K38+K39+K40</f>
        <v>207282.12000000002</v>
      </c>
      <c r="K42" s="60"/>
      <c r="L42" s="47">
        <f>Source!U24</f>
        <v>299.10400000000004</v>
      </c>
      <c r="O42" s="31">
        <f>G42</f>
        <v>6974.02</v>
      </c>
      <c r="P42" s="31">
        <f>J42</f>
        <v>207282.12000000002</v>
      </c>
      <c r="Q42" s="31">
        <f>L42</f>
        <v>299.10400000000004</v>
      </c>
      <c r="W42">
        <f>IF(Source!BI24&lt;=1,H37+H38+H39+H40, 0)</f>
        <v>6974.02</v>
      </c>
      <c r="X42">
        <f>IF(Source!BI24=2,H37+H38+H39+H40, 0)</f>
        <v>0</v>
      </c>
      <c r="Y42">
        <f>IF(Source!BI24=3,H37+H38+H39+H40, 0)</f>
        <v>0</v>
      </c>
      <c r="Z42">
        <f>IF(Source!BI24=4,H37+H38+H39+H40, 0)</f>
        <v>0</v>
      </c>
    </row>
    <row r="43" spans="1:26" ht="42.75" x14ac:dyDescent="0.2">
      <c r="A43" s="53">
        <v>2</v>
      </c>
      <c r="B43" s="53" t="str">
        <f>Source!F25</f>
        <v>12-01-017-01</v>
      </c>
      <c r="C43" s="53" t="str">
        <f>Source!G25</f>
        <v>Демонтаж // Устройство выравнивающих стяжек: цементно-песчаных толщиной 15 мм</v>
      </c>
      <c r="D43" s="37" t="str">
        <f>Source!H25</f>
        <v>100 м2</v>
      </c>
      <c r="E43" s="10">
        <f>Source!I25</f>
        <v>20.8</v>
      </c>
      <c r="F43" s="38">
        <f>Source!AL25+Source!AM25+Source!AO25</f>
        <v>436.55</v>
      </c>
      <c r="G43" s="39"/>
      <c r="H43" s="38"/>
      <c r="I43" s="39" t="str">
        <f>Source!BO25</f>
        <v/>
      </c>
      <c r="J43" s="39"/>
      <c r="K43" s="38"/>
      <c r="L43" s="40"/>
      <c r="S43">
        <f>ROUND((Source!FX25/100)*((ROUND(Source!AF25*Source!I25, 2)+ROUND(Source!AE25*Source!I25, 2))), 2)</f>
        <v>4204.5200000000004</v>
      </c>
      <c r="T43">
        <f>Source!X25</f>
        <v>135217.44</v>
      </c>
      <c r="U43">
        <f>ROUND((Source!FY25/100)*((ROUND(Source!AF25*Source!I25, 2)+ROUND(Source!AE25*Source!I25, 2))), 2)</f>
        <v>2198.6999999999998</v>
      </c>
      <c r="V43">
        <f>Source!Y25</f>
        <v>70710.039999999994</v>
      </c>
    </row>
    <row r="44" spans="1:26" x14ac:dyDescent="0.2">
      <c r="C44" s="30" t="str">
        <f>"Объем: "&amp;Source!I25&amp;"=2080/"&amp;"100"</f>
        <v>Объем: 20,8=2080/100</v>
      </c>
    </row>
    <row r="45" spans="1:26" ht="14.25" x14ac:dyDescent="0.2">
      <c r="A45" s="53"/>
      <c r="B45" s="53"/>
      <c r="C45" s="53" t="s">
        <v>396</v>
      </c>
      <c r="D45" s="37"/>
      <c r="E45" s="10"/>
      <c r="F45" s="38">
        <f>Source!AO25</f>
        <v>209.95</v>
      </c>
      <c r="G45" s="39" t="str">
        <f>Source!DG25</f>
        <v>)*0,8</v>
      </c>
      <c r="H45" s="38">
        <f>ROUND(Source!AF25*Source!I25, 2)</f>
        <v>3493.57</v>
      </c>
      <c r="I45" s="39"/>
      <c r="J45" s="39">
        <f>IF(Source!BA25&lt;&gt; 0, Source!BA25, 1)</f>
        <v>32.159999999999997</v>
      </c>
      <c r="K45" s="38">
        <f>Source!S25</f>
        <v>112353.15</v>
      </c>
      <c r="L45" s="40"/>
      <c r="R45">
        <f>H45</f>
        <v>3493.57</v>
      </c>
    </row>
    <row r="46" spans="1:26" ht="14.25" x14ac:dyDescent="0.2">
      <c r="A46" s="53"/>
      <c r="B46" s="53"/>
      <c r="C46" s="53" t="s">
        <v>179</v>
      </c>
      <c r="D46" s="37"/>
      <c r="E46" s="10"/>
      <c r="F46" s="38">
        <f>Source!AM25</f>
        <v>189.93</v>
      </c>
      <c r="G46" s="39" t="str">
        <f>Source!DE25</f>
        <v>)*0,8</v>
      </c>
      <c r="H46" s="38">
        <f>ROUND(((((Source!ET25*0.8))-((Source!EU25*0.8)))+Source!AE25)*Source!I25, 2)</f>
        <v>3160.48</v>
      </c>
      <c r="I46" s="39"/>
      <c r="J46" s="39">
        <f>IF(Source!BB25&lt;&gt; 0, Source!BB25, 1)</f>
        <v>12.43</v>
      </c>
      <c r="K46" s="38">
        <f>Source!Q25</f>
        <v>39285.550000000003</v>
      </c>
      <c r="L46" s="40"/>
    </row>
    <row r="47" spans="1:26" ht="14.25" x14ac:dyDescent="0.2">
      <c r="A47" s="53"/>
      <c r="B47" s="53"/>
      <c r="C47" s="53" t="s">
        <v>402</v>
      </c>
      <c r="D47" s="37"/>
      <c r="E47" s="10"/>
      <c r="F47" s="38">
        <f>Source!AN25</f>
        <v>21.86</v>
      </c>
      <c r="G47" s="39" t="str">
        <f>Source!DF25</f>
        <v>)*0,8</v>
      </c>
      <c r="H47" s="48">
        <f>ROUND(Source!AE25*Source!I25, 2)</f>
        <v>363.79</v>
      </c>
      <c r="I47" s="39"/>
      <c r="J47" s="39">
        <f>IF(Source!BS25&lt;&gt; 0, Source!BS25, 1)</f>
        <v>32.159999999999997</v>
      </c>
      <c r="K47" s="48">
        <f>Source!R25</f>
        <v>11699.55</v>
      </c>
      <c r="L47" s="40"/>
      <c r="R47">
        <f>H47</f>
        <v>363.79</v>
      </c>
    </row>
    <row r="48" spans="1:26" ht="14.25" x14ac:dyDescent="0.2">
      <c r="A48" s="53"/>
      <c r="B48" s="53"/>
      <c r="C48" s="53" t="s">
        <v>397</v>
      </c>
      <c r="D48" s="37" t="s">
        <v>398</v>
      </c>
      <c r="E48" s="10">
        <f>Source!BZ25</f>
        <v>109</v>
      </c>
      <c r="F48" s="55"/>
      <c r="G48" s="39"/>
      <c r="H48" s="38">
        <f>SUM(S43:S50)</f>
        <v>4204.5200000000004</v>
      </c>
      <c r="I48" s="41"/>
      <c r="J48" s="35">
        <f>Source!AT25</f>
        <v>109</v>
      </c>
      <c r="K48" s="38">
        <f>SUM(T43:T50)</f>
        <v>135217.44</v>
      </c>
      <c r="L48" s="40"/>
    </row>
    <row r="49" spans="1:26" ht="14.25" x14ac:dyDescent="0.2">
      <c r="A49" s="53"/>
      <c r="B49" s="53"/>
      <c r="C49" s="53" t="s">
        <v>399</v>
      </c>
      <c r="D49" s="37" t="s">
        <v>398</v>
      </c>
      <c r="E49" s="10">
        <f>Source!CA25</f>
        <v>57</v>
      </c>
      <c r="F49" s="55"/>
      <c r="G49" s="39"/>
      <c r="H49" s="38">
        <f>SUM(U43:U50)</f>
        <v>2198.6999999999998</v>
      </c>
      <c r="I49" s="41"/>
      <c r="J49" s="35">
        <f>Source!AU25</f>
        <v>57</v>
      </c>
      <c r="K49" s="38">
        <f>SUM(V43:V50)</f>
        <v>70710.039999999994</v>
      </c>
      <c r="L49" s="40"/>
    </row>
    <row r="50" spans="1:26" ht="14.25" x14ac:dyDescent="0.2">
      <c r="A50" s="54"/>
      <c r="B50" s="54"/>
      <c r="C50" s="54" t="s">
        <v>400</v>
      </c>
      <c r="D50" s="42" t="s">
        <v>401</v>
      </c>
      <c r="E50" s="43">
        <f>Source!AQ25</f>
        <v>24.3</v>
      </c>
      <c r="F50" s="44"/>
      <c r="G50" s="45" t="str">
        <f>Source!DI25</f>
        <v>)*0,8</v>
      </c>
      <c r="H50" s="44"/>
      <c r="I50" s="45"/>
      <c r="J50" s="45"/>
      <c r="K50" s="44"/>
      <c r="L50" s="46">
        <f>Source!U25</f>
        <v>404.35200000000003</v>
      </c>
    </row>
    <row r="51" spans="1:26" ht="15" x14ac:dyDescent="0.25">
      <c r="G51" s="60">
        <f>H45+H46+H48+H49</f>
        <v>13057.27</v>
      </c>
      <c r="H51" s="60"/>
      <c r="J51" s="60">
        <f>K45+K46+K48+K49</f>
        <v>357566.18</v>
      </c>
      <c r="K51" s="60"/>
      <c r="L51" s="47">
        <f>Source!U25</f>
        <v>404.35200000000003</v>
      </c>
      <c r="O51" s="31">
        <f>G51</f>
        <v>13057.27</v>
      </c>
      <c r="P51" s="31">
        <f>J51</f>
        <v>357566.18</v>
      </c>
      <c r="Q51" s="31">
        <f>L51</f>
        <v>404.35200000000003</v>
      </c>
      <c r="W51">
        <f>IF(Source!BI25&lt;=1,H45+H46+H48+H49, 0)</f>
        <v>13057.27</v>
      </c>
      <c r="X51">
        <f>IF(Source!BI25=2,H45+H46+H48+H49, 0)</f>
        <v>0</v>
      </c>
      <c r="Y51">
        <f>IF(Source!BI25=3,H45+H46+H48+H49, 0)</f>
        <v>0</v>
      </c>
      <c r="Z51">
        <f>IF(Source!BI25=4,H45+H46+H48+H49, 0)</f>
        <v>0</v>
      </c>
    </row>
    <row r="52" spans="1:26" ht="71.25" x14ac:dyDescent="0.2">
      <c r="A52" s="53">
        <v>3</v>
      </c>
      <c r="B52" s="53" t="str">
        <f>Source!F26</f>
        <v>12-01-017-02</v>
      </c>
      <c r="C52" s="53" t="str">
        <f>Source!G26</f>
        <v>Демонтаж - корр. толщины 50мм // Устройство выравнивающих стяжек: на каждый 1 мм изменения толщины добавлять или исключать к расценке 12-01-017-01</v>
      </c>
      <c r="D52" s="37" t="str">
        <f>Source!H26</f>
        <v>100 м2</v>
      </c>
      <c r="E52" s="10">
        <f>Source!I26</f>
        <v>20.8</v>
      </c>
      <c r="F52" s="38">
        <f>Source!AL26+Source!AM26+Source!AO26</f>
        <v>11.3</v>
      </c>
      <c r="G52" s="39"/>
      <c r="H52" s="38"/>
      <c r="I52" s="39" t="str">
        <f>Source!BO26</f>
        <v/>
      </c>
      <c r="J52" s="39"/>
      <c r="K52" s="38"/>
      <c r="L52" s="40"/>
      <c r="S52">
        <f>ROUND((Source!FX26/100)*((ROUND(Source!AF26*Source!I26, 2)+ROUND(Source!AE26*Source!I26, 2))), 2)</f>
        <v>5700.66</v>
      </c>
      <c r="T52">
        <f>Source!X26</f>
        <v>183332.82</v>
      </c>
      <c r="U52">
        <f>ROUND((Source!FY26/100)*((ROUND(Source!AF26*Source!I26, 2)+ROUND(Source!AE26*Source!I26, 2))), 2)</f>
        <v>2981.08</v>
      </c>
      <c r="V52">
        <f>Source!Y26</f>
        <v>95871.29</v>
      </c>
    </row>
    <row r="53" spans="1:26" ht="14.25" x14ac:dyDescent="0.2">
      <c r="A53" s="53"/>
      <c r="B53" s="53"/>
      <c r="C53" s="53" t="s">
        <v>396</v>
      </c>
      <c r="D53" s="37"/>
      <c r="E53" s="10"/>
      <c r="F53" s="38">
        <f>Source!AO26</f>
        <v>8.64</v>
      </c>
      <c r="G53" s="39" t="str">
        <f>Source!DG26</f>
        <v>)*0,8)*35</v>
      </c>
      <c r="H53" s="38">
        <f>ROUND(Source!AF26*Source!I26, 2)</f>
        <v>5031.9399999999996</v>
      </c>
      <c r="I53" s="39"/>
      <c r="J53" s="39">
        <f>IF(Source!BA26&lt;&gt; 0, Source!BA26, 1)</f>
        <v>32.159999999999997</v>
      </c>
      <c r="K53" s="38">
        <f>Source!S26</f>
        <v>161827.06</v>
      </c>
      <c r="L53" s="40"/>
      <c r="R53">
        <f>H53</f>
        <v>5031.9399999999996</v>
      </c>
    </row>
    <row r="54" spans="1:26" ht="14.25" x14ac:dyDescent="0.2">
      <c r="A54" s="53"/>
      <c r="B54" s="53"/>
      <c r="C54" s="53" t="s">
        <v>179</v>
      </c>
      <c r="D54" s="37"/>
      <c r="E54" s="10"/>
      <c r="F54" s="38">
        <f>Source!AM26</f>
        <v>2.66</v>
      </c>
      <c r="G54" s="39" t="str">
        <f>Source!DE26</f>
        <v>)*0,8)*35</v>
      </c>
      <c r="H54" s="38">
        <f>ROUND((((((Source!ET26*0.8)*35))-(((Source!EU26*0.8)*35)))+Source!AE26)*Source!I26, 2)</f>
        <v>1549.18</v>
      </c>
      <c r="I54" s="39"/>
      <c r="J54" s="39">
        <f>IF(Source!BB26&lt;&gt; 0, Source!BB26, 1)</f>
        <v>12.43</v>
      </c>
      <c r="K54" s="38">
        <f>Source!Q26</f>
        <v>19256.36</v>
      </c>
      <c r="L54" s="40"/>
    </row>
    <row r="55" spans="1:26" ht="14.25" x14ac:dyDescent="0.2">
      <c r="A55" s="53"/>
      <c r="B55" s="53"/>
      <c r="C55" s="53" t="s">
        <v>402</v>
      </c>
      <c r="D55" s="37"/>
      <c r="E55" s="10"/>
      <c r="F55" s="38">
        <f>Source!AN26</f>
        <v>0.34</v>
      </c>
      <c r="G55" s="39" t="str">
        <f>Source!DF26</f>
        <v>)*0,8)*35</v>
      </c>
      <c r="H55" s="48">
        <f>ROUND(Source!AE26*Source!I26, 2)</f>
        <v>198.02</v>
      </c>
      <c r="I55" s="39"/>
      <c r="J55" s="39">
        <f>IF(Source!BS26&lt;&gt; 0, Source!BS26, 1)</f>
        <v>32.159999999999997</v>
      </c>
      <c r="K55" s="48">
        <f>Source!R26</f>
        <v>6368.19</v>
      </c>
      <c r="L55" s="40"/>
      <c r="R55">
        <f>H55</f>
        <v>198.02</v>
      </c>
    </row>
    <row r="56" spans="1:26" ht="14.25" x14ac:dyDescent="0.2">
      <c r="A56" s="53"/>
      <c r="B56" s="53"/>
      <c r="C56" s="53" t="s">
        <v>397</v>
      </c>
      <c r="D56" s="37" t="s">
        <v>398</v>
      </c>
      <c r="E56" s="10">
        <f>Source!BZ26</f>
        <v>109</v>
      </c>
      <c r="F56" s="55"/>
      <c r="G56" s="39"/>
      <c r="H56" s="38">
        <f>SUM(S52:S58)</f>
        <v>5700.66</v>
      </c>
      <c r="I56" s="41"/>
      <c r="J56" s="35">
        <f>Source!AT26</f>
        <v>109</v>
      </c>
      <c r="K56" s="38">
        <f>SUM(T52:T58)</f>
        <v>183332.82</v>
      </c>
      <c r="L56" s="40"/>
    </row>
    <row r="57" spans="1:26" ht="14.25" x14ac:dyDescent="0.2">
      <c r="A57" s="53"/>
      <c r="B57" s="53"/>
      <c r="C57" s="53" t="s">
        <v>399</v>
      </c>
      <c r="D57" s="37" t="s">
        <v>398</v>
      </c>
      <c r="E57" s="10">
        <f>Source!CA26</f>
        <v>57</v>
      </c>
      <c r="F57" s="55"/>
      <c r="G57" s="39"/>
      <c r="H57" s="38">
        <f>SUM(U52:U58)</f>
        <v>2981.08</v>
      </c>
      <c r="I57" s="41"/>
      <c r="J57" s="35">
        <f>Source!AU26</f>
        <v>57</v>
      </c>
      <c r="K57" s="38">
        <f>SUM(V52:V58)</f>
        <v>95871.29</v>
      </c>
      <c r="L57" s="40"/>
    </row>
    <row r="58" spans="1:26" ht="14.25" x14ac:dyDescent="0.2">
      <c r="A58" s="54"/>
      <c r="B58" s="54"/>
      <c r="C58" s="54" t="s">
        <v>400</v>
      </c>
      <c r="D58" s="42" t="s">
        <v>401</v>
      </c>
      <c r="E58" s="43">
        <f>Source!AQ26</f>
        <v>1</v>
      </c>
      <c r="F58" s="44"/>
      <c r="G58" s="45" t="str">
        <f>Source!DI26</f>
        <v>)*0,8)*35</v>
      </c>
      <c r="H58" s="44"/>
      <c r="I58" s="45"/>
      <c r="J58" s="45"/>
      <c r="K58" s="44"/>
      <c r="L58" s="46">
        <f>Source!U26</f>
        <v>582.4</v>
      </c>
    </row>
    <row r="59" spans="1:26" ht="15" x14ac:dyDescent="0.25">
      <c r="G59" s="60">
        <f>H53+H54+H56+H57</f>
        <v>15262.859999999999</v>
      </c>
      <c r="H59" s="60"/>
      <c r="J59" s="60">
        <f>K53+K54+K56+K57</f>
        <v>460287.52999999997</v>
      </c>
      <c r="K59" s="60"/>
      <c r="L59" s="47">
        <f>Source!U26</f>
        <v>582.4</v>
      </c>
      <c r="O59" s="31">
        <f>G59</f>
        <v>15262.859999999999</v>
      </c>
      <c r="P59" s="31">
        <f>J59</f>
        <v>460287.52999999997</v>
      </c>
      <c r="Q59" s="31">
        <f>L59</f>
        <v>582.4</v>
      </c>
      <c r="W59">
        <f>IF(Source!BI26&lt;=1,H53+H54+H56+H57, 0)</f>
        <v>15262.859999999999</v>
      </c>
      <c r="X59">
        <f>IF(Source!BI26=2,H53+H54+H56+H57, 0)</f>
        <v>0</v>
      </c>
      <c r="Y59">
        <f>IF(Source!BI26=3,H53+H54+H56+H57, 0)</f>
        <v>0</v>
      </c>
      <c r="Z59">
        <f>IF(Source!BI26=4,H53+H54+H56+H57, 0)</f>
        <v>0</v>
      </c>
    </row>
    <row r="60" spans="1:26" ht="28.5" x14ac:dyDescent="0.2">
      <c r="A60" s="53">
        <v>4</v>
      </c>
      <c r="B60" s="53" t="str">
        <f>Source!F27</f>
        <v>12-01-017-01</v>
      </c>
      <c r="C60" s="53" t="str">
        <f>Source!G27</f>
        <v>Устройство выравнивающих стяжек: цементно-песчаных толщиной 15 мм</v>
      </c>
      <c r="D60" s="37" t="str">
        <f>Source!H27</f>
        <v>100 м2</v>
      </c>
      <c r="E60" s="10">
        <f>Source!I27</f>
        <v>20.8</v>
      </c>
      <c r="F60" s="38">
        <f>Source!AL27+Source!AM27+Source!AO27</f>
        <v>436.55</v>
      </c>
      <c r="G60" s="39"/>
      <c r="H60" s="38"/>
      <c r="I60" s="39" t="str">
        <f>Source!BO27</f>
        <v/>
      </c>
      <c r="J60" s="39"/>
      <c r="K60" s="38"/>
      <c r="L60" s="40"/>
      <c r="S60">
        <f>ROUND((Source!FX27/100)*((ROUND(Source!AF27*Source!I27, 2)+ROUND(Source!AE27*Source!I27, 2))), 2)</f>
        <v>6093.55</v>
      </c>
      <c r="T60">
        <f>Source!X27</f>
        <v>195968.68</v>
      </c>
      <c r="U60">
        <f>ROUND((Source!FY27/100)*((ROUND(Source!AF27*Source!I27, 2)+ROUND(Source!AE27*Source!I27, 2))), 2)</f>
        <v>2708.55</v>
      </c>
      <c r="V60">
        <f>Source!Y27</f>
        <v>87107.18</v>
      </c>
    </row>
    <row r="61" spans="1:26" x14ac:dyDescent="0.2">
      <c r="C61" s="30" t="str">
        <f>"Объем: "&amp;Source!I27&amp;"=2080/"&amp;"100"</f>
        <v>Объем: 20,8=2080/100</v>
      </c>
    </row>
    <row r="62" spans="1:26" ht="14.25" x14ac:dyDescent="0.2">
      <c r="A62" s="53"/>
      <c r="B62" s="53"/>
      <c r="C62" s="53" t="s">
        <v>396</v>
      </c>
      <c r="D62" s="37"/>
      <c r="E62" s="10"/>
      <c r="F62" s="38">
        <f>Source!AO27</f>
        <v>209.95</v>
      </c>
      <c r="G62" s="39" t="str">
        <f>Source!DG27</f>
        <v>)*1,15</v>
      </c>
      <c r="H62" s="38">
        <f>ROUND(Source!AF27*Source!I27, 2)</f>
        <v>5021.95</v>
      </c>
      <c r="I62" s="39"/>
      <c r="J62" s="39">
        <f>IF(Source!BA27&lt;&gt; 0, Source!BA27, 1)</f>
        <v>32.159999999999997</v>
      </c>
      <c r="K62" s="38">
        <f>Source!S27</f>
        <v>161505.98000000001</v>
      </c>
      <c r="L62" s="40"/>
      <c r="R62">
        <f>H62</f>
        <v>5021.95</v>
      </c>
    </row>
    <row r="63" spans="1:26" ht="14.25" x14ac:dyDescent="0.2">
      <c r="A63" s="53"/>
      <c r="B63" s="53"/>
      <c r="C63" s="53" t="s">
        <v>179</v>
      </c>
      <c r="D63" s="37"/>
      <c r="E63" s="10"/>
      <c r="F63" s="38">
        <f>Source!AM27</f>
        <v>189.93</v>
      </c>
      <c r="G63" s="39" t="str">
        <f>Source!DE27</f>
        <v>)*1,25</v>
      </c>
      <c r="H63" s="38">
        <f>ROUND(((((Source!ET27*1.25))-((Source!EU27*1.25)))+Source!AE27)*Source!I27, 2)</f>
        <v>4938.28</v>
      </c>
      <c r="I63" s="39"/>
      <c r="J63" s="39">
        <f>IF(Source!BB27&lt;&gt; 0, Source!BB27, 1)</f>
        <v>12.43</v>
      </c>
      <c r="K63" s="38">
        <f>Source!Q27</f>
        <v>61384.92</v>
      </c>
      <c r="L63" s="40"/>
    </row>
    <row r="64" spans="1:26" ht="14.25" x14ac:dyDescent="0.2">
      <c r="A64" s="53"/>
      <c r="B64" s="53"/>
      <c r="C64" s="53" t="s">
        <v>402</v>
      </c>
      <c r="D64" s="37"/>
      <c r="E64" s="10"/>
      <c r="F64" s="38">
        <f>Source!AN27</f>
        <v>21.86</v>
      </c>
      <c r="G64" s="39" t="str">
        <f>Source!DF27</f>
        <v>)*1,25</v>
      </c>
      <c r="H64" s="48">
        <f>ROUND(Source!AE27*Source!I27, 2)</f>
        <v>568.46</v>
      </c>
      <c r="I64" s="39"/>
      <c r="J64" s="39">
        <f>IF(Source!BS27&lt;&gt; 0, Source!BS27, 1)</f>
        <v>32.159999999999997</v>
      </c>
      <c r="K64" s="48">
        <f>Source!R27</f>
        <v>18281.8</v>
      </c>
      <c r="L64" s="40"/>
      <c r="R64">
        <f>H64</f>
        <v>568.46</v>
      </c>
    </row>
    <row r="65" spans="1:26" ht="14.25" x14ac:dyDescent="0.2">
      <c r="A65" s="53"/>
      <c r="B65" s="53"/>
      <c r="C65" s="53" t="s">
        <v>403</v>
      </c>
      <c r="D65" s="37"/>
      <c r="E65" s="10"/>
      <c r="F65" s="38">
        <f>Source!AL27</f>
        <v>36.67</v>
      </c>
      <c r="G65" s="39" t="str">
        <f>Source!DD27</f>
        <v/>
      </c>
      <c r="H65" s="38">
        <f>ROUND(Source!AC27*Source!I27, 2)</f>
        <v>762.74</v>
      </c>
      <c r="I65" s="39"/>
      <c r="J65" s="39">
        <f>IF(Source!BC27&lt;&gt; 0, Source!BC27, 1)</f>
        <v>8.98</v>
      </c>
      <c r="K65" s="38">
        <f>Source!P27</f>
        <v>6849.37</v>
      </c>
      <c r="L65" s="40"/>
    </row>
    <row r="66" spans="1:26" ht="14.25" x14ac:dyDescent="0.2">
      <c r="A66" s="53"/>
      <c r="B66" s="53"/>
      <c r="C66" s="53" t="s">
        <v>397</v>
      </c>
      <c r="D66" s="37" t="s">
        <v>398</v>
      </c>
      <c r="E66" s="10">
        <f>Source!BZ27</f>
        <v>109</v>
      </c>
      <c r="F66" s="55"/>
      <c r="G66" s="39"/>
      <c r="H66" s="38">
        <f>SUM(S60:S68)</f>
        <v>6093.55</v>
      </c>
      <c r="I66" s="41"/>
      <c r="J66" s="35">
        <f>Source!AT27</f>
        <v>109</v>
      </c>
      <c r="K66" s="38">
        <f>SUM(T60:T68)</f>
        <v>195968.68</v>
      </c>
      <c r="L66" s="40"/>
    </row>
    <row r="67" spans="1:26" ht="14.25" x14ac:dyDescent="0.2">
      <c r="A67" s="53"/>
      <c r="B67" s="53"/>
      <c r="C67" s="53" t="s">
        <v>399</v>
      </c>
      <c r="D67" s="37" t="s">
        <v>398</v>
      </c>
      <c r="E67" s="10">
        <f>Source!CA27</f>
        <v>57</v>
      </c>
      <c r="F67" s="61" t="str">
        <f>CONCATENATE(" )", Source!DM27, Source!FU27, "=", Source!FY27)</f>
        <v xml:space="preserve"> ))*0,85=48,45</v>
      </c>
      <c r="G67" s="62"/>
      <c r="H67" s="38">
        <f>SUM(U60:U68)</f>
        <v>2708.55</v>
      </c>
      <c r="I67" s="41"/>
      <c r="J67" s="35">
        <f>Source!AU27</f>
        <v>48.45</v>
      </c>
      <c r="K67" s="38">
        <f>SUM(V60:V68)</f>
        <v>87107.18</v>
      </c>
      <c r="L67" s="40"/>
    </row>
    <row r="68" spans="1:26" ht="14.25" x14ac:dyDescent="0.2">
      <c r="A68" s="54"/>
      <c r="B68" s="54"/>
      <c r="C68" s="54" t="s">
        <v>400</v>
      </c>
      <c r="D68" s="42" t="s">
        <v>401</v>
      </c>
      <c r="E68" s="43">
        <f>Source!AQ27</f>
        <v>24.3</v>
      </c>
      <c r="F68" s="44"/>
      <c r="G68" s="45" t="str">
        <f>Source!DI27</f>
        <v>)*1,15</v>
      </c>
      <c r="H68" s="44"/>
      <c r="I68" s="45"/>
      <c r="J68" s="45"/>
      <c r="K68" s="44"/>
      <c r="L68" s="46">
        <f>Source!U27</f>
        <v>581.25599999999997</v>
      </c>
    </row>
    <row r="69" spans="1:26" ht="15" x14ac:dyDescent="0.25">
      <c r="G69" s="60">
        <f>H62+H63+H65+H66+H67</f>
        <v>19525.07</v>
      </c>
      <c r="H69" s="60"/>
      <c r="J69" s="60">
        <f>K62+K63+K65+K66+K67</f>
        <v>512816.13</v>
      </c>
      <c r="K69" s="60"/>
      <c r="L69" s="47">
        <f>Source!U27</f>
        <v>581.25599999999997</v>
      </c>
      <c r="O69" s="31">
        <f>G69</f>
        <v>19525.07</v>
      </c>
      <c r="P69" s="31">
        <f>J69</f>
        <v>512816.13</v>
      </c>
      <c r="Q69" s="31">
        <f>L69</f>
        <v>581.25599999999997</v>
      </c>
      <c r="W69">
        <f>IF(Source!BI27&lt;=1,H62+H63+H65+H66+H67, 0)</f>
        <v>19525.07</v>
      </c>
      <c r="X69">
        <f>IF(Source!BI27=2,H62+H63+H65+H66+H67, 0)</f>
        <v>0</v>
      </c>
      <c r="Y69">
        <f>IF(Source!BI27=3,H62+H63+H65+H66+H67, 0)</f>
        <v>0</v>
      </c>
      <c r="Z69">
        <f>IF(Source!BI27=4,H62+H63+H65+H66+H67, 0)</f>
        <v>0</v>
      </c>
    </row>
    <row r="70" spans="1:26" ht="71.25" x14ac:dyDescent="0.2">
      <c r="A70" s="53">
        <v>5</v>
      </c>
      <c r="B70" s="53" t="str">
        <f>Source!F28</f>
        <v>12-01-017-02</v>
      </c>
      <c r="C70" s="53" t="str">
        <f>Source!G28</f>
        <v>Корректировка толщ. до 50мм // Устройство выравнивающих стяжек: на каждый 1 мм изменения толщины добавлять или исключать к расценке 12-01-017-01</v>
      </c>
      <c r="D70" s="37" t="str">
        <f>Source!H28</f>
        <v>100 м2</v>
      </c>
      <c r="E70" s="10">
        <f>Source!I28</f>
        <v>20.8</v>
      </c>
      <c r="F70" s="38">
        <f>Source!AL28+Source!AM28+Source!AO28</f>
        <v>11.3</v>
      </c>
      <c r="G70" s="39"/>
      <c r="H70" s="38"/>
      <c r="I70" s="39" t="str">
        <f>Source!BO28</f>
        <v/>
      </c>
      <c r="J70" s="39"/>
      <c r="K70" s="38"/>
      <c r="L70" s="40"/>
      <c r="S70">
        <f>ROUND((Source!FX28/100)*((ROUND(Source!AF28*Source!I28, 2)+ROUND(Source!AE28*Source!I28, 2))), 2)</f>
        <v>8221.77</v>
      </c>
      <c r="T70">
        <f>Source!X28</f>
        <v>264412.25</v>
      </c>
      <c r="U70">
        <f>ROUND((Source!FY28/100)*((ROUND(Source!AF28*Source!I28, 2)+ROUND(Source!AE28*Source!I28, 2))), 2)</f>
        <v>3654.54</v>
      </c>
      <c r="V70">
        <f>Source!Y28</f>
        <v>117530.03</v>
      </c>
    </row>
    <row r="71" spans="1:26" ht="14.25" x14ac:dyDescent="0.2">
      <c r="A71" s="53"/>
      <c r="B71" s="53"/>
      <c r="C71" s="53" t="s">
        <v>396</v>
      </c>
      <c r="D71" s="37"/>
      <c r="E71" s="10"/>
      <c r="F71" s="38">
        <f>Source!AO28</f>
        <v>8.64</v>
      </c>
      <c r="G71" s="39" t="str">
        <f>Source!DG28</f>
        <v>)*1,15)*35</v>
      </c>
      <c r="H71" s="38">
        <f>ROUND(Source!AF28*Source!I28, 2)</f>
        <v>7233.41</v>
      </c>
      <c r="I71" s="39"/>
      <c r="J71" s="39">
        <f>IF(Source!BA28&lt;&gt; 0, Source!BA28, 1)</f>
        <v>32.159999999999997</v>
      </c>
      <c r="K71" s="38">
        <f>Source!S28</f>
        <v>232626.4</v>
      </c>
      <c r="L71" s="40"/>
      <c r="R71">
        <f>H71</f>
        <v>7233.41</v>
      </c>
    </row>
    <row r="72" spans="1:26" ht="14.25" x14ac:dyDescent="0.2">
      <c r="A72" s="53"/>
      <c r="B72" s="53"/>
      <c r="C72" s="53" t="s">
        <v>179</v>
      </c>
      <c r="D72" s="37"/>
      <c r="E72" s="10"/>
      <c r="F72" s="38">
        <f>Source!AM28</f>
        <v>2.66</v>
      </c>
      <c r="G72" s="39" t="str">
        <f>Source!DE28</f>
        <v>)*1,25)*35</v>
      </c>
      <c r="H72" s="38">
        <f>ROUND((((((Source!ET28*1.25)*35))-(((Source!EU28*1.25)*35)))+Source!AE28)*Source!I28, 2)</f>
        <v>2420.6999999999998</v>
      </c>
      <c r="I72" s="39"/>
      <c r="J72" s="39">
        <f>IF(Source!BB28&lt;&gt; 0, Source!BB28, 1)</f>
        <v>12.43</v>
      </c>
      <c r="K72" s="38">
        <f>Source!Q28</f>
        <v>30091.4</v>
      </c>
      <c r="L72" s="40"/>
    </row>
    <row r="73" spans="1:26" ht="14.25" x14ac:dyDescent="0.2">
      <c r="A73" s="53"/>
      <c r="B73" s="53"/>
      <c r="C73" s="53" t="s">
        <v>402</v>
      </c>
      <c r="D73" s="37"/>
      <c r="E73" s="10"/>
      <c r="F73" s="38">
        <f>Source!AN28</f>
        <v>0.34</v>
      </c>
      <c r="G73" s="39" t="str">
        <f>Source!DF28</f>
        <v>)*1,25)*35</v>
      </c>
      <c r="H73" s="48">
        <f>ROUND(Source!AE28*Source!I28, 2)</f>
        <v>309.5</v>
      </c>
      <c r="I73" s="39"/>
      <c r="J73" s="39">
        <f>IF(Source!BS28&lt;&gt; 0, Source!BS28, 1)</f>
        <v>32.159999999999997</v>
      </c>
      <c r="K73" s="48">
        <f>Source!R28</f>
        <v>9953.65</v>
      </c>
      <c r="L73" s="40"/>
      <c r="R73">
        <f>H73</f>
        <v>309.5</v>
      </c>
    </row>
    <row r="74" spans="1:26" ht="14.25" x14ac:dyDescent="0.2">
      <c r="A74" s="53"/>
      <c r="B74" s="53"/>
      <c r="C74" s="53" t="s">
        <v>397</v>
      </c>
      <c r="D74" s="37" t="s">
        <v>398</v>
      </c>
      <c r="E74" s="10">
        <f>Source!BZ28</f>
        <v>109</v>
      </c>
      <c r="F74" s="55"/>
      <c r="G74" s="39"/>
      <c r="H74" s="38">
        <f>SUM(S70:S76)</f>
        <v>8221.77</v>
      </c>
      <c r="I74" s="41"/>
      <c r="J74" s="35">
        <f>Source!AT28</f>
        <v>109</v>
      </c>
      <c r="K74" s="38">
        <f>SUM(T70:T76)</f>
        <v>264412.25</v>
      </c>
      <c r="L74" s="40"/>
    </row>
    <row r="75" spans="1:26" ht="14.25" x14ac:dyDescent="0.2">
      <c r="A75" s="53"/>
      <c r="B75" s="53"/>
      <c r="C75" s="53" t="s">
        <v>399</v>
      </c>
      <c r="D75" s="37" t="s">
        <v>398</v>
      </c>
      <c r="E75" s="10">
        <f>Source!CA28</f>
        <v>57</v>
      </c>
      <c r="F75" s="61" t="str">
        <f>CONCATENATE(" )", Source!DM28, Source!FU28, "=", Source!FY28)</f>
        <v xml:space="preserve"> ))*0,85=48,45</v>
      </c>
      <c r="G75" s="62"/>
      <c r="H75" s="38">
        <f>SUM(U70:U76)</f>
        <v>3654.54</v>
      </c>
      <c r="I75" s="41"/>
      <c r="J75" s="35">
        <f>Source!AU28</f>
        <v>48.45</v>
      </c>
      <c r="K75" s="38">
        <f>SUM(V70:V76)</f>
        <v>117530.03</v>
      </c>
      <c r="L75" s="40"/>
    </row>
    <row r="76" spans="1:26" ht="14.25" x14ac:dyDescent="0.2">
      <c r="A76" s="54"/>
      <c r="B76" s="54"/>
      <c r="C76" s="54" t="s">
        <v>400</v>
      </c>
      <c r="D76" s="42" t="s">
        <v>401</v>
      </c>
      <c r="E76" s="43">
        <f>Source!AQ28</f>
        <v>1</v>
      </c>
      <c r="F76" s="44"/>
      <c r="G76" s="45" t="str">
        <f>Source!DI28</f>
        <v>)*1,15)*35</v>
      </c>
      <c r="H76" s="44"/>
      <c r="I76" s="45"/>
      <c r="J76" s="45"/>
      <c r="K76" s="44"/>
      <c r="L76" s="46">
        <f>Source!U28</f>
        <v>837.2</v>
      </c>
    </row>
    <row r="77" spans="1:26" ht="15" x14ac:dyDescent="0.25">
      <c r="G77" s="60">
        <f>H71+H72+H74+H75</f>
        <v>21530.420000000002</v>
      </c>
      <c r="H77" s="60"/>
      <c r="J77" s="60">
        <f>K71+K72+K74+K75</f>
        <v>644660.08000000007</v>
      </c>
      <c r="K77" s="60"/>
      <c r="L77" s="47">
        <f>Source!U28</f>
        <v>837.2</v>
      </c>
      <c r="O77" s="31">
        <f>G77</f>
        <v>21530.420000000002</v>
      </c>
      <c r="P77" s="31">
        <f>J77</f>
        <v>644660.08000000007</v>
      </c>
      <c r="Q77" s="31">
        <f>L77</f>
        <v>837.2</v>
      </c>
      <c r="W77">
        <f>IF(Source!BI28&lt;=1,H71+H72+H74+H75, 0)</f>
        <v>21530.420000000002</v>
      </c>
      <c r="X77">
        <f>IF(Source!BI28=2,H71+H72+H74+H75, 0)</f>
        <v>0</v>
      </c>
      <c r="Y77">
        <f>IF(Source!BI28=3,H71+H72+H74+H75, 0)</f>
        <v>0</v>
      </c>
      <c r="Z77">
        <f>IF(Source!BI28=4,H71+H72+H74+H75, 0)</f>
        <v>0</v>
      </c>
    </row>
    <row r="78" spans="1:26" ht="42.75" x14ac:dyDescent="0.2">
      <c r="A78" s="54">
        <v>6</v>
      </c>
      <c r="B78" s="54" t="str">
        <f>Source!F29</f>
        <v>Цена Поставщика</v>
      </c>
      <c r="C78" s="54" t="s">
        <v>404</v>
      </c>
      <c r="D78" s="42" t="str">
        <f>Source!H29</f>
        <v>м3</v>
      </c>
      <c r="E78" s="43">
        <f>Source!I29</f>
        <v>106.08</v>
      </c>
      <c r="F78" s="44">
        <f>Source!AL29</f>
        <v>556.79</v>
      </c>
      <c r="G78" s="45" t="str">
        <f>Source!DD29</f>
        <v/>
      </c>
      <c r="H78" s="44">
        <f>ROUND(Source!AC29*Source!I29, 2)</f>
        <v>59064.28</v>
      </c>
      <c r="I78" s="45" t="str">
        <f>Source!BO29</f>
        <v/>
      </c>
      <c r="J78" s="45">
        <f>IF(Source!BC29&lt;&gt; 0, Source!BC29, 1)</f>
        <v>8.98</v>
      </c>
      <c r="K78" s="44">
        <f>Source!P29</f>
        <v>530397.26</v>
      </c>
      <c r="L78" s="49"/>
      <c r="S78">
        <f>ROUND((Source!FX29/100)*((ROUND(Source!AF29*Source!I29, 2)+ROUND(Source!AE29*Source!I29, 2))), 2)</f>
        <v>0</v>
      </c>
      <c r="T78">
        <f>Source!X29</f>
        <v>0</v>
      </c>
      <c r="U78">
        <f>ROUND((Source!FY29/100)*((ROUND(Source!AF29*Source!I29, 2)+ROUND(Source!AE29*Source!I29, 2))), 2)</f>
        <v>0</v>
      </c>
      <c r="V78">
        <f>Source!Y29</f>
        <v>0</v>
      </c>
    </row>
    <row r="79" spans="1:26" ht="15" x14ac:dyDescent="0.25">
      <c r="G79" s="60">
        <f>H78</f>
        <v>59064.28</v>
      </c>
      <c r="H79" s="60"/>
      <c r="J79" s="60">
        <f>K78</f>
        <v>530397.26</v>
      </c>
      <c r="K79" s="60"/>
      <c r="L79" s="47">
        <f>Source!U29</f>
        <v>0</v>
      </c>
      <c r="O79" s="31">
        <f>G79</f>
        <v>59064.28</v>
      </c>
      <c r="P79" s="31">
        <f>J79</f>
        <v>530397.26</v>
      </c>
      <c r="Q79" s="31">
        <f>L79</f>
        <v>0</v>
      </c>
      <c r="W79">
        <f>IF(Source!BI29&lt;=1,H78, 0)</f>
        <v>59064.28</v>
      </c>
      <c r="X79">
        <f>IF(Source!BI29=2,H78, 0)</f>
        <v>0</v>
      </c>
      <c r="Y79">
        <f>IF(Source!BI29=3,H78, 0)</f>
        <v>0</v>
      </c>
      <c r="Z79">
        <f>IF(Source!BI29=4,H78, 0)</f>
        <v>0</v>
      </c>
    </row>
    <row r="80" spans="1:26" ht="28.5" x14ac:dyDescent="0.2">
      <c r="A80" s="53">
        <v>7</v>
      </c>
      <c r="B80" s="53" t="str">
        <f>Source!F30</f>
        <v>06-03-004-12</v>
      </c>
      <c r="C80" s="53" t="str">
        <f>Source!G30</f>
        <v>Армирование подстилающих слоев и набетонок</v>
      </c>
      <c r="D80" s="37" t="str">
        <f>Source!H30</f>
        <v>т</v>
      </c>
      <c r="E80" s="10">
        <f>Source!I30</f>
        <v>3.64</v>
      </c>
      <c r="F80" s="38">
        <f>Source!AL30+Source!AM30+Source!AO30</f>
        <v>418.83000000000004</v>
      </c>
      <c r="G80" s="39"/>
      <c r="H80" s="38"/>
      <c r="I80" s="39" t="str">
        <f>Source!BO30</f>
        <v/>
      </c>
      <c r="J80" s="39"/>
      <c r="K80" s="38"/>
      <c r="L80" s="40"/>
      <c r="S80">
        <f>ROUND((Source!FX30/100)*((ROUND(Source!AF30*Source!I30, 2)+ROUND(Source!AE30*Source!I30, 2))), 2)</f>
        <v>459.05</v>
      </c>
      <c r="T80">
        <f>Source!X30</f>
        <v>14763.07</v>
      </c>
      <c r="U80">
        <f>ROUND((Source!FY30/100)*((ROUND(Source!AF30*Source!I30, 2)+ROUND(Source!AE30*Source!I30, 2))), 2)</f>
        <v>221.87</v>
      </c>
      <c r="V80">
        <f>Source!Y30</f>
        <v>7135.48</v>
      </c>
    </row>
    <row r="81" spans="1:26" ht="14.25" x14ac:dyDescent="0.2">
      <c r="A81" s="53"/>
      <c r="B81" s="53"/>
      <c r="C81" s="53" t="s">
        <v>396</v>
      </c>
      <c r="D81" s="37"/>
      <c r="E81" s="10"/>
      <c r="F81" s="38">
        <f>Source!AO30</f>
        <v>102.78</v>
      </c>
      <c r="G81" s="39" t="str">
        <f>Source!DG30</f>
        <v>)*1,15</v>
      </c>
      <c r="H81" s="38">
        <f>ROUND(Source!AF30*Source!I30, 2)</f>
        <v>430.25</v>
      </c>
      <c r="I81" s="39"/>
      <c r="J81" s="39">
        <f>IF(Source!BA30&lt;&gt; 0, Source!BA30, 1)</f>
        <v>32.159999999999997</v>
      </c>
      <c r="K81" s="38">
        <f>Source!S30</f>
        <v>13836.78</v>
      </c>
      <c r="L81" s="40"/>
      <c r="R81">
        <f>H81</f>
        <v>430.25</v>
      </c>
    </row>
    <row r="82" spans="1:26" ht="14.25" x14ac:dyDescent="0.2">
      <c r="A82" s="53"/>
      <c r="B82" s="53"/>
      <c r="C82" s="53" t="s">
        <v>179</v>
      </c>
      <c r="D82" s="37"/>
      <c r="E82" s="10"/>
      <c r="F82" s="38">
        <f>Source!AM30</f>
        <v>30.45</v>
      </c>
      <c r="G82" s="39" t="str">
        <f>Source!DE30</f>
        <v>)*1,25</v>
      </c>
      <c r="H82" s="38">
        <f>ROUND(((((Source!ET30*1.25))-((Source!EU30*1.25)))+Source!AE30)*Source!I30, 2)</f>
        <v>138.56</v>
      </c>
      <c r="I82" s="39"/>
      <c r="J82" s="39">
        <f>IF(Source!BB30&lt;&gt; 0, Source!BB30, 1)</f>
        <v>12.43</v>
      </c>
      <c r="K82" s="38">
        <f>Source!Q30</f>
        <v>1722.44</v>
      </c>
      <c r="L82" s="40"/>
    </row>
    <row r="83" spans="1:26" ht="14.25" x14ac:dyDescent="0.2">
      <c r="A83" s="53"/>
      <c r="B83" s="53"/>
      <c r="C83" s="53" t="s">
        <v>402</v>
      </c>
      <c r="D83" s="37"/>
      <c r="E83" s="10"/>
      <c r="F83" s="38">
        <f>Source!AN30</f>
        <v>4.3499999999999996</v>
      </c>
      <c r="G83" s="39" t="str">
        <f>Source!DF30</f>
        <v>)*1,25</v>
      </c>
      <c r="H83" s="48">
        <f>ROUND(Source!AE30*Source!I30, 2)</f>
        <v>19.8</v>
      </c>
      <c r="I83" s="39"/>
      <c r="J83" s="39">
        <f>IF(Source!BS30&lt;&gt; 0, Source!BS30, 1)</f>
        <v>32.159999999999997</v>
      </c>
      <c r="K83" s="48">
        <f>Source!R30</f>
        <v>636.82000000000005</v>
      </c>
      <c r="L83" s="40"/>
      <c r="R83">
        <f>H83</f>
        <v>19.8</v>
      </c>
    </row>
    <row r="84" spans="1:26" ht="14.25" x14ac:dyDescent="0.2">
      <c r="A84" s="53"/>
      <c r="B84" s="53"/>
      <c r="C84" s="53" t="s">
        <v>403</v>
      </c>
      <c r="D84" s="37"/>
      <c r="E84" s="10"/>
      <c r="F84" s="38">
        <f>Source!AL30</f>
        <v>285.60000000000002</v>
      </c>
      <c r="G84" s="39" t="str">
        <f>Source!DD30</f>
        <v/>
      </c>
      <c r="H84" s="38">
        <f>ROUND(Source!AC30*Source!I30, 2)</f>
        <v>1039.58</v>
      </c>
      <c r="I84" s="39"/>
      <c r="J84" s="39">
        <f>IF(Source!BC30&lt;&gt; 0, Source!BC30, 1)</f>
        <v>8.98</v>
      </c>
      <c r="K84" s="38">
        <f>Source!P30</f>
        <v>9335.4599999999991</v>
      </c>
      <c r="L84" s="40"/>
    </row>
    <row r="85" spans="1:26" ht="14.25" x14ac:dyDescent="0.2">
      <c r="A85" s="53"/>
      <c r="B85" s="53"/>
      <c r="C85" s="53" t="s">
        <v>397</v>
      </c>
      <c r="D85" s="37" t="s">
        <v>398</v>
      </c>
      <c r="E85" s="10">
        <f>Source!BZ30</f>
        <v>102</v>
      </c>
      <c r="F85" s="55"/>
      <c r="G85" s="39"/>
      <c r="H85" s="38">
        <f>SUM(S80:S87)</f>
        <v>459.05</v>
      </c>
      <c r="I85" s="41"/>
      <c r="J85" s="35">
        <f>Source!AT30</f>
        <v>102</v>
      </c>
      <c r="K85" s="38">
        <f>SUM(T80:T87)</f>
        <v>14763.07</v>
      </c>
      <c r="L85" s="40"/>
    </row>
    <row r="86" spans="1:26" ht="14.25" x14ac:dyDescent="0.2">
      <c r="A86" s="53"/>
      <c r="B86" s="53"/>
      <c r="C86" s="53" t="s">
        <v>399</v>
      </c>
      <c r="D86" s="37" t="s">
        <v>398</v>
      </c>
      <c r="E86" s="10">
        <f>Source!CA30</f>
        <v>58</v>
      </c>
      <c r="F86" s="61" t="str">
        <f>CONCATENATE(" )", Source!DM30, Source!FU30, "=", Source!FY30)</f>
        <v xml:space="preserve"> ))*0,85=49,3</v>
      </c>
      <c r="G86" s="62"/>
      <c r="H86" s="38">
        <f>SUM(U80:U87)</f>
        <v>221.87</v>
      </c>
      <c r="I86" s="41"/>
      <c r="J86" s="35">
        <f>Source!AU30</f>
        <v>49.3</v>
      </c>
      <c r="K86" s="38">
        <f>SUM(V80:V87)</f>
        <v>7135.48</v>
      </c>
      <c r="L86" s="40"/>
    </row>
    <row r="87" spans="1:26" ht="14.25" x14ac:dyDescent="0.2">
      <c r="A87" s="54"/>
      <c r="B87" s="54"/>
      <c r="C87" s="54" t="s">
        <v>400</v>
      </c>
      <c r="D87" s="42" t="s">
        <v>401</v>
      </c>
      <c r="E87" s="43">
        <f>Source!AQ30</f>
        <v>11.6</v>
      </c>
      <c r="F87" s="44"/>
      <c r="G87" s="45" t="str">
        <f>Source!DI30</f>
        <v>)*1,15</v>
      </c>
      <c r="H87" s="44"/>
      <c r="I87" s="45"/>
      <c r="J87" s="45"/>
      <c r="K87" s="44"/>
      <c r="L87" s="46">
        <f>Source!U30</f>
        <v>48.557599999999994</v>
      </c>
    </row>
    <row r="88" spans="1:26" ht="15" x14ac:dyDescent="0.25">
      <c r="G88" s="60">
        <f>H81+H82+H84+H85+H86</f>
        <v>2289.31</v>
      </c>
      <c r="H88" s="60"/>
      <c r="J88" s="60">
        <f>K81+K82+K84+K85+K86</f>
        <v>46793.229999999996</v>
      </c>
      <c r="K88" s="60"/>
      <c r="L88" s="47">
        <f>Source!U30</f>
        <v>48.557599999999994</v>
      </c>
      <c r="O88" s="31">
        <f>G88</f>
        <v>2289.31</v>
      </c>
      <c r="P88" s="31">
        <f>J88</f>
        <v>46793.229999999996</v>
      </c>
      <c r="Q88" s="31">
        <f>L88</f>
        <v>48.557599999999994</v>
      </c>
      <c r="W88">
        <f>IF(Source!BI30&lt;=1,H81+H82+H84+H85+H86, 0)</f>
        <v>2289.31</v>
      </c>
      <c r="X88">
        <f>IF(Source!BI30=2,H81+H82+H84+H85+H86, 0)</f>
        <v>0</v>
      </c>
      <c r="Y88">
        <f>IF(Source!BI30=3,H81+H82+H84+H85+H86, 0)</f>
        <v>0</v>
      </c>
      <c r="Z88">
        <f>IF(Source!BI30=4,H81+H82+H84+H85+H86, 0)</f>
        <v>0</v>
      </c>
    </row>
    <row r="89" spans="1:26" ht="42.75" x14ac:dyDescent="0.2">
      <c r="A89" s="54">
        <v>8</v>
      </c>
      <c r="B89" s="54" t="str">
        <f>Source!F31</f>
        <v>Цена Поставщика</v>
      </c>
      <c r="C89" s="54" t="s">
        <v>405</v>
      </c>
      <c r="D89" s="42" t="str">
        <f>Source!H31</f>
        <v>м2</v>
      </c>
      <c r="E89" s="43">
        <f>Source!I31</f>
        <v>2184</v>
      </c>
      <c r="F89" s="44">
        <f>Source!AL31</f>
        <v>12.91</v>
      </c>
      <c r="G89" s="45" t="str">
        <f>Source!DD31</f>
        <v/>
      </c>
      <c r="H89" s="44">
        <f>ROUND(Source!AC31*Source!I31, 2)</f>
        <v>28195.439999999999</v>
      </c>
      <c r="I89" s="45" t="str">
        <f>Source!BO31</f>
        <v/>
      </c>
      <c r="J89" s="45">
        <f>IF(Source!BC31&lt;&gt; 0, Source!BC31, 1)</f>
        <v>8.98</v>
      </c>
      <c r="K89" s="44">
        <f>Source!P31</f>
        <v>253195.05</v>
      </c>
      <c r="L89" s="49"/>
      <c r="S89">
        <f>ROUND((Source!FX31/100)*((ROUND(Source!AF31*Source!I31, 2)+ROUND(Source!AE31*Source!I31, 2))), 2)</f>
        <v>0</v>
      </c>
      <c r="T89">
        <f>Source!X31</f>
        <v>0</v>
      </c>
      <c r="U89">
        <f>ROUND((Source!FY31/100)*((ROUND(Source!AF31*Source!I31, 2)+ROUND(Source!AE31*Source!I31, 2))), 2)</f>
        <v>0</v>
      </c>
      <c r="V89">
        <f>Source!Y31</f>
        <v>0</v>
      </c>
    </row>
    <row r="90" spans="1:26" ht="15" x14ac:dyDescent="0.25">
      <c r="G90" s="60">
        <f>H89</f>
        <v>28195.439999999999</v>
      </c>
      <c r="H90" s="60"/>
      <c r="J90" s="60">
        <f>K89</f>
        <v>253195.05</v>
      </c>
      <c r="K90" s="60"/>
      <c r="L90" s="47">
        <f>Source!U31</f>
        <v>0</v>
      </c>
      <c r="O90" s="31">
        <f>G90</f>
        <v>28195.439999999999</v>
      </c>
      <c r="P90" s="31">
        <f>J90</f>
        <v>253195.05</v>
      </c>
      <c r="Q90" s="31">
        <f>L90</f>
        <v>0</v>
      </c>
      <c r="W90">
        <f>IF(Source!BI31&lt;=1,H89, 0)</f>
        <v>28195.439999999999</v>
      </c>
      <c r="X90">
        <f>IF(Source!BI31=2,H89, 0)</f>
        <v>0</v>
      </c>
      <c r="Y90">
        <f>IF(Source!BI31=3,H89, 0)</f>
        <v>0</v>
      </c>
      <c r="Z90">
        <f>IF(Source!BI31=4,H89, 0)</f>
        <v>0</v>
      </c>
    </row>
    <row r="91" spans="1:26" ht="42.75" x14ac:dyDescent="0.2">
      <c r="A91" s="53">
        <v>9</v>
      </c>
      <c r="B91" s="53" t="str">
        <f>Source!F32</f>
        <v>58-26-1</v>
      </c>
      <c r="C91" s="53" t="str">
        <f>Source!G32</f>
        <v>Прорезка борозд в старой кровле нарезчиками с алмазными дисками, толщина кровли: до 10 см</v>
      </c>
      <c r="D91" s="37" t="str">
        <f>Source!H32</f>
        <v>100 м</v>
      </c>
      <c r="E91" s="10">
        <f>Source!I32</f>
        <v>5.35</v>
      </c>
      <c r="F91" s="38">
        <f>Source!AL32+Source!AM32+Source!AO32</f>
        <v>45.96</v>
      </c>
      <c r="G91" s="39"/>
      <c r="H91" s="38"/>
      <c r="I91" s="39" t="str">
        <f>Source!BO32</f>
        <v/>
      </c>
      <c r="J91" s="39"/>
      <c r="K91" s="38"/>
      <c r="L91" s="40"/>
      <c r="S91">
        <f>ROUND((Source!FX32/100)*((ROUND(Source!AF32*Source!I32, 2)+ROUND(Source!AE32*Source!I32, 2))), 2)</f>
        <v>13.01</v>
      </c>
      <c r="T91">
        <f>Source!X32</f>
        <v>418.1</v>
      </c>
      <c r="U91">
        <f>ROUND((Source!FY32/100)*((ROUND(Source!AF32*Source!I32, 2)+ROUND(Source!AE32*Source!I32, 2))), 2)</f>
        <v>6.65</v>
      </c>
      <c r="V91">
        <f>Source!Y32</f>
        <v>213.69</v>
      </c>
    </row>
    <row r="92" spans="1:26" x14ac:dyDescent="0.2">
      <c r="C92" s="30" t="str">
        <f>"Объем: "&amp;Source!I32&amp;"=535/"&amp;"100"</f>
        <v>Объем: 5,35=535/100</v>
      </c>
    </row>
    <row r="93" spans="1:26" ht="14.25" x14ac:dyDescent="0.2">
      <c r="A93" s="53"/>
      <c r="B93" s="53"/>
      <c r="C93" s="53" t="s">
        <v>179</v>
      </c>
      <c r="D93" s="37"/>
      <c r="E93" s="10"/>
      <c r="F93" s="38">
        <f>Source!AM32</f>
        <v>20.21</v>
      </c>
      <c r="G93" s="39" t="str">
        <f>Source!DE32</f>
        <v/>
      </c>
      <c r="H93" s="38">
        <f>ROUND((((Source!ET32)-(Source!EU32))+Source!AE32)*Source!I32, 2)</f>
        <v>108.12</v>
      </c>
      <c r="I93" s="39"/>
      <c r="J93" s="39">
        <f>IF(Source!BB32&lt;&gt; 0, Source!BB32, 1)</f>
        <v>12.43</v>
      </c>
      <c r="K93" s="38">
        <f>Source!Q32</f>
        <v>1343.98</v>
      </c>
      <c r="L93" s="40"/>
    </row>
    <row r="94" spans="1:26" ht="14.25" x14ac:dyDescent="0.2">
      <c r="A94" s="53"/>
      <c r="B94" s="53"/>
      <c r="C94" s="53" t="s">
        <v>402</v>
      </c>
      <c r="D94" s="37"/>
      <c r="E94" s="10"/>
      <c r="F94" s="38">
        <f>Source!AN32</f>
        <v>2.7</v>
      </c>
      <c r="G94" s="39" t="str">
        <f>Source!DF32</f>
        <v/>
      </c>
      <c r="H94" s="48">
        <f>ROUND(Source!AE32*Source!I32, 2)</f>
        <v>14.45</v>
      </c>
      <c r="I94" s="39"/>
      <c r="J94" s="39">
        <f>IF(Source!BS32&lt;&gt; 0, Source!BS32, 1)</f>
        <v>32.159999999999997</v>
      </c>
      <c r="K94" s="48">
        <f>Source!R32</f>
        <v>464.55</v>
      </c>
      <c r="L94" s="40"/>
      <c r="R94">
        <f>H94</f>
        <v>14.45</v>
      </c>
    </row>
    <row r="95" spans="1:26" ht="14.25" x14ac:dyDescent="0.2">
      <c r="A95" s="53"/>
      <c r="B95" s="53"/>
      <c r="C95" s="53" t="s">
        <v>403</v>
      </c>
      <c r="D95" s="37"/>
      <c r="E95" s="10"/>
      <c r="F95" s="38">
        <f>Source!AL32</f>
        <v>25.75</v>
      </c>
      <c r="G95" s="39" t="str">
        <f>Source!DD32</f>
        <v/>
      </c>
      <c r="H95" s="38">
        <f>ROUND(Source!AC32*Source!I32, 2)</f>
        <v>137.76</v>
      </c>
      <c r="I95" s="39"/>
      <c r="J95" s="39">
        <f>IF(Source!BC32&lt;&gt; 0, Source!BC32, 1)</f>
        <v>8.98</v>
      </c>
      <c r="K95" s="38">
        <f>Source!P32</f>
        <v>1237.1099999999999</v>
      </c>
      <c r="L95" s="40"/>
    </row>
    <row r="96" spans="1:26" ht="14.25" x14ac:dyDescent="0.2">
      <c r="A96" s="53"/>
      <c r="B96" s="53"/>
      <c r="C96" s="53" t="s">
        <v>397</v>
      </c>
      <c r="D96" s="37" t="s">
        <v>398</v>
      </c>
      <c r="E96" s="10">
        <f>Source!BZ32</f>
        <v>90</v>
      </c>
      <c r="F96" s="55"/>
      <c r="G96" s="39"/>
      <c r="H96" s="38">
        <f>SUM(S91:S97)</f>
        <v>13.01</v>
      </c>
      <c r="I96" s="41"/>
      <c r="J96" s="35">
        <f>Source!AT32</f>
        <v>90</v>
      </c>
      <c r="K96" s="38">
        <f>SUM(T91:T97)</f>
        <v>418.1</v>
      </c>
      <c r="L96" s="40"/>
    </row>
    <row r="97" spans="1:26" ht="14.25" x14ac:dyDescent="0.2">
      <c r="A97" s="54"/>
      <c r="B97" s="54"/>
      <c r="C97" s="54" t="s">
        <v>399</v>
      </c>
      <c r="D97" s="42" t="s">
        <v>398</v>
      </c>
      <c r="E97" s="43">
        <f>Source!CA32</f>
        <v>46</v>
      </c>
      <c r="F97" s="56"/>
      <c r="G97" s="45"/>
      <c r="H97" s="44">
        <f>SUM(U91:U97)</f>
        <v>6.65</v>
      </c>
      <c r="I97" s="50"/>
      <c r="J97" s="36">
        <f>Source!AU32</f>
        <v>46</v>
      </c>
      <c r="K97" s="44">
        <f>SUM(V91:V97)</f>
        <v>213.69</v>
      </c>
      <c r="L97" s="49"/>
    </row>
    <row r="98" spans="1:26" ht="15" x14ac:dyDescent="0.25">
      <c r="G98" s="60">
        <f>H93+H95+H96+H97</f>
        <v>265.53999999999996</v>
      </c>
      <c r="H98" s="60"/>
      <c r="J98" s="60">
        <f>K93+K95+K96+K97</f>
        <v>3212.88</v>
      </c>
      <c r="K98" s="60"/>
      <c r="L98" s="47">
        <f>Source!U32</f>
        <v>0</v>
      </c>
      <c r="O98" s="31">
        <f>G98</f>
        <v>265.53999999999996</v>
      </c>
      <c r="P98" s="31">
        <f>J98</f>
        <v>3212.88</v>
      </c>
      <c r="Q98" s="31">
        <f>L98</f>
        <v>0</v>
      </c>
      <c r="W98">
        <f>IF(Source!BI32&lt;=1,H93+H95+H96+H97, 0)</f>
        <v>265.53999999999996</v>
      </c>
      <c r="X98">
        <f>IF(Source!BI32=2,H93+H95+H96+H97, 0)</f>
        <v>0</v>
      </c>
      <c r="Y98">
        <f>IF(Source!BI32=3,H93+H95+H96+H97, 0)</f>
        <v>0</v>
      </c>
      <c r="Z98">
        <f>IF(Source!BI32=4,H93+H95+H96+H97, 0)</f>
        <v>0</v>
      </c>
    </row>
    <row r="99" spans="1:26" ht="71.25" x14ac:dyDescent="0.2">
      <c r="A99" s="53">
        <v>10</v>
      </c>
      <c r="B99" s="53" t="str">
        <f>Source!F33</f>
        <v>06-03-007-01</v>
      </c>
      <c r="C99" s="53" t="str">
        <f>Source!G33</f>
        <v>Устройство деформационного осадочного шва фундаментов под оборудование с заполнением битумом при толщине шва 25 мм, глубине 20 см // Прим.</v>
      </c>
      <c r="D99" s="37" t="str">
        <f>Source!H33</f>
        <v>100 м</v>
      </c>
      <c r="E99" s="10">
        <f>Source!I33</f>
        <v>5.35</v>
      </c>
      <c r="F99" s="38">
        <f>Source!AL33+Source!AM33+Source!AO33</f>
        <v>2419.96</v>
      </c>
      <c r="G99" s="39"/>
      <c r="H99" s="38"/>
      <c r="I99" s="39" t="str">
        <f>Source!BO33</f>
        <v/>
      </c>
      <c r="J99" s="39"/>
      <c r="K99" s="38"/>
      <c r="L99" s="40"/>
      <c r="S99">
        <f>ROUND((Source!FX33/100)*((ROUND(Source!AF33*Source!I33, 2)+ROUND(Source!AE33*Source!I33, 2))), 2)</f>
        <v>3583.33</v>
      </c>
      <c r="T99">
        <f>Source!X33</f>
        <v>115240.18</v>
      </c>
      <c r="U99">
        <f>ROUND((Source!FY33/100)*((ROUND(Source!AF33*Source!I33, 2)+ROUND(Source!AE33*Source!I33, 2))), 2)</f>
        <v>1731.94</v>
      </c>
      <c r="V99">
        <f>Source!Y33</f>
        <v>55699.42</v>
      </c>
    </row>
    <row r="100" spans="1:26" x14ac:dyDescent="0.2">
      <c r="C100" s="30" t="str">
        <f>"Объем: "&amp;Source!I33&amp;"=535/"&amp;"100"</f>
        <v>Объем: 5,35=535/100</v>
      </c>
    </row>
    <row r="101" spans="1:26" ht="14.25" x14ac:dyDescent="0.2">
      <c r="A101" s="53"/>
      <c r="B101" s="53"/>
      <c r="C101" s="53" t="s">
        <v>396</v>
      </c>
      <c r="D101" s="37"/>
      <c r="E101" s="10"/>
      <c r="F101" s="38">
        <f>Source!AO33</f>
        <v>565.75</v>
      </c>
      <c r="G101" s="39" t="str">
        <f>Source!DG33</f>
        <v>)*1,15</v>
      </c>
      <c r="H101" s="38">
        <f>ROUND(Source!AF33*Source!I33, 2)</f>
        <v>3480.76</v>
      </c>
      <c r="I101" s="39"/>
      <c r="J101" s="39">
        <f>IF(Source!BA33&lt;&gt; 0, Source!BA33, 1)</f>
        <v>32.159999999999997</v>
      </c>
      <c r="K101" s="38">
        <f>Source!S33</f>
        <v>111941.35</v>
      </c>
      <c r="L101" s="40"/>
      <c r="R101">
        <f>H101</f>
        <v>3480.76</v>
      </c>
    </row>
    <row r="102" spans="1:26" ht="14.25" x14ac:dyDescent="0.2">
      <c r="A102" s="53"/>
      <c r="B102" s="53"/>
      <c r="C102" s="53" t="s">
        <v>179</v>
      </c>
      <c r="D102" s="37"/>
      <c r="E102" s="10"/>
      <c r="F102" s="38">
        <f>Source!AM33</f>
        <v>328.33</v>
      </c>
      <c r="G102" s="39" t="str">
        <f>Source!DE33</f>
        <v>)*1,25</v>
      </c>
      <c r="H102" s="38">
        <f>ROUND(((((Source!ET33*1.25))-((Source!EU33*1.25)))+Source!AE33)*Source!I33, 2)</f>
        <v>2195.7199999999998</v>
      </c>
      <c r="I102" s="39"/>
      <c r="J102" s="39">
        <f>IF(Source!BB33&lt;&gt; 0, Source!BB33, 1)</f>
        <v>12.43</v>
      </c>
      <c r="K102" s="38">
        <f>Source!Q33</f>
        <v>27293.07</v>
      </c>
      <c r="L102" s="40"/>
    </row>
    <row r="103" spans="1:26" ht="14.25" x14ac:dyDescent="0.2">
      <c r="A103" s="53"/>
      <c r="B103" s="53"/>
      <c r="C103" s="53" t="s">
        <v>402</v>
      </c>
      <c r="D103" s="37"/>
      <c r="E103" s="10"/>
      <c r="F103" s="38">
        <f>Source!AN33</f>
        <v>4.83</v>
      </c>
      <c r="G103" s="39" t="str">
        <f>Source!DF33</f>
        <v>)*1,25</v>
      </c>
      <c r="H103" s="48">
        <f>ROUND(Source!AE33*Source!I33, 2)</f>
        <v>32.31</v>
      </c>
      <c r="I103" s="39"/>
      <c r="J103" s="39">
        <f>IF(Source!BS33&lt;&gt; 0, Source!BS33, 1)</f>
        <v>32.159999999999997</v>
      </c>
      <c r="K103" s="48">
        <f>Source!R33</f>
        <v>1039.22</v>
      </c>
      <c r="L103" s="40"/>
      <c r="R103">
        <f>H103</f>
        <v>32.31</v>
      </c>
    </row>
    <row r="104" spans="1:26" ht="14.25" x14ac:dyDescent="0.2">
      <c r="A104" s="53"/>
      <c r="B104" s="53"/>
      <c r="C104" s="53" t="s">
        <v>397</v>
      </c>
      <c r="D104" s="37" t="s">
        <v>398</v>
      </c>
      <c r="E104" s="10">
        <f>Source!BZ33</f>
        <v>102</v>
      </c>
      <c r="F104" s="55"/>
      <c r="G104" s="39"/>
      <c r="H104" s="38">
        <f>SUM(S99:S106)</f>
        <v>3583.33</v>
      </c>
      <c r="I104" s="41"/>
      <c r="J104" s="35">
        <f>Source!AT33</f>
        <v>102</v>
      </c>
      <c r="K104" s="38">
        <f>SUM(T99:T106)</f>
        <v>115240.18</v>
      </c>
      <c r="L104" s="40"/>
    </row>
    <row r="105" spans="1:26" ht="14.25" x14ac:dyDescent="0.2">
      <c r="A105" s="53"/>
      <c r="B105" s="53"/>
      <c r="C105" s="53" t="s">
        <v>399</v>
      </c>
      <c r="D105" s="37" t="s">
        <v>398</v>
      </c>
      <c r="E105" s="10">
        <f>Source!CA33</f>
        <v>58</v>
      </c>
      <c r="F105" s="61" t="str">
        <f>CONCATENATE(" )", Source!DM33, Source!FU33, "=", Source!FY33)</f>
        <v xml:space="preserve"> ))*0,85=49,3</v>
      </c>
      <c r="G105" s="62"/>
      <c r="H105" s="38">
        <f>SUM(U99:U106)</f>
        <v>1731.94</v>
      </c>
      <c r="I105" s="41"/>
      <c r="J105" s="35">
        <f>Source!AU33</f>
        <v>49.3</v>
      </c>
      <c r="K105" s="38">
        <f>SUM(V99:V106)</f>
        <v>55699.42</v>
      </c>
      <c r="L105" s="40"/>
    </row>
    <row r="106" spans="1:26" ht="14.25" x14ac:dyDescent="0.2">
      <c r="A106" s="54"/>
      <c r="B106" s="54"/>
      <c r="C106" s="54" t="s">
        <v>400</v>
      </c>
      <c r="D106" s="42" t="s">
        <v>401</v>
      </c>
      <c r="E106" s="43">
        <f>Source!AQ33</f>
        <v>65.48</v>
      </c>
      <c r="F106" s="44"/>
      <c r="G106" s="45" t="str">
        <f>Source!DI33</f>
        <v>)*1,15</v>
      </c>
      <c r="H106" s="44"/>
      <c r="I106" s="45"/>
      <c r="J106" s="45"/>
      <c r="K106" s="44"/>
      <c r="L106" s="46">
        <f>Source!U33</f>
        <v>402.86569999999995</v>
      </c>
    </row>
    <row r="107" spans="1:26" ht="15" x14ac:dyDescent="0.25">
      <c r="G107" s="60">
        <f>H101+H102+H104+H105</f>
        <v>10991.75</v>
      </c>
      <c r="H107" s="60"/>
      <c r="J107" s="60">
        <f>K101+K102+K104+K105</f>
        <v>310174.02</v>
      </c>
      <c r="K107" s="60"/>
      <c r="L107" s="47">
        <f>Source!U33</f>
        <v>402.86569999999995</v>
      </c>
      <c r="O107" s="31">
        <f>G107</f>
        <v>10991.75</v>
      </c>
      <c r="P107" s="31">
        <f>J107</f>
        <v>310174.02</v>
      </c>
      <c r="Q107" s="31">
        <f>L107</f>
        <v>402.86569999999995</v>
      </c>
      <c r="W107">
        <f>IF(Source!BI33&lt;=1,H101+H102+H104+H105, 0)</f>
        <v>10991.75</v>
      </c>
      <c r="X107">
        <f>IF(Source!BI33=2,H101+H102+H104+H105, 0)</f>
        <v>0</v>
      </c>
      <c r="Y107">
        <f>IF(Source!BI33=3,H101+H102+H104+H105, 0)</f>
        <v>0</v>
      </c>
      <c r="Z107">
        <f>IF(Source!BI33=4,H101+H102+H104+H105, 0)</f>
        <v>0</v>
      </c>
    </row>
    <row r="108" spans="1:26" ht="42.75" x14ac:dyDescent="0.2">
      <c r="A108" s="53">
        <v>11</v>
      </c>
      <c r="B108" s="53" t="str">
        <f>Source!F34</f>
        <v>Цена Поставщика</v>
      </c>
      <c r="C108" s="53" t="s">
        <v>406</v>
      </c>
      <c r="D108" s="37" t="str">
        <f>Source!H34</f>
        <v>кг</v>
      </c>
      <c r="E108" s="10">
        <f>Source!I34</f>
        <v>42.8</v>
      </c>
      <c r="F108" s="38">
        <f>Source!AL34</f>
        <v>23.540000000000003</v>
      </c>
      <c r="G108" s="39" t="str">
        <f>Source!DD34</f>
        <v/>
      </c>
      <c r="H108" s="38">
        <f>ROUND(Source!AC34*Source!I34, 2)</f>
        <v>1007.51</v>
      </c>
      <c r="I108" s="39" t="str">
        <f>Source!BO34</f>
        <v/>
      </c>
      <c r="J108" s="39">
        <f>IF(Source!BC34&lt;&gt; 0, Source!BC34, 1)</f>
        <v>8.98</v>
      </c>
      <c r="K108" s="38">
        <f>Source!P34</f>
        <v>9047.4599999999991</v>
      </c>
      <c r="L108" s="40"/>
      <c r="S108">
        <f>ROUND((Source!FX34/100)*((ROUND(Source!AF34*Source!I34, 2)+ROUND(Source!AE34*Source!I34, 2))), 2)</f>
        <v>0</v>
      </c>
      <c r="T108">
        <f>Source!X34</f>
        <v>0</v>
      </c>
      <c r="U108">
        <f>ROUND((Source!FY34/100)*((ROUND(Source!AF34*Source!I34, 2)+ROUND(Source!AE34*Source!I34, 2))), 2)</f>
        <v>0</v>
      </c>
      <c r="V108">
        <f>Source!Y34</f>
        <v>0</v>
      </c>
    </row>
    <row r="109" spans="1:26" x14ac:dyDescent="0.2">
      <c r="A109" s="32"/>
      <c r="B109" s="32"/>
      <c r="C109" s="33" t="str">
        <f>"Объем: "&amp;Source!I34&amp;"="&amp;Source!I33&amp;"*"&amp;"8"</f>
        <v>Объем: 42,8=5,35*8</v>
      </c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26" ht="15" x14ac:dyDescent="0.25">
      <c r="G110" s="60">
        <f>H108</f>
        <v>1007.51</v>
      </c>
      <c r="H110" s="60"/>
      <c r="J110" s="60">
        <f>K108</f>
        <v>9047.4599999999991</v>
      </c>
      <c r="K110" s="60"/>
      <c r="L110" s="47">
        <f>Source!U34</f>
        <v>0</v>
      </c>
      <c r="O110" s="31">
        <f>G110</f>
        <v>1007.51</v>
      </c>
      <c r="P110" s="31">
        <f>J110</f>
        <v>9047.4599999999991</v>
      </c>
      <c r="Q110" s="31">
        <f>L110</f>
        <v>0</v>
      </c>
      <c r="W110">
        <f>IF(Source!BI34&lt;=1,H108, 0)</f>
        <v>1007.51</v>
      </c>
      <c r="X110">
        <f>IF(Source!BI34=2,H108, 0)</f>
        <v>0</v>
      </c>
      <c r="Y110">
        <f>IF(Source!BI34=3,H108, 0)</f>
        <v>0</v>
      </c>
      <c r="Z110">
        <f>IF(Source!BI34=4,H108, 0)</f>
        <v>0</v>
      </c>
    </row>
    <row r="111" spans="1:26" ht="42.75" x14ac:dyDescent="0.2">
      <c r="A111" s="53">
        <v>12</v>
      </c>
      <c r="B111" s="53" t="str">
        <f>Source!F35</f>
        <v>12-01-005-04</v>
      </c>
      <c r="C111" s="53" t="str">
        <f>Source!G35</f>
        <v>Защита ендов: дополнительным одним слоем рулонных наплавляемых материалов</v>
      </c>
      <c r="D111" s="37" t="str">
        <f>Source!H35</f>
        <v>100 м</v>
      </c>
      <c r="E111" s="10">
        <f>Source!I35</f>
        <v>5.35</v>
      </c>
      <c r="F111" s="38">
        <f>Source!AL35+Source!AM35+Source!AO35</f>
        <v>244.93</v>
      </c>
      <c r="G111" s="39"/>
      <c r="H111" s="38"/>
      <c r="I111" s="39" t="str">
        <f>Source!BO35</f>
        <v/>
      </c>
      <c r="J111" s="39"/>
      <c r="K111" s="38"/>
      <c r="L111" s="40"/>
      <c r="S111">
        <f>ROUND((Source!FX35/100)*((ROUND(Source!AF35*Source!I35, 2)+ROUND(Source!AE35*Source!I35, 2))), 2)</f>
        <v>579.71</v>
      </c>
      <c r="T111">
        <f>Source!X35</f>
        <v>18643.45</v>
      </c>
      <c r="U111">
        <f>ROUND((Source!FY35/100)*((ROUND(Source!AF35*Source!I35, 2)+ROUND(Source!AE35*Source!I35, 2))), 2)</f>
        <v>257.68</v>
      </c>
      <c r="V111">
        <f>Source!Y35</f>
        <v>8286.93</v>
      </c>
    </row>
    <row r="112" spans="1:26" x14ac:dyDescent="0.2">
      <c r="C112" s="30" t="str">
        <f>"Объем: "&amp;Source!I35&amp;"=535/"&amp;"100"</f>
        <v>Объем: 5,35=535/100</v>
      </c>
    </row>
    <row r="113" spans="1:26" ht="14.25" x14ac:dyDescent="0.2">
      <c r="A113" s="53"/>
      <c r="B113" s="53"/>
      <c r="C113" s="53" t="s">
        <v>396</v>
      </c>
      <c r="D113" s="37"/>
      <c r="E113" s="10"/>
      <c r="F113" s="38">
        <f>Source!AO35</f>
        <v>82.81</v>
      </c>
      <c r="G113" s="39" t="str">
        <f>Source!DG35</f>
        <v>)*1,15</v>
      </c>
      <c r="H113" s="38">
        <f>ROUND(Source!AF35*Source!I35, 2)</f>
        <v>509.48</v>
      </c>
      <c r="I113" s="39"/>
      <c r="J113" s="39">
        <f>IF(Source!BA35&lt;&gt; 0, Source!BA35, 1)</f>
        <v>32.159999999999997</v>
      </c>
      <c r="K113" s="38">
        <f>Source!S35</f>
        <v>16384.89</v>
      </c>
      <c r="L113" s="40"/>
      <c r="R113">
        <f>H113</f>
        <v>509.48</v>
      </c>
    </row>
    <row r="114" spans="1:26" ht="14.25" x14ac:dyDescent="0.2">
      <c r="A114" s="53"/>
      <c r="B114" s="53"/>
      <c r="C114" s="53" t="s">
        <v>179</v>
      </c>
      <c r="D114" s="37"/>
      <c r="E114" s="10"/>
      <c r="F114" s="38">
        <f>Source!AM35</f>
        <v>22.05</v>
      </c>
      <c r="G114" s="39" t="str">
        <f>Source!DE35</f>
        <v>)*1,25</v>
      </c>
      <c r="H114" s="38">
        <f>ROUND(((((Source!ET35*1.25))-((Source!EU35*1.25)))+Source!AE35)*Source!I35, 2)</f>
        <v>147.49</v>
      </c>
      <c r="I114" s="39"/>
      <c r="J114" s="39">
        <f>IF(Source!BB35&lt;&gt; 0, Source!BB35, 1)</f>
        <v>12.43</v>
      </c>
      <c r="K114" s="38">
        <f>Source!Q35</f>
        <v>1833.78</v>
      </c>
      <c r="L114" s="40"/>
    </row>
    <row r="115" spans="1:26" ht="14.25" x14ac:dyDescent="0.2">
      <c r="A115" s="53"/>
      <c r="B115" s="53"/>
      <c r="C115" s="53" t="s">
        <v>402</v>
      </c>
      <c r="D115" s="37"/>
      <c r="E115" s="10"/>
      <c r="F115" s="38">
        <f>Source!AN35</f>
        <v>3.34</v>
      </c>
      <c r="G115" s="39" t="str">
        <f>Source!DF35</f>
        <v>)*1,25</v>
      </c>
      <c r="H115" s="48">
        <f>ROUND(Source!AE35*Source!I35, 2)</f>
        <v>22.36</v>
      </c>
      <c r="I115" s="39"/>
      <c r="J115" s="39">
        <f>IF(Source!BS35&lt;&gt; 0, Source!BS35, 1)</f>
        <v>32.159999999999997</v>
      </c>
      <c r="K115" s="48">
        <f>Source!R35</f>
        <v>719.19</v>
      </c>
      <c r="L115" s="40"/>
      <c r="R115">
        <f>H115</f>
        <v>22.36</v>
      </c>
    </row>
    <row r="116" spans="1:26" ht="14.25" x14ac:dyDescent="0.2">
      <c r="A116" s="53"/>
      <c r="B116" s="53"/>
      <c r="C116" s="53" t="s">
        <v>403</v>
      </c>
      <c r="D116" s="37"/>
      <c r="E116" s="10"/>
      <c r="F116" s="38">
        <f>Source!AL35</f>
        <v>140.07</v>
      </c>
      <c r="G116" s="39" t="str">
        <f>Source!DD35</f>
        <v/>
      </c>
      <c r="H116" s="38">
        <f>ROUND(Source!AC35*Source!I35, 2)</f>
        <v>749.37</v>
      </c>
      <c r="I116" s="39"/>
      <c r="J116" s="39">
        <f>IF(Source!BC35&lt;&gt; 0, Source!BC35, 1)</f>
        <v>8.98</v>
      </c>
      <c r="K116" s="38">
        <f>Source!P35</f>
        <v>6729.38</v>
      </c>
      <c r="L116" s="40"/>
    </row>
    <row r="117" spans="1:26" ht="14.25" x14ac:dyDescent="0.2">
      <c r="A117" s="53"/>
      <c r="B117" s="53"/>
      <c r="C117" s="53" t="s">
        <v>397</v>
      </c>
      <c r="D117" s="37" t="s">
        <v>398</v>
      </c>
      <c r="E117" s="10">
        <f>Source!BZ35</f>
        <v>109</v>
      </c>
      <c r="F117" s="55"/>
      <c r="G117" s="39"/>
      <c r="H117" s="38">
        <f>SUM(S111:S119)</f>
        <v>579.71</v>
      </c>
      <c r="I117" s="41"/>
      <c r="J117" s="35">
        <f>Source!AT35</f>
        <v>109</v>
      </c>
      <c r="K117" s="38">
        <f>SUM(T111:T119)</f>
        <v>18643.45</v>
      </c>
      <c r="L117" s="40"/>
    </row>
    <row r="118" spans="1:26" ht="14.25" x14ac:dyDescent="0.2">
      <c r="A118" s="53"/>
      <c r="B118" s="53"/>
      <c r="C118" s="53" t="s">
        <v>399</v>
      </c>
      <c r="D118" s="37" t="s">
        <v>398</v>
      </c>
      <c r="E118" s="10">
        <f>Source!CA35</f>
        <v>57</v>
      </c>
      <c r="F118" s="61" t="str">
        <f>CONCATENATE(" )", Source!DM35, Source!FU35, "=", Source!FY35)</f>
        <v xml:space="preserve"> ))*0,85=48,45</v>
      </c>
      <c r="G118" s="62"/>
      <c r="H118" s="38">
        <f>SUM(U111:U119)</f>
        <v>257.68</v>
      </c>
      <c r="I118" s="41"/>
      <c r="J118" s="35">
        <f>Source!AU35</f>
        <v>48.45</v>
      </c>
      <c r="K118" s="38">
        <f>SUM(V111:V119)</f>
        <v>8286.93</v>
      </c>
      <c r="L118" s="40"/>
    </row>
    <row r="119" spans="1:26" ht="14.25" x14ac:dyDescent="0.2">
      <c r="A119" s="54"/>
      <c r="B119" s="54"/>
      <c r="C119" s="54" t="s">
        <v>400</v>
      </c>
      <c r="D119" s="42" t="s">
        <v>401</v>
      </c>
      <c r="E119" s="43">
        <f>Source!AQ35</f>
        <v>8.81</v>
      </c>
      <c r="F119" s="44"/>
      <c r="G119" s="45" t="str">
        <f>Source!DI35</f>
        <v>)*1,15</v>
      </c>
      <c r="H119" s="44"/>
      <c r="I119" s="45"/>
      <c r="J119" s="45"/>
      <c r="K119" s="44"/>
      <c r="L119" s="46">
        <f>Source!U35</f>
        <v>54.203524999999992</v>
      </c>
    </row>
    <row r="120" spans="1:26" ht="15" x14ac:dyDescent="0.25">
      <c r="G120" s="60">
        <f>H113+H114+H116+H117+H118</f>
        <v>2243.73</v>
      </c>
      <c r="H120" s="60"/>
      <c r="J120" s="60">
        <f>K113+K114+K116+K117+K118</f>
        <v>51878.43</v>
      </c>
      <c r="K120" s="60"/>
      <c r="L120" s="47">
        <f>Source!U35</f>
        <v>54.203524999999992</v>
      </c>
      <c r="O120" s="31">
        <f>G120</f>
        <v>2243.73</v>
      </c>
      <c r="P120" s="31">
        <f>J120</f>
        <v>51878.43</v>
      </c>
      <c r="Q120" s="31">
        <f>L120</f>
        <v>54.203524999999992</v>
      </c>
      <c r="W120">
        <f>IF(Source!BI35&lt;=1,H113+H114+H116+H117+H118, 0)</f>
        <v>2243.73</v>
      </c>
      <c r="X120">
        <f>IF(Source!BI35=2,H113+H114+H116+H117+H118, 0)</f>
        <v>0</v>
      </c>
      <c r="Y120">
        <f>IF(Source!BI35=3,H113+H114+H116+H117+H118, 0)</f>
        <v>0</v>
      </c>
      <c r="Z120">
        <f>IF(Source!BI35=4,H113+H114+H116+H117+H118, 0)</f>
        <v>0</v>
      </c>
    </row>
    <row r="121" spans="1:26" ht="28.5" x14ac:dyDescent="0.2">
      <c r="A121" s="54">
        <v>13</v>
      </c>
      <c r="B121" s="54" t="str">
        <f>Source!F36</f>
        <v>Поставка Заказчика</v>
      </c>
      <c r="C121" s="54" t="str">
        <f>Source!G36</f>
        <v>ТЕХНОЭЛАСТ ЭПП</v>
      </c>
      <c r="D121" s="42" t="str">
        <f>Source!H36</f>
        <v>м2</v>
      </c>
      <c r="E121" s="43">
        <f>Source!I36</f>
        <v>92.555000000000007</v>
      </c>
      <c r="F121" s="44">
        <f>Source!AL36+Source!AM36+Source!AO36</f>
        <v>0</v>
      </c>
      <c r="G121" s="45"/>
      <c r="H121" s="44"/>
      <c r="I121" s="45" t="str">
        <f>Source!BO36</f>
        <v/>
      </c>
      <c r="J121" s="45"/>
      <c r="K121" s="44"/>
      <c r="L121" s="49"/>
      <c r="S121">
        <f>ROUND((Source!FX36/100)*((ROUND(Source!AF36*Source!I36, 2)+ROUND(Source!AE36*Source!I36, 2))), 2)</f>
        <v>0</v>
      </c>
      <c r="T121">
        <f>Source!X36</f>
        <v>0</v>
      </c>
      <c r="U121">
        <f>ROUND((Source!FY36/100)*((ROUND(Source!AF36*Source!I36, 2)+ROUND(Source!AE36*Source!I36, 2))), 2)</f>
        <v>0</v>
      </c>
      <c r="V121">
        <f>Source!Y36</f>
        <v>0</v>
      </c>
    </row>
    <row r="122" spans="1:26" ht="15" x14ac:dyDescent="0.25">
      <c r="G122" s="60">
        <f>H121</f>
        <v>0</v>
      </c>
      <c r="H122" s="60"/>
      <c r="J122" s="60">
        <f>K121</f>
        <v>0</v>
      </c>
      <c r="K122" s="60"/>
      <c r="L122" s="47">
        <f>Source!U36</f>
        <v>0</v>
      </c>
      <c r="O122" s="31">
        <f>G122</f>
        <v>0</v>
      </c>
      <c r="P122" s="31">
        <f>J122</f>
        <v>0</v>
      </c>
      <c r="Q122" s="31">
        <f>L122</f>
        <v>0</v>
      </c>
      <c r="W122">
        <f>IF(Source!BI36&lt;=1,H121, 0)</f>
        <v>0</v>
      </c>
      <c r="X122">
        <f>IF(Source!BI36=2,H121, 0)</f>
        <v>0</v>
      </c>
      <c r="Y122">
        <f>IF(Source!BI36=3,H121, 0)</f>
        <v>0</v>
      </c>
      <c r="Z122">
        <f>IF(Source!BI36=4,H121, 0)</f>
        <v>0</v>
      </c>
    </row>
    <row r="123" spans="1:26" ht="57" x14ac:dyDescent="0.2">
      <c r="A123" s="53">
        <v>14</v>
      </c>
      <c r="B123" s="53" t="str">
        <f>Source!F37</f>
        <v>12-01-016-02</v>
      </c>
      <c r="C123" s="53" t="str">
        <f>Source!G37</f>
        <v>Огрунтовка оснований из бетона или раствора под водоизоляционный кровельный ковер: готовой эмульсией битумной</v>
      </c>
      <c r="D123" s="37" t="str">
        <f>Source!H37</f>
        <v>100 м2</v>
      </c>
      <c r="E123" s="10">
        <f>Source!I37</f>
        <v>21.25</v>
      </c>
      <c r="F123" s="38">
        <f>Source!AL37+Source!AM37+Source!AO37</f>
        <v>117.1</v>
      </c>
      <c r="G123" s="39"/>
      <c r="H123" s="38"/>
      <c r="I123" s="39" t="str">
        <f>Source!BO37</f>
        <v/>
      </c>
      <c r="J123" s="39"/>
      <c r="K123" s="38"/>
      <c r="L123" s="40"/>
      <c r="S123">
        <f>ROUND((Source!FX37/100)*((ROUND(Source!AF37*Source!I37, 2)+ROUND(Source!AE37*Source!I37, 2))), 2)</f>
        <v>665.24</v>
      </c>
      <c r="T123">
        <f>Source!X37</f>
        <v>21393.7</v>
      </c>
      <c r="U123">
        <f>ROUND((Source!FY37/100)*((ROUND(Source!AF37*Source!I37, 2)+ROUND(Source!AE37*Source!I37, 2))), 2)</f>
        <v>295.7</v>
      </c>
      <c r="V123">
        <f>Source!Y37</f>
        <v>9509.4</v>
      </c>
    </row>
    <row r="124" spans="1:26" ht="14.25" x14ac:dyDescent="0.2">
      <c r="A124" s="53"/>
      <c r="B124" s="53"/>
      <c r="C124" s="53" t="s">
        <v>396</v>
      </c>
      <c r="D124" s="37"/>
      <c r="E124" s="10"/>
      <c r="F124" s="38">
        <f>Source!AO37</f>
        <v>24.47</v>
      </c>
      <c r="G124" s="39" t="str">
        <f>Source!DG37</f>
        <v>)*1,15</v>
      </c>
      <c r="H124" s="38">
        <f>ROUND(Source!AF37*Source!I37, 2)</f>
        <v>597.98</v>
      </c>
      <c r="I124" s="39"/>
      <c r="J124" s="39">
        <f>IF(Source!BA37&lt;&gt; 0, Source!BA37, 1)</f>
        <v>32.159999999999997</v>
      </c>
      <c r="K124" s="38">
        <f>Source!S37</f>
        <v>19230.88</v>
      </c>
      <c r="L124" s="40"/>
      <c r="R124">
        <f>H124</f>
        <v>597.98</v>
      </c>
    </row>
    <row r="125" spans="1:26" ht="14.25" x14ac:dyDescent="0.2">
      <c r="A125" s="53"/>
      <c r="B125" s="53"/>
      <c r="C125" s="53" t="s">
        <v>179</v>
      </c>
      <c r="D125" s="37"/>
      <c r="E125" s="10"/>
      <c r="F125" s="38">
        <f>Source!AM37</f>
        <v>2.63</v>
      </c>
      <c r="G125" s="39" t="str">
        <f>Source!DE37</f>
        <v>)*1,25</v>
      </c>
      <c r="H125" s="38">
        <f>ROUND(((((Source!ET37*1.25))-((Source!EU37*1.25)))+Source!AE37)*Source!I37, 2)</f>
        <v>69.97</v>
      </c>
      <c r="I125" s="39"/>
      <c r="J125" s="39">
        <f>IF(Source!BB37&lt;&gt; 0, Source!BB37, 1)</f>
        <v>12.43</v>
      </c>
      <c r="K125" s="38">
        <f>Source!Q37</f>
        <v>871.77</v>
      </c>
      <c r="L125" s="40"/>
    </row>
    <row r="126" spans="1:26" ht="14.25" x14ac:dyDescent="0.2">
      <c r="A126" s="53"/>
      <c r="B126" s="53"/>
      <c r="C126" s="53" t="s">
        <v>402</v>
      </c>
      <c r="D126" s="37"/>
      <c r="E126" s="10"/>
      <c r="F126" s="38">
        <f>Source!AN37</f>
        <v>0.46</v>
      </c>
      <c r="G126" s="39" t="str">
        <f>Source!DF37</f>
        <v>)*1,25</v>
      </c>
      <c r="H126" s="48">
        <f>ROUND(Source!AE37*Source!I37, 2)</f>
        <v>12.33</v>
      </c>
      <c r="I126" s="39"/>
      <c r="J126" s="39">
        <f>IF(Source!BS37&lt;&gt; 0, Source!BS37, 1)</f>
        <v>32.159999999999997</v>
      </c>
      <c r="K126" s="48">
        <f>Source!R37</f>
        <v>396.37</v>
      </c>
      <c r="L126" s="40"/>
      <c r="R126">
        <f>H126</f>
        <v>12.33</v>
      </c>
    </row>
    <row r="127" spans="1:26" ht="14.25" x14ac:dyDescent="0.2">
      <c r="A127" s="53"/>
      <c r="B127" s="53"/>
      <c r="C127" s="53" t="s">
        <v>403</v>
      </c>
      <c r="D127" s="37"/>
      <c r="E127" s="10"/>
      <c r="F127" s="38">
        <f>Source!AL37</f>
        <v>90</v>
      </c>
      <c r="G127" s="39" t="str">
        <f>Source!DD37</f>
        <v/>
      </c>
      <c r="H127" s="38">
        <f>ROUND(Source!AC37*Source!I37, 2)</f>
        <v>1912.5</v>
      </c>
      <c r="I127" s="39"/>
      <c r="J127" s="39">
        <f>IF(Source!BC37&lt;&gt; 0, Source!BC37, 1)</f>
        <v>8.98</v>
      </c>
      <c r="K127" s="38">
        <f>Source!P37</f>
        <v>17174.25</v>
      </c>
      <c r="L127" s="40"/>
    </row>
    <row r="128" spans="1:26" ht="14.25" x14ac:dyDescent="0.2">
      <c r="A128" s="53"/>
      <c r="B128" s="53"/>
      <c r="C128" s="53" t="s">
        <v>397</v>
      </c>
      <c r="D128" s="37" t="s">
        <v>398</v>
      </c>
      <c r="E128" s="10">
        <f>Source!BZ37</f>
        <v>109</v>
      </c>
      <c r="F128" s="55"/>
      <c r="G128" s="39"/>
      <c r="H128" s="38">
        <f>SUM(S123:S131)</f>
        <v>665.24</v>
      </c>
      <c r="I128" s="41"/>
      <c r="J128" s="35">
        <f>Source!AT37</f>
        <v>109</v>
      </c>
      <c r="K128" s="38">
        <f>SUM(T123:T131)</f>
        <v>21393.7</v>
      </c>
      <c r="L128" s="40"/>
    </row>
    <row r="129" spans="1:26" ht="14.25" x14ac:dyDescent="0.2">
      <c r="A129" s="53"/>
      <c r="B129" s="53"/>
      <c r="C129" s="53" t="s">
        <v>399</v>
      </c>
      <c r="D129" s="37" t="s">
        <v>398</v>
      </c>
      <c r="E129" s="10">
        <f>Source!CA37</f>
        <v>57</v>
      </c>
      <c r="F129" s="61" t="str">
        <f>CONCATENATE(" )", Source!DM37, Source!FU37, "=", Source!FY37)</f>
        <v xml:space="preserve"> ))*0,85=48,45</v>
      </c>
      <c r="G129" s="62"/>
      <c r="H129" s="38">
        <f>SUM(U123:U131)</f>
        <v>295.7</v>
      </c>
      <c r="I129" s="41"/>
      <c r="J129" s="35">
        <f>Source!AU37</f>
        <v>48.45</v>
      </c>
      <c r="K129" s="38">
        <f>SUM(V123:V131)</f>
        <v>9509.4</v>
      </c>
      <c r="L129" s="40"/>
    </row>
    <row r="130" spans="1:26" ht="14.25" x14ac:dyDescent="0.2">
      <c r="A130" s="53"/>
      <c r="B130" s="53"/>
      <c r="C130" s="53" t="s">
        <v>400</v>
      </c>
      <c r="D130" s="37" t="s">
        <v>401</v>
      </c>
      <c r="E130" s="10">
        <f>Source!AQ37</f>
        <v>2.8</v>
      </c>
      <c r="F130" s="38"/>
      <c r="G130" s="39" t="str">
        <f>Source!DI37</f>
        <v>)*1,15</v>
      </c>
      <c r="H130" s="38"/>
      <c r="I130" s="39"/>
      <c r="J130" s="39"/>
      <c r="K130" s="38"/>
      <c r="L130" s="51">
        <f>Source!U37</f>
        <v>68.424999999999997</v>
      </c>
    </row>
    <row r="131" spans="1:26" ht="28.5" x14ac:dyDescent="0.2">
      <c r="A131" s="54">
        <v>14.1</v>
      </c>
      <c r="B131" s="54" t="str">
        <f>Source!F38</f>
        <v>01.2.03.07-0022</v>
      </c>
      <c r="C131" s="54" t="str">
        <f>Source!G38</f>
        <v>Эмульсия битумная гидроизоляционная</v>
      </c>
      <c r="D131" s="42" t="str">
        <f>Source!H38</f>
        <v>т</v>
      </c>
      <c r="E131" s="43">
        <f>Source!I38</f>
        <v>-0.95625000000000016</v>
      </c>
      <c r="F131" s="44">
        <f>Source!AL38+Source!AM38+Source!AO38</f>
        <v>2000</v>
      </c>
      <c r="G131" s="52" t="s">
        <v>3</v>
      </c>
      <c r="H131" s="44">
        <f>ROUND(Source!AC38*Source!I38, 2)+ROUND((((Source!ET38)-(Source!EU38))+Source!AE38)*Source!I38, 2)+ROUND(Source!AF38*Source!I38, 2)</f>
        <v>-1912.5</v>
      </c>
      <c r="I131" s="45"/>
      <c r="J131" s="45">
        <f>IF(Source!BC38&lt;&gt; 0, Source!BC38, 1)</f>
        <v>8.98</v>
      </c>
      <c r="K131" s="44">
        <f>Source!O38</f>
        <v>-17174.25</v>
      </c>
      <c r="L131" s="49"/>
      <c r="S131">
        <f>ROUND((Source!FX38/100)*((ROUND(Source!AF38*Source!I38, 2)+ROUND(Source!AE38*Source!I38, 2))), 2)</f>
        <v>0</v>
      </c>
      <c r="T131">
        <f>Source!X38</f>
        <v>0</v>
      </c>
      <c r="U131">
        <f>ROUND((Source!FY38/100)*((ROUND(Source!AF38*Source!I38, 2)+ROUND(Source!AE38*Source!I38, 2))), 2)</f>
        <v>0</v>
      </c>
      <c r="V131">
        <f>Source!Y38</f>
        <v>0</v>
      </c>
      <c r="W131">
        <f>IF(Source!BI38&lt;=1,H131, 0)</f>
        <v>-1912.5</v>
      </c>
      <c r="X131">
        <f>IF(Source!BI38=2,H131, 0)</f>
        <v>0</v>
      </c>
      <c r="Y131">
        <f>IF(Source!BI38=3,H131, 0)</f>
        <v>0</v>
      </c>
      <c r="Z131">
        <f>IF(Source!BI38=4,H131, 0)</f>
        <v>0</v>
      </c>
    </row>
    <row r="132" spans="1:26" ht="15" x14ac:dyDescent="0.25">
      <c r="G132" s="60">
        <f>H124+H125+H127+H128+H129+SUM(H131:H131)</f>
        <v>1628.8899999999994</v>
      </c>
      <c r="H132" s="60"/>
      <c r="J132" s="60">
        <f>K124+K125+K127+K128+K129+SUM(K131:K131)</f>
        <v>51005.75</v>
      </c>
      <c r="K132" s="60"/>
      <c r="L132" s="47">
        <f>Source!U37</f>
        <v>68.424999999999997</v>
      </c>
      <c r="O132" s="31">
        <f>G132</f>
        <v>1628.8899999999994</v>
      </c>
      <c r="P132" s="31">
        <f>J132</f>
        <v>51005.75</v>
      </c>
      <c r="Q132" s="31">
        <f>L132</f>
        <v>68.424999999999997</v>
      </c>
      <c r="W132">
        <f>IF(Source!BI37&lt;=1,H124+H125+H127+H128+H129, 0)</f>
        <v>3541.3899999999994</v>
      </c>
      <c r="X132">
        <f>IF(Source!BI37=2,H124+H125+H127+H128+H129, 0)</f>
        <v>0</v>
      </c>
      <c r="Y132">
        <f>IF(Source!BI37=3,H124+H125+H127+H128+H129, 0)</f>
        <v>0</v>
      </c>
      <c r="Z132">
        <f>IF(Source!BI37=4,H124+H125+H127+H128+H129, 0)</f>
        <v>0</v>
      </c>
    </row>
    <row r="133" spans="1:26" ht="54" x14ac:dyDescent="0.2">
      <c r="A133" s="53">
        <v>15</v>
      </c>
      <c r="B133" s="53" t="str">
        <f>Source!F39</f>
        <v>Цена Поставщика</v>
      </c>
      <c r="C133" s="53" t="s">
        <v>407</v>
      </c>
      <c r="D133" s="37" t="str">
        <f>Source!H39</f>
        <v>кг</v>
      </c>
      <c r="E133" s="10">
        <f>Source!I39</f>
        <v>637.5</v>
      </c>
      <c r="F133" s="38">
        <f>Source!AL39</f>
        <v>23.540000000000003</v>
      </c>
      <c r="G133" s="39" t="str">
        <f>Source!DD39</f>
        <v/>
      </c>
      <c r="H133" s="38">
        <f>ROUND(Source!AC39*Source!I39, 2)</f>
        <v>15006.75</v>
      </c>
      <c r="I133" s="39" t="str">
        <f>Source!BO39</f>
        <v/>
      </c>
      <c r="J133" s="39">
        <f>IF(Source!BC39&lt;&gt; 0, Source!BC39, 1)</f>
        <v>8.98</v>
      </c>
      <c r="K133" s="38">
        <f>Source!P39</f>
        <v>134760.62</v>
      </c>
      <c r="L133" s="40"/>
      <c r="S133">
        <f>ROUND((Source!FX39/100)*((ROUND(Source!AF39*Source!I39, 2)+ROUND(Source!AE39*Source!I39, 2))), 2)</f>
        <v>0</v>
      </c>
      <c r="T133">
        <f>Source!X39</f>
        <v>0</v>
      </c>
      <c r="U133">
        <f>ROUND((Source!FY39/100)*((ROUND(Source!AF39*Source!I39, 2)+ROUND(Source!AE39*Source!I39, 2))), 2)</f>
        <v>0</v>
      </c>
      <c r="V133">
        <f>Source!Y39</f>
        <v>0</v>
      </c>
    </row>
    <row r="134" spans="1:26" x14ac:dyDescent="0.2">
      <c r="A134" s="32"/>
      <c r="B134" s="32"/>
      <c r="C134" s="33" t="str">
        <f>"Объем: "&amp;Source!I39&amp;"="&amp;Source!I37&amp;"*"&amp;"30"</f>
        <v>Объем: 637,5=21,25*30</v>
      </c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26" ht="15" x14ac:dyDescent="0.25">
      <c r="G135" s="60">
        <f>H133</f>
        <v>15006.75</v>
      </c>
      <c r="H135" s="60"/>
      <c r="J135" s="60">
        <f>K133</f>
        <v>134760.62</v>
      </c>
      <c r="K135" s="60"/>
      <c r="L135" s="47">
        <f>Source!U39</f>
        <v>0</v>
      </c>
      <c r="O135" s="31">
        <f>G135</f>
        <v>15006.75</v>
      </c>
      <c r="P135" s="31">
        <f>J135</f>
        <v>134760.62</v>
      </c>
      <c r="Q135" s="31">
        <f>L135</f>
        <v>0</v>
      </c>
      <c r="W135">
        <f>IF(Source!BI39&lt;=1,H133, 0)</f>
        <v>15006.75</v>
      </c>
      <c r="X135">
        <f>IF(Source!BI39=2,H133, 0)</f>
        <v>0</v>
      </c>
      <c r="Y135">
        <f>IF(Source!BI39=3,H133, 0)</f>
        <v>0</v>
      </c>
      <c r="Z135">
        <f>IF(Source!BI39=4,H133, 0)</f>
        <v>0</v>
      </c>
    </row>
    <row r="136" spans="1:26" ht="28.5" x14ac:dyDescent="0.2">
      <c r="A136" s="53">
        <v>16</v>
      </c>
      <c r="B136" s="53" t="str">
        <f>Source!F40</f>
        <v>12-01-002-09</v>
      </c>
      <c r="C136" s="53" t="str">
        <f>Source!G40</f>
        <v>Устройство кровель плоских из наплавляемых материалов: в два слоя</v>
      </c>
      <c r="D136" s="37" t="str">
        <f>Source!H40</f>
        <v>100 м2</v>
      </c>
      <c r="E136" s="10">
        <f>Source!I40</f>
        <v>20.8</v>
      </c>
      <c r="F136" s="38">
        <f>Source!AL40+Source!AM40+Source!AO40</f>
        <v>341.95000000000005</v>
      </c>
      <c r="G136" s="39"/>
      <c r="H136" s="38"/>
      <c r="I136" s="39" t="str">
        <f>Source!BO40</f>
        <v/>
      </c>
      <c r="J136" s="39"/>
      <c r="K136" s="38"/>
      <c r="L136" s="40"/>
      <c r="S136">
        <f>ROUND((Source!FX40/100)*((ROUND(Source!AF40*Source!I40, 2)+ROUND(Source!AE40*Source!I40, 2))), 2)</f>
        <v>3625.7</v>
      </c>
      <c r="T136">
        <f>Source!X40</f>
        <v>116602.71</v>
      </c>
      <c r="U136">
        <f>ROUND((Source!FY40/100)*((ROUND(Source!AF40*Source!I40, 2)+ROUND(Source!AE40*Source!I40, 2))), 2)</f>
        <v>1611.61</v>
      </c>
      <c r="V136">
        <f>Source!Y40</f>
        <v>51829.37</v>
      </c>
    </row>
    <row r="137" spans="1:26" x14ac:dyDescent="0.2">
      <c r="C137" s="30" t="str">
        <f>"Объем: "&amp;Source!I40&amp;"=2080/"&amp;"100"</f>
        <v>Объем: 20,8=2080/100</v>
      </c>
    </row>
    <row r="138" spans="1:26" ht="14.25" x14ac:dyDescent="0.2">
      <c r="A138" s="53"/>
      <c r="B138" s="53"/>
      <c r="C138" s="53" t="s">
        <v>396</v>
      </c>
      <c r="D138" s="37"/>
      <c r="E138" s="10"/>
      <c r="F138" s="38">
        <f>Source!AO40</f>
        <v>134.97999999999999</v>
      </c>
      <c r="G138" s="39" t="str">
        <f>Source!DG40</f>
        <v>)*1,15</v>
      </c>
      <c r="H138" s="38">
        <f>ROUND(Source!AF40*Source!I40, 2)</f>
        <v>3228.78</v>
      </c>
      <c r="I138" s="39"/>
      <c r="J138" s="39">
        <f>IF(Source!BA40&lt;&gt; 0, Source!BA40, 1)</f>
        <v>32.159999999999997</v>
      </c>
      <c r="K138" s="38">
        <f>Source!S40</f>
        <v>103837.69</v>
      </c>
      <c r="L138" s="40"/>
      <c r="R138">
        <f>H138</f>
        <v>3228.78</v>
      </c>
    </row>
    <row r="139" spans="1:26" ht="14.25" x14ac:dyDescent="0.2">
      <c r="A139" s="53"/>
      <c r="B139" s="53"/>
      <c r="C139" s="53" t="s">
        <v>179</v>
      </c>
      <c r="D139" s="37"/>
      <c r="E139" s="10"/>
      <c r="F139" s="38">
        <f>Source!AM40</f>
        <v>24.64</v>
      </c>
      <c r="G139" s="39" t="str">
        <f>Source!DE40</f>
        <v>)*1,25</v>
      </c>
      <c r="H139" s="38">
        <f>ROUND(((((Source!ET40*1.25))-((Source!EU40*1.25)))+Source!AE40)*Source!I40, 2)</f>
        <v>640.69000000000005</v>
      </c>
      <c r="I139" s="39"/>
      <c r="J139" s="39">
        <f>IF(Source!BB40&lt;&gt; 0, Source!BB40, 1)</f>
        <v>12.43</v>
      </c>
      <c r="K139" s="38">
        <f>Source!Q40</f>
        <v>7964.83</v>
      </c>
      <c r="L139" s="40"/>
    </row>
    <row r="140" spans="1:26" ht="14.25" x14ac:dyDescent="0.2">
      <c r="A140" s="53"/>
      <c r="B140" s="53"/>
      <c r="C140" s="53" t="s">
        <v>402</v>
      </c>
      <c r="D140" s="37"/>
      <c r="E140" s="10"/>
      <c r="F140" s="38">
        <f>Source!AN40</f>
        <v>3.75</v>
      </c>
      <c r="G140" s="39" t="str">
        <f>Source!DF40</f>
        <v>)*1,25</v>
      </c>
      <c r="H140" s="48">
        <f>ROUND(Source!AE40*Source!I40, 2)</f>
        <v>97.55</v>
      </c>
      <c r="I140" s="39"/>
      <c r="J140" s="39">
        <f>IF(Source!BS40&lt;&gt; 0, Source!BS40, 1)</f>
        <v>32.159999999999997</v>
      </c>
      <c r="K140" s="48">
        <f>Source!R40</f>
        <v>3137.27</v>
      </c>
      <c r="L140" s="40"/>
      <c r="R140">
        <f>H140</f>
        <v>97.55</v>
      </c>
    </row>
    <row r="141" spans="1:26" ht="14.25" x14ac:dyDescent="0.2">
      <c r="A141" s="53"/>
      <c r="B141" s="53"/>
      <c r="C141" s="53" t="s">
        <v>403</v>
      </c>
      <c r="D141" s="37"/>
      <c r="E141" s="10"/>
      <c r="F141" s="38">
        <f>Source!AL40</f>
        <v>182.33</v>
      </c>
      <c r="G141" s="39" t="str">
        <f>Source!DD40</f>
        <v/>
      </c>
      <c r="H141" s="38">
        <f>ROUND(Source!AC40*Source!I40, 2)</f>
        <v>3792.46</v>
      </c>
      <c r="I141" s="39"/>
      <c r="J141" s="39">
        <f>IF(Source!BC40&lt;&gt; 0, Source!BC40, 1)</f>
        <v>8.98</v>
      </c>
      <c r="K141" s="38">
        <f>Source!P40</f>
        <v>34056.33</v>
      </c>
      <c r="L141" s="40"/>
    </row>
    <row r="142" spans="1:26" ht="14.25" x14ac:dyDescent="0.2">
      <c r="A142" s="53"/>
      <c r="B142" s="53"/>
      <c r="C142" s="53" t="s">
        <v>397</v>
      </c>
      <c r="D142" s="37" t="s">
        <v>398</v>
      </c>
      <c r="E142" s="10">
        <f>Source!BZ40</f>
        <v>109</v>
      </c>
      <c r="F142" s="55"/>
      <c r="G142" s="39"/>
      <c r="H142" s="38">
        <f>SUM(S136:S144)</f>
        <v>3625.7</v>
      </c>
      <c r="I142" s="41"/>
      <c r="J142" s="35">
        <f>Source!AT40</f>
        <v>109</v>
      </c>
      <c r="K142" s="38">
        <f>SUM(T136:T144)</f>
        <v>116602.71</v>
      </c>
      <c r="L142" s="40"/>
    </row>
    <row r="143" spans="1:26" ht="14.25" x14ac:dyDescent="0.2">
      <c r="A143" s="53"/>
      <c r="B143" s="53"/>
      <c r="C143" s="53" t="s">
        <v>399</v>
      </c>
      <c r="D143" s="37" t="s">
        <v>398</v>
      </c>
      <c r="E143" s="10">
        <f>Source!CA40</f>
        <v>57</v>
      </c>
      <c r="F143" s="61" t="str">
        <f>CONCATENATE(" )", Source!DM40, Source!FU40, "=", Source!FY40)</f>
        <v xml:space="preserve"> ))*0,85=48,45</v>
      </c>
      <c r="G143" s="62"/>
      <c r="H143" s="38">
        <f>SUM(U136:U144)</f>
        <v>1611.61</v>
      </c>
      <c r="I143" s="41"/>
      <c r="J143" s="35">
        <f>Source!AU40</f>
        <v>48.45</v>
      </c>
      <c r="K143" s="38">
        <f>SUM(V136:V144)</f>
        <v>51829.37</v>
      </c>
      <c r="L143" s="40"/>
    </row>
    <row r="144" spans="1:26" ht="14.25" x14ac:dyDescent="0.2">
      <c r="A144" s="54"/>
      <c r="B144" s="54"/>
      <c r="C144" s="54" t="s">
        <v>400</v>
      </c>
      <c r="D144" s="42" t="s">
        <v>401</v>
      </c>
      <c r="E144" s="43">
        <f>Source!AQ40</f>
        <v>14.36</v>
      </c>
      <c r="F144" s="44"/>
      <c r="G144" s="45" t="str">
        <f>Source!DI40</f>
        <v>)*1,15</v>
      </c>
      <c r="H144" s="44"/>
      <c r="I144" s="45"/>
      <c r="J144" s="45"/>
      <c r="K144" s="44"/>
      <c r="L144" s="46">
        <f>Source!U40</f>
        <v>343.49119999999999</v>
      </c>
    </row>
    <row r="145" spans="1:26" ht="15" x14ac:dyDescent="0.25">
      <c r="G145" s="60">
        <f>H138+H139+H141+H142+H143</f>
        <v>12899.240000000002</v>
      </c>
      <c r="H145" s="60"/>
      <c r="J145" s="60">
        <f>K138+K139+K141+K142+K143</f>
        <v>314290.93</v>
      </c>
      <c r="K145" s="60"/>
      <c r="L145" s="47">
        <f>Source!U40</f>
        <v>343.49119999999999</v>
      </c>
      <c r="O145" s="31">
        <f>G145</f>
        <v>12899.240000000002</v>
      </c>
      <c r="P145" s="31">
        <f>J145</f>
        <v>314290.93</v>
      </c>
      <c r="Q145" s="31">
        <f>L145</f>
        <v>343.49119999999999</v>
      </c>
      <c r="W145">
        <f>IF(Source!BI40&lt;=1,H138+H139+H141+H142+H143, 0)</f>
        <v>12899.240000000002</v>
      </c>
      <c r="X145">
        <f>IF(Source!BI40=2,H138+H139+H141+H142+H143, 0)</f>
        <v>0</v>
      </c>
      <c r="Y145">
        <f>IF(Source!BI40=3,H138+H139+H141+H142+H143, 0)</f>
        <v>0</v>
      </c>
      <c r="Z145">
        <f>IF(Source!BI40=4,H138+H139+H141+H142+H143, 0)</f>
        <v>0</v>
      </c>
    </row>
    <row r="146" spans="1:26" ht="28.5" x14ac:dyDescent="0.2">
      <c r="A146" s="53">
        <v>17</v>
      </c>
      <c r="B146" s="53" t="str">
        <f>Source!F41</f>
        <v>Поставка Заказчика</v>
      </c>
      <c r="C146" s="53" t="str">
        <f>Source!G41</f>
        <v>ТЕХНОЭЛАСТ ЭПП</v>
      </c>
      <c r="D146" s="37" t="str">
        <f>Source!H41</f>
        <v>м2</v>
      </c>
      <c r="E146" s="10">
        <f>Source!I41</f>
        <v>2412.8000000000002</v>
      </c>
      <c r="F146" s="38">
        <f>Source!AL41+Source!AM41+Source!AO41</f>
        <v>0</v>
      </c>
      <c r="G146" s="39"/>
      <c r="H146" s="38"/>
      <c r="I146" s="39" t="str">
        <f>Source!BO41</f>
        <v/>
      </c>
      <c r="J146" s="39"/>
      <c r="K146" s="38"/>
      <c r="L146" s="40"/>
      <c r="S146">
        <f>ROUND((Source!FX41/100)*((ROUND(Source!AF41*Source!I41, 2)+ROUND(Source!AE41*Source!I41, 2))), 2)</f>
        <v>0</v>
      </c>
      <c r="T146">
        <f>Source!X41</f>
        <v>0</v>
      </c>
      <c r="U146">
        <f>ROUND((Source!FY41/100)*((ROUND(Source!AF41*Source!I41, 2)+ROUND(Source!AE41*Source!I41, 2))), 2)</f>
        <v>0</v>
      </c>
      <c r="V146">
        <f>Source!Y41</f>
        <v>0</v>
      </c>
    </row>
    <row r="147" spans="1:26" x14ac:dyDescent="0.2">
      <c r="A147" s="32"/>
      <c r="B147" s="32"/>
      <c r="C147" s="33" t="str">
        <f>"Объем: "&amp;Source!I41&amp;"="&amp;Source!I40&amp;"*"&amp;"116"</f>
        <v>Объем: 2412,8=20,8*116</v>
      </c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26" ht="15" x14ac:dyDescent="0.25">
      <c r="G148" s="60">
        <f>H146</f>
        <v>0</v>
      </c>
      <c r="H148" s="60"/>
      <c r="J148" s="60">
        <f>K146</f>
        <v>0</v>
      </c>
      <c r="K148" s="60"/>
      <c r="L148" s="47">
        <f>Source!U41</f>
        <v>0</v>
      </c>
      <c r="O148" s="31">
        <f>G148</f>
        <v>0</v>
      </c>
      <c r="P148" s="31">
        <f>J148</f>
        <v>0</v>
      </c>
      <c r="Q148" s="31">
        <f>L148</f>
        <v>0</v>
      </c>
      <c r="W148">
        <f>IF(Source!BI41&lt;=1,H146, 0)</f>
        <v>0</v>
      </c>
      <c r="X148">
        <f>IF(Source!BI41=2,H146, 0)</f>
        <v>0</v>
      </c>
      <c r="Y148">
        <f>IF(Source!BI41=3,H146, 0)</f>
        <v>0</v>
      </c>
      <c r="Z148">
        <f>IF(Source!BI41=4,H146, 0)</f>
        <v>0</v>
      </c>
    </row>
    <row r="149" spans="1:26" ht="28.5" x14ac:dyDescent="0.2">
      <c r="A149" s="53">
        <v>18</v>
      </c>
      <c r="B149" s="53" t="str">
        <f>Source!F42</f>
        <v>Поставка Заказчика</v>
      </c>
      <c r="C149" s="53" t="str">
        <f>Source!G42</f>
        <v>ТЕХНОЭЛАСТ ЭКП СЛАНЕЦ СЕРЫЙ</v>
      </c>
      <c r="D149" s="37" t="str">
        <f>Source!H42</f>
        <v>м2</v>
      </c>
      <c r="E149" s="10">
        <f>Source!I42</f>
        <v>2371.1999999999998</v>
      </c>
      <c r="F149" s="38">
        <f>Source!AL42+Source!AM42+Source!AO42</f>
        <v>0</v>
      </c>
      <c r="G149" s="39"/>
      <c r="H149" s="38"/>
      <c r="I149" s="39" t="str">
        <f>Source!BO42</f>
        <v/>
      </c>
      <c r="J149" s="39"/>
      <c r="K149" s="38"/>
      <c r="L149" s="40"/>
      <c r="S149">
        <f>ROUND((Source!FX42/100)*((ROUND(Source!AF42*Source!I42, 2)+ROUND(Source!AE42*Source!I42, 2))), 2)</f>
        <v>0</v>
      </c>
      <c r="T149">
        <f>Source!X42</f>
        <v>0</v>
      </c>
      <c r="U149">
        <f>ROUND((Source!FY42/100)*((ROUND(Source!AF42*Source!I42, 2)+ROUND(Source!AE42*Source!I42, 2))), 2)</f>
        <v>0</v>
      </c>
      <c r="V149">
        <f>Source!Y42</f>
        <v>0</v>
      </c>
    </row>
    <row r="150" spans="1:26" x14ac:dyDescent="0.2">
      <c r="A150" s="32"/>
      <c r="B150" s="32"/>
      <c r="C150" s="33" t="str">
        <f>"Объем: "&amp;Source!I42&amp;"="&amp;Source!I40&amp;"*"&amp;"114"</f>
        <v>Объем: 2371,2=20,8*114</v>
      </c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26" ht="15" x14ac:dyDescent="0.25">
      <c r="G151" s="60">
        <f>H149</f>
        <v>0</v>
      </c>
      <c r="H151" s="60"/>
      <c r="J151" s="60">
        <f>K149</f>
        <v>0</v>
      </c>
      <c r="K151" s="60"/>
      <c r="L151" s="47">
        <f>Source!U42</f>
        <v>0</v>
      </c>
      <c r="O151" s="31">
        <f>G151</f>
        <v>0</v>
      </c>
      <c r="P151" s="31">
        <f>J151</f>
        <v>0</v>
      </c>
      <c r="Q151" s="31">
        <f>L151</f>
        <v>0</v>
      </c>
      <c r="W151">
        <f>IF(Source!BI42&lt;=1,H149, 0)</f>
        <v>0</v>
      </c>
      <c r="X151">
        <f>IF(Source!BI42=2,H149, 0)</f>
        <v>0</v>
      </c>
      <c r="Y151">
        <f>IF(Source!BI42=3,H149, 0)</f>
        <v>0</v>
      </c>
      <c r="Z151">
        <f>IF(Source!BI42=4,H149, 0)</f>
        <v>0</v>
      </c>
    </row>
    <row r="152" spans="1:26" ht="57" x14ac:dyDescent="0.2">
      <c r="A152" s="53">
        <v>19</v>
      </c>
      <c r="B152" s="53" t="str">
        <f>Source!F43</f>
        <v>12-01-004-04</v>
      </c>
      <c r="C152" s="53" t="str">
        <f>Source!G43</f>
        <v>Устройство примыканий кровель из наплавляемых материалов к стенам и парапетам высотой: до 600 мм без фартуков</v>
      </c>
      <c r="D152" s="37" t="str">
        <f>Source!H43</f>
        <v>100 м</v>
      </c>
      <c r="E152" s="10">
        <f>Source!I43</f>
        <v>0.75</v>
      </c>
      <c r="F152" s="38">
        <f>Source!AL43+Source!AM43+Source!AO43</f>
        <v>862.94999999999993</v>
      </c>
      <c r="G152" s="39"/>
      <c r="H152" s="38"/>
      <c r="I152" s="39" t="str">
        <f>Source!BO43</f>
        <v/>
      </c>
      <c r="J152" s="39"/>
      <c r="K152" s="38"/>
      <c r="L152" s="40"/>
      <c r="S152">
        <f>ROUND((Source!FX43/100)*((ROUND(Source!AF43*Source!I43, 2)+ROUND(Source!AE43*Source!I43, 2))), 2)</f>
        <v>317.95</v>
      </c>
      <c r="T152">
        <f>Source!X43</f>
        <v>10225.280000000001</v>
      </c>
      <c r="U152">
        <f>ROUND((Source!FY43/100)*((ROUND(Source!AF43*Source!I43, 2)+ROUND(Source!AE43*Source!I43, 2))), 2)</f>
        <v>141.33000000000001</v>
      </c>
      <c r="V152">
        <f>Source!Y43</f>
        <v>4545.09</v>
      </c>
    </row>
    <row r="153" spans="1:26" x14ac:dyDescent="0.2">
      <c r="C153" s="30" t="str">
        <f>"Объем: "&amp;Source!I43&amp;"=75/"&amp;"100"</f>
        <v>Объем: 0,75=75/100</v>
      </c>
    </row>
    <row r="154" spans="1:26" ht="14.25" x14ac:dyDescent="0.2">
      <c r="A154" s="53"/>
      <c r="B154" s="53"/>
      <c r="C154" s="53" t="s">
        <v>396</v>
      </c>
      <c r="D154" s="37"/>
      <c r="E154" s="10"/>
      <c r="F154" s="38">
        <f>Source!AO43</f>
        <v>325.89</v>
      </c>
      <c r="G154" s="39" t="str">
        <f>Source!DG43</f>
        <v>)*1,15</v>
      </c>
      <c r="H154" s="38">
        <f>ROUND(Source!AF43*Source!I43, 2)</f>
        <v>281.08</v>
      </c>
      <c r="I154" s="39"/>
      <c r="J154" s="39">
        <f>IF(Source!BA43&lt;&gt; 0, Source!BA43, 1)</f>
        <v>32.159999999999997</v>
      </c>
      <c r="K154" s="38">
        <f>Source!S43</f>
        <v>9039.4500000000007</v>
      </c>
      <c r="L154" s="40"/>
      <c r="R154">
        <f>H154</f>
        <v>281.08</v>
      </c>
    </row>
    <row r="155" spans="1:26" ht="14.25" x14ac:dyDescent="0.2">
      <c r="A155" s="53"/>
      <c r="B155" s="53"/>
      <c r="C155" s="53" t="s">
        <v>179</v>
      </c>
      <c r="D155" s="37"/>
      <c r="E155" s="10"/>
      <c r="F155" s="38">
        <f>Source!AM43</f>
        <v>74.099999999999994</v>
      </c>
      <c r="G155" s="39" t="str">
        <f>Source!DE43</f>
        <v>)*1,25</v>
      </c>
      <c r="H155" s="38">
        <f>ROUND(((((Source!ET43*1.25))-((Source!EU43*1.25)))+Source!AE43)*Source!I43, 2)</f>
        <v>69.47</v>
      </c>
      <c r="I155" s="39"/>
      <c r="J155" s="39">
        <f>IF(Source!BB43&lt;&gt; 0, Source!BB43, 1)</f>
        <v>12.43</v>
      </c>
      <c r="K155" s="38">
        <f>Source!Q43</f>
        <v>863.44</v>
      </c>
      <c r="L155" s="40"/>
    </row>
    <row r="156" spans="1:26" ht="14.25" x14ac:dyDescent="0.2">
      <c r="A156" s="53"/>
      <c r="B156" s="53"/>
      <c r="C156" s="53" t="s">
        <v>402</v>
      </c>
      <c r="D156" s="37"/>
      <c r="E156" s="10"/>
      <c r="F156" s="38">
        <f>Source!AN43</f>
        <v>11.33</v>
      </c>
      <c r="G156" s="39" t="str">
        <f>Source!DF43</f>
        <v>)*1,25</v>
      </c>
      <c r="H156" s="48">
        <f>ROUND(Source!AE43*Source!I43, 2)</f>
        <v>10.62</v>
      </c>
      <c r="I156" s="39"/>
      <c r="J156" s="39">
        <f>IF(Source!BS43&lt;&gt; 0, Source!BS43, 1)</f>
        <v>32.159999999999997</v>
      </c>
      <c r="K156" s="48">
        <f>Source!R43</f>
        <v>341.54</v>
      </c>
      <c r="L156" s="40"/>
      <c r="R156">
        <f>H156</f>
        <v>10.62</v>
      </c>
    </row>
    <row r="157" spans="1:26" ht="14.25" x14ac:dyDescent="0.2">
      <c r="A157" s="53"/>
      <c r="B157" s="53"/>
      <c r="C157" s="53" t="s">
        <v>403</v>
      </c>
      <c r="D157" s="37"/>
      <c r="E157" s="10"/>
      <c r="F157" s="38">
        <f>Source!AL43</f>
        <v>462.96</v>
      </c>
      <c r="G157" s="39" t="str">
        <f>Source!DD43</f>
        <v/>
      </c>
      <c r="H157" s="38">
        <f>ROUND(Source!AC43*Source!I43, 2)</f>
        <v>347.22</v>
      </c>
      <c r="I157" s="39"/>
      <c r="J157" s="39">
        <f>IF(Source!BC43&lt;&gt; 0, Source!BC43, 1)</f>
        <v>8.98</v>
      </c>
      <c r="K157" s="38">
        <f>Source!P43</f>
        <v>3118.04</v>
      </c>
      <c r="L157" s="40"/>
    </row>
    <row r="158" spans="1:26" ht="14.25" x14ac:dyDescent="0.2">
      <c r="A158" s="53"/>
      <c r="B158" s="53"/>
      <c r="C158" s="53" t="s">
        <v>397</v>
      </c>
      <c r="D158" s="37" t="s">
        <v>398</v>
      </c>
      <c r="E158" s="10">
        <f>Source!BZ43</f>
        <v>109</v>
      </c>
      <c r="F158" s="55"/>
      <c r="G158" s="39"/>
      <c r="H158" s="38">
        <f>SUM(S152:S161)</f>
        <v>317.95</v>
      </c>
      <c r="I158" s="41"/>
      <c r="J158" s="35">
        <f>Source!AT43</f>
        <v>109</v>
      </c>
      <c r="K158" s="38">
        <f>SUM(T152:T161)</f>
        <v>10225.280000000001</v>
      </c>
      <c r="L158" s="40"/>
    </row>
    <row r="159" spans="1:26" ht="14.25" x14ac:dyDescent="0.2">
      <c r="A159" s="53"/>
      <c r="B159" s="53"/>
      <c r="C159" s="53" t="s">
        <v>399</v>
      </c>
      <c r="D159" s="37" t="s">
        <v>398</v>
      </c>
      <c r="E159" s="10">
        <f>Source!CA43</f>
        <v>57</v>
      </c>
      <c r="F159" s="61" t="str">
        <f>CONCATENATE(" )", Source!DM43, Source!FU43, "=", Source!FY43)</f>
        <v xml:space="preserve"> ))*0,85=48,45</v>
      </c>
      <c r="G159" s="62"/>
      <c r="H159" s="38">
        <f>SUM(U152:U161)</f>
        <v>141.33000000000001</v>
      </c>
      <c r="I159" s="41"/>
      <c r="J159" s="35">
        <f>Source!AU43</f>
        <v>48.45</v>
      </c>
      <c r="K159" s="38">
        <f>SUM(V152:V161)</f>
        <v>4545.09</v>
      </c>
      <c r="L159" s="40"/>
    </row>
    <row r="160" spans="1:26" ht="14.25" x14ac:dyDescent="0.2">
      <c r="A160" s="53"/>
      <c r="B160" s="53"/>
      <c r="C160" s="53" t="s">
        <v>400</v>
      </c>
      <c r="D160" s="37" t="s">
        <v>401</v>
      </c>
      <c r="E160" s="10">
        <f>Source!AQ43</f>
        <v>35.5</v>
      </c>
      <c r="F160" s="38"/>
      <c r="G160" s="39" t="str">
        <f>Source!DI43</f>
        <v>)*1,15</v>
      </c>
      <c r="H160" s="38"/>
      <c r="I160" s="39"/>
      <c r="J160" s="39"/>
      <c r="K160" s="38"/>
      <c r="L160" s="51">
        <f>Source!U43</f>
        <v>30.618749999999999</v>
      </c>
    </row>
    <row r="161" spans="1:26" ht="28.5" x14ac:dyDescent="0.2">
      <c r="A161" s="54">
        <v>19.100000000000001</v>
      </c>
      <c r="B161" s="54" t="str">
        <f>Source!F44</f>
        <v>04.3.01.09-0014</v>
      </c>
      <c r="C161" s="54" t="str">
        <f>Source!G44</f>
        <v>Раствор готовый кладочный, цементный, М100</v>
      </c>
      <c r="D161" s="42" t="str">
        <f>Source!H44</f>
        <v>м3</v>
      </c>
      <c r="E161" s="43">
        <f>Source!I44</f>
        <v>-0.38250000000000001</v>
      </c>
      <c r="F161" s="44">
        <f>Source!AL44+Source!AM44+Source!AO44</f>
        <v>519.79999999999995</v>
      </c>
      <c r="G161" s="52" t="s">
        <v>3</v>
      </c>
      <c r="H161" s="44">
        <f>ROUND(Source!AC44*Source!I44, 2)+ROUND((((Source!ET44)-(Source!EU44))+Source!AE44)*Source!I44, 2)+ROUND(Source!AF44*Source!I44, 2)</f>
        <v>-198.82</v>
      </c>
      <c r="I161" s="45"/>
      <c r="J161" s="45">
        <f>IF(Source!BC44&lt;&gt; 0, Source!BC44, 1)</f>
        <v>8.98</v>
      </c>
      <c r="K161" s="44">
        <f>Source!O44</f>
        <v>-1785.44</v>
      </c>
      <c r="L161" s="49"/>
      <c r="S161">
        <f>ROUND((Source!FX44/100)*((ROUND(Source!AF44*Source!I44, 2)+ROUND(Source!AE44*Source!I44, 2))), 2)</f>
        <v>0</v>
      </c>
      <c r="T161">
        <f>Source!X44</f>
        <v>0</v>
      </c>
      <c r="U161">
        <f>ROUND((Source!FY44/100)*((ROUND(Source!AF44*Source!I44, 2)+ROUND(Source!AE44*Source!I44, 2))), 2)</f>
        <v>0</v>
      </c>
      <c r="V161">
        <f>Source!Y44</f>
        <v>0</v>
      </c>
      <c r="W161">
        <f>IF(Source!BI44&lt;=1,H161, 0)</f>
        <v>-198.82</v>
      </c>
      <c r="X161">
        <f>IF(Source!BI44=2,H161, 0)</f>
        <v>0</v>
      </c>
      <c r="Y161">
        <f>IF(Source!BI44=3,H161, 0)</f>
        <v>0</v>
      </c>
      <c r="Z161">
        <f>IF(Source!BI44=4,H161, 0)</f>
        <v>0</v>
      </c>
    </row>
    <row r="162" spans="1:26" ht="15" x14ac:dyDescent="0.25">
      <c r="G162" s="60">
        <f>H154+H155+H157+H158+H159+SUM(H161:H161)</f>
        <v>958.23</v>
      </c>
      <c r="H162" s="60"/>
      <c r="J162" s="60">
        <f>K154+K155+K157+K158+K159+SUM(K161:K161)</f>
        <v>26005.86</v>
      </c>
      <c r="K162" s="60"/>
      <c r="L162" s="47">
        <f>Source!U43</f>
        <v>30.618749999999999</v>
      </c>
      <c r="O162" s="31">
        <f>G162</f>
        <v>958.23</v>
      </c>
      <c r="P162" s="31">
        <f>J162</f>
        <v>26005.86</v>
      </c>
      <c r="Q162" s="31">
        <f>L162</f>
        <v>30.618749999999999</v>
      </c>
      <c r="W162">
        <f>IF(Source!BI43&lt;=1,H154+H155+H157+H158+H159, 0)</f>
        <v>1157.05</v>
      </c>
      <c r="X162">
        <f>IF(Source!BI43=2,H154+H155+H157+H158+H159, 0)</f>
        <v>0</v>
      </c>
      <c r="Y162">
        <f>IF(Source!BI43=3,H154+H155+H157+H158+H159, 0)</f>
        <v>0</v>
      </c>
      <c r="Z162">
        <f>IF(Source!BI43=4,H154+H155+H157+H158+H159, 0)</f>
        <v>0</v>
      </c>
    </row>
    <row r="163" spans="1:26" ht="42.75" x14ac:dyDescent="0.2">
      <c r="A163" s="54">
        <v>20</v>
      </c>
      <c r="B163" s="54" t="str">
        <f>Source!F45</f>
        <v>Цена Поставщика</v>
      </c>
      <c r="C163" s="54" t="s">
        <v>404</v>
      </c>
      <c r="D163" s="42" t="str">
        <f>Source!H45</f>
        <v>м3</v>
      </c>
      <c r="E163" s="43">
        <f>Source!I45</f>
        <v>0.38</v>
      </c>
      <c r="F163" s="44">
        <f>Source!AL45</f>
        <v>556.79</v>
      </c>
      <c r="G163" s="45" t="str">
        <f>Source!DD45</f>
        <v/>
      </c>
      <c r="H163" s="44">
        <f>ROUND(Source!AC45*Source!I45, 2)</f>
        <v>211.58</v>
      </c>
      <c r="I163" s="45" t="str">
        <f>Source!BO45</f>
        <v/>
      </c>
      <c r="J163" s="45">
        <f>IF(Source!BC45&lt;&gt; 0, Source!BC45, 1)</f>
        <v>8.98</v>
      </c>
      <c r="K163" s="44">
        <f>Source!P45</f>
        <v>1899.99</v>
      </c>
      <c r="L163" s="49"/>
      <c r="S163">
        <f>ROUND((Source!FX45/100)*((ROUND(Source!AF45*Source!I45, 2)+ROUND(Source!AE45*Source!I45, 2))), 2)</f>
        <v>0</v>
      </c>
      <c r="T163">
        <f>Source!X45</f>
        <v>0</v>
      </c>
      <c r="U163">
        <f>ROUND((Source!FY45/100)*((ROUND(Source!AF45*Source!I45, 2)+ROUND(Source!AE45*Source!I45, 2))), 2)</f>
        <v>0</v>
      </c>
      <c r="V163">
        <f>Source!Y45</f>
        <v>0</v>
      </c>
    </row>
    <row r="164" spans="1:26" ht="15" x14ac:dyDescent="0.25">
      <c r="G164" s="60">
        <f>H163</f>
        <v>211.58</v>
      </c>
      <c r="H164" s="60"/>
      <c r="J164" s="60">
        <f>K163</f>
        <v>1899.99</v>
      </c>
      <c r="K164" s="60"/>
      <c r="L164" s="47">
        <f>Source!U45</f>
        <v>0</v>
      </c>
      <c r="O164" s="31">
        <f>G164</f>
        <v>211.58</v>
      </c>
      <c r="P164" s="31">
        <f>J164</f>
        <v>1899.99</v>
      </c>
      <c r="Q164" s="31">
        <f>L164</f>
        <v>0</v>
      </c>
      <c r="W164">
        <f>IF(Source!BI45&lt;=1,H163, 0)</f>
        <v>211.58</v>
      </c>
      <c r="X164">
        <f>IF(Source!BI45=2,H163, 0)</f>
        <v>0</v>
      </c>
      <c r="Y164">
        <f>IF(Source!BI45=3,H163, 0)</f>
        <v>0</v>
      </c>
      <c r="Z164">
        <f>IF(Source!BI45=4,H163, 0)</f>
        <v>0</v>
      </c>
    </row>
    <row r="165" spans="1:26" ht="28.5" x14ac:dyDescent="0.2">
      <c r="A165" s="53">
        <v>21</v>
      </c>
      <c r="B165" s="53" t="str">
        <f>Source!F46</f>
        <v>Поставка Заказчика</v>
      </c>
      <c r="C165" s="53" t="str">
        <f>Source!G46</f>
        <v>ТЕХНОЭЛАСТ ЭПП</v>
      </c>
      <c r="D165" s="37" t="str">
        <f>Source!H46</f>
        <v>м2</v>
      </c>
      <c r="E165" s="10">
        <f>Source!I46</f>
        <v>94.5</v>
      </c>
      <c r="F165" s="38">
        <f>Source!AL46+Source!AM46+Source!AO46</f>
        <v>0</v>
      </c>
      <c r="G165" s="39"/>
      <c r="H165" s="38"/>
      <c r="I165" s="39" t="str">
        <f>Source!BO46</f>
        <v/>
      </c>
      <c r="J165" s="39"/>
      <c r="K165" s="38"/>
      <c r="L165" s="40"/>
      <c r="S165">
        <f>ROUND((Source!FX46/100)*((ROUND(Source!AF46*Source!I46, 2)+ROUND(Source!AE46*Source!I46, 2))), 2)</f>
        <v>0</v>
      </c>
      <c r="T165">
        <f>Source!X46</f>
        <v>0</v>
      </c>
      <c r="U165">
        <f>ROUND((Source!FY46/100)*((ROUND(Source!AF46*Source!I46, 2)+ROUND(Source!AE46*Source!I46, 2))), 2)</f>
        <v>0</v>
      </c>
      <c r="V165">
        <f>Source!Y46</f>
        <v>0</v>
      </c>
    </row>
    <row r="166" spans="1:26" x14ac:dyDescent="0.2">
      <c r="A166" s="32"/>
      <c r="B166" s="32"/>
      <c r="C166" s="33" t="str">
        <f>"Объем: "&amp;Source!I46&amp;"="&amp;Source!I43&amp;"*"&amp;"252/"&amp;"2"</f>
        <v>Объем: 94,5=0,75*252/2</v>
      </c>
      <c r="D166" s="32"/>
      <c r="E166" s="32"/>
      <c r="F166" s="32"/>
      <c r="G166" s="32"/>
      <c r="H166" s="32"/>
      <c r="I166" s="32"/>
      <c r="J166" s="32"/>
      <c r="K166" s="32"/>
      <c r="L166" s="32"/>
    </row>
    <row r="167" spans="1:26" ht="15" x14ac:dyDescent="0.25">
      <c r="G167" s="60">
        <f>H165</f>
        <v>0</v>
      </c>
      <c r="H167" s="60"/>
      <c r="J167" s="60">
        <f>K165</f>
        <v>0</v>
      </c>
      <c r="K167" s="60"/>
      <c r="L167" s="47">
        <f>Source!U46</f>
        <v>0</v>
      </c>
      <c r="O167" s="31">
        <f>G167</f>
        <v>0</v>
      </c>
      <c r="P167" s="31">
        <f>J167</f>
        <v>0</v>
      </c>
      <c r="Q167" s="31">
        <f>L167</f>
        <v>0</v>
      </c>
      <c r="W167">
        <f>IF(Source!BI46&lt;=1,H165, 0)</f>
        <v>0</v>
      </c>
      <c r="X167">
        <f>IF(Source!BI46=2,H165, 0)</f>
        <v>0</v>
      </c>
      <c r="Y167">
        <f>IF(Source!BI46=3,H165, 0)</f>
        <v>0</v>
      </c>
      <c r="Z167">
        <f>IF(Source!BI46=4,H165, 0)</f>
        <v>0</v>
      </c>
    </row>
    <row r="168" spans="1:26" ht="28.5" x14ac:dyDescent="0.2">
      <c r="A168" s="53">
        <v>22</v>
      </c>
      <c r="B168" s="53" t="str">
        <f>Source!F47</f>
        <v>Поставка Заказчика</v>
      </c>
      <c r="C168" s="53" t="str">
        <f>Source!G47</f>
        <v>ТЕХНОЭЛАСТ ЭКП СЛАНЕЦ СЕРЫЙ</v>
      </c>
      <c r="D168" s="37" t="str">
        <f>Source!H47</f>
        <v>м2</v>
      </c>
      <c r="E168" s="10">
        <f>Source!I47</f>
        <v>94.5</v>
      </c>
      <c r="F168" s="38">
        <f>Source!AL47+Source!AM47+Source!AO47</f>
        <v>0</v>
      </c>
      <c r="G168" s="39"/>
      <c r="H168" s="38"/>
      <c r="I168" s="39" t="str">
        <f>Source!BO47</f>
        <v/>
      </c>
      <c r="J168" s="39"/>
      <c r="K168" s="38"/>
      <c r="L168" s="40"/>
      <c r="S168">
        <f>ROUND((Source!FX47/100)*((ROUND(Source!AF47*Source!I47, 2)+ROUND(Source!AE47*Source!I47, 2))), 2)</f>
        <v>0</v>
      </c>
      <c r="T168">
        <f>Source!X47</f>
        <v>0</v>
      </c>
      <c r="U168">
        <f>ROUND((Source!FY47/100)*((ROUND(Source!AF47*Source!I47, 2)+ROUND(Source!AE47*Source!I47, 2))), 2)</f>
        <v>0</v>
      </c>
      <c r="V168">
        <f>Source!Y47</f>
        <v>0</v>
      </c>
    </row>
    <row r="169" spans="1:26" x14ac:dyDescent="0.2">
      <c r="A169" s="32"/>
      <c r="B169" s="32"/>
      <c r="C169" s="33" t="str">
        <f>"Объем: "&amp;Source!I47&amp;"="&amp;Source!I43&amp;"*"&amp;"252/"&amp;"2"</f>
        <v>Объем: 94,5=0,75*252/2</v>
      </c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1:26" ht="15" x14ac:dyDescent="0.25">
      <c r="G170" s="60">
        <f>H168</f>
        <v>0</v>
      </c>
      <c r="H170" s="60"/>
      <c r="J170" s="60">
        <f>K168</f>
        <v>0</v>
      </c>
      <c r="K170" s="60"/>
      <c r="L170" s="47">
        <f>Source!U47</f>
        <v>0</v>
      </c>
      <c r="O170" s="31">
        <f>G170</f>
        <v>0</v>
      </c>
      <c r="P170" s="31">
        <f>J170</f>
        <v>0</v>
      </c>
      <c r="Q170" s="31">
        <f>L170</f>
        <v>0</v>
      </c>
      <c r="W170">
        <f>IF(Source!BI47&lt;=1,H168, 0)</f>
        <v>0</v>
      </c>
      <c r="X170">
        <f>IF(Source!BI47=2,H168, 0)</f>
        <v>0</v>
      </c>
      <c r="Y170">
        <f>IF(Source!BI47=3,H168, 0)</f>
        <v>0</v>
      </c>
      <c r="Z170">
        <f>IF(Source!BI47=4,H168, 0)</f>
        <v>0</v>
      </c>
    </row>
    <row r="171" spans="1:26" ht="42.75" x14ac:dyDescent="0.2">
      <c r="A171" s="53">
        <v>23</v>
      </c>
      <c r="B171" s="53" t="str">
        <f>Source!F48</f>
        <v>12-01-010-01</v>
      </c>
      <c r="C171" s="53" t="str">
        <f>Source!G48</f>
        <v>Устройство мелких покрытий (брандмауэры, парапеты, свесы и т.п.) из листовой оцинкованной стали</v>
      </c>
      <c r="D171" s="37" t="str">
        <f>Source!H48</f>
        <v>100 м2</v>
      </c>
      <c r="E171" s="10">
        <f>Source!I48</f>
        <v>1.25</v>
      </c>
      <c r="F171" s="38">
        <f>Source!AL48+Source!AM48+Source!AO48</f>
        <v>7367.18</v>
      </c>
      <c r="G171" s="39"/>
      <c r="H171" s="38"/>
      <c r="I171" s="39" t="str">
        <f>Source!BO48</f>
        <v/>
      </c>
      <c r="J171" s="39"/>
      <c r="K171" s="38"/>
      <c r="L171" s="40"/>
      <c r="S171">
        <f>ROUND((Source!FX48/100)*((ROUND(Source!AF48*Source!I48, 2)+ROUND(Source!AE48*Source!I48, 2))), 2)</f>
        <v>1305.1099999999999</v>
      </c>
      <c r="T171">
        <f>Source!X48</f>
        <v>41972.39</v>
      </c>
      <c r="U171">
        <f>ROUND((Source!FY48/100)*((ROUND(Source!AF48*Source!I48, 2)+ROUND(Source!AE48*Source!I48, 2))), 2)</f>
        <v>580.12</v>
      </c>
      <c r="V171">
        <f>Source!Y48</f>
        <v>18656.53</v>
      </c>
    </row>
    <row r="172" spans="1:26" x14ac:dyDescent="0.2">
      <c r="C172" s="30" t="str">
        <f>"Объем: "&amp;Source!I48&amp;"=125/"&amp;"100"</f>
        <v>Объем: 1,25=125/100</v>
      </c>
    </row>
    <row r="173" spans="1:26" ht="14.25" x14ac:dyDescent="0.2">
      <c r="A173" s="53"/>
      <c r="B173" s="53"/>
      <c r="C173" s="53" t="s">
        <v>396</v>
      </c>
      <c r="D173" s="37"/>
      <c r="E173" s="10"/>
      <c r="F173" s="38">
        <f>Source!AO48</f>
        <v>829.12</v>
      </c>
      <c r="G173" s="39" t="str">
        <f>Source!DG48</f>
        <v>)*1,15</v>
      </c>
      <c r="H173" s="38">
        <f>ROUND(Source!AF48*Source!I48, 2)</f>
        <v>1191.8599999999999</v>
      </c>
      <c r="I173" s="39"/>
      <c r="J173" s="39">
        <f>IF(Source!BA48&lt;&gt; 0, Source!BA48, 1)</f>
        <v>32.159999999999997</v>
      </c>
      <c r="K173" s="38">
        <f>Source!S48</f>
        <v>38330.300000000003</v>
      </c>
      <c r="L173" s="40"/>
      <c r="R173">
        <f>H173</f>
        <v>1191.8599999999999</v>
      </c>
    </row>
    <row r="174" spans="1:26" ht="14.25" x14ac:dyDescent="0.2">
      <c r="A174" s="53"/>
      <c r="B174" s="53"/>
      <c r="C174" s="53" t="s">
        <v>179</v>
      </c>
      <c r="D174" s="37"/>
      <c r="E174" s="10"/>
      <c r="F174" s="38">
        <f>Source!AM48</f>
        <v>21.88</v>
      </c>
      <c r="G174" s="39" t="str">
        <f>Source!DE48</f>
        <v>)*1,25</v>
      </c>
      <c r="H174" s="38">
        <f>ROUND(((((Source!ET48*1.25))-((Source!EU48*1.25)))+Source!AE48)*Source!I48, 2)</f>
        <v>34.19</v>
      </c>
      <c r="I174" s="39"/>
      <c r="J174" s="39">
        <f>IF(Source!BB48&lt;&gt; 0, Source!BB48, 1)</f>
        <v>12.43</v>
      </c>
      <c r="K174" s="38">
        <f>Source!Q48</f>
        <v>425.05</v>
      </c>
      <c r="L174" s="40"/>
    </row>
    <row r="175" spans="1:26" ht="14.25" x14ac:dyDescent="0.2">
      <c r="A175" s="53"/>
      <c r="B175" s="53"/>
      <c r="C175" s="53" t="s">
        <v>402</v>
      </c>
      <c r="D175" s="37"/>
      <c r="E175" s="10"/>
      <c r="F175" s="38">
        <f>Source!AN48</f>
        <v>3.51</v>
      </c>
      <c r="G175" s="39" t="str">
        <f>Source!DF48</f>
        <v>)*1,25</v>
      </c>
      <c r="H175" s="48">
        <f>ROUND(Source!AE48*Source!I48, 2)</f>
        <v>5.49</v>
      </c>
      <c r="I175" s="39"/>
      <c r="J175" s="39">
        <f>IF(Source!BS48&lt;&gt; 0, Source!BS48, 1)</f>
        <v>32.159999999999997</v>
      </c>
      <c r="K175" s="48">
        <f>Source!R48</f>
        <v>176.48</v>
      </c>
      <c r="L175" s="40"/>
      <c r="R175">
        <f>H175</f>
        <v>5.49</v>
      </c>
    </row>
    <row r="176" spans="1:26" ht="14.25" x14ac:dyDescent="0.2">
      <c r="A176" s="53"/>
      <c r="B176" s="53"/>
      <c r="C176" s="53" t="s">
        <v>403</v>
      </c>
      <c r="D176" s="37"/>
      <c r="E176" s="10"/>
      <c r="F176" s="38">
        <f>Source!AL48</f>
        <v>6516.18</v>
      </c>
      <c r="G176" s="39" t="str">
        <f>Source!DD48</f>
        <v/>
      </c>
      <c r="H176" s="38">
        <f>ROUND(Source!AC48*Source!I48, 2)</f>
        <v>8145.23</v>
      </c>
      <c r="I176" s="39"/>
      <c r="J176" s="39">
        <f>IF(Source!BC48&lt;&gt; 0, Source!BC48, 1)</f>
        <v>8.98</v>
      </c>
      <c r="K176" s="38">
        <f>Source!P48</f>
        <v>73144.12</v>
      </c>
      <c r="L176" s="40"/>
    </row>
    <row r="177" spans="1:26" ht="14.25" x14ac:dyDescent="0.2">
      <c r="A177" s="53"/>
      <c r="B177" s="53"/>
      <c r="C177" s="53" t="s">
        <v>397</v>
      </c>
      <c r="D177" s="37" t="s">
        <v>398</v>
      </c>
      <c r="E177" s="10">
        <f>Source!BZ48</f>
        <v>109</v>
      </c>
      <c r="F177" s="55"/>
      <c r="G177" s="39"/>
      <c r="H177" s="38">
        <f>SUM(S171:S180)</f>
        <v>1305.1099999999999</v>
      </c>
      <c r="I177" s="41"/>
      <c r="J177" s="35">
        <f>Source!AT48</f>
        <v>109</v>
      </c>
      <c r="K177" s="38">
        <f>SUM(T171:T180)</f>
        <v>41972.39</v>
      </c>
      <c r="L177" s="40"/>
    </row>
    <row r="178" spans="1:26" ht="14.25" x14ac:dyDescent="0.2">
      <c r="A178" s="53"/>
      <c r="B178" s="53"/>
      <c r="C178" s="53" t="s">
        <v>399</v>
      </c>
      <c r="D178" s="37" t="s">
        <v>398</v>
      </c>
      <c r="E178" s="10">
        <f>Source!CA48</f>
        <v>57</v>
      </c>
      <c r="F178" s="61" t="str">
        <f>CONCATENATE(" )", Source!DM48, Source!FU48, "=", Source!FY48)</f>
        <v xml:space="preserve"> ))*0,85=48,45</v>
      </c>
      <c r="G178" s="62"/>
      <c r="H178" s="38">
        <f>SUM(U171:U180)</f>
        <v>580.12</v>
      </c>
      <c r="I178" s="41"/>
      <c r="J178" s="35">
        <f>Source!AU48</f>
        <v>48.45</v>
      </c>
      <c r="K178" s="38">
        <f>SUM(V171:V180)</f>
        <v>18656.53</v>
      </c>
      <c r="L178" s="40"/>
    </row>
    <row r="179" spans="1:26" ht="14.25" x14ac:dyDescent="0.2">
      <c r="A179" s="53"/>
      <c r="B179" s="53"/>
      <c r="C179" s="53" t="s">
        <v>400</v>
      </c>
      <c r="D179" s="37" t="s">
        <v>401</v>
      </c>
      <c r="E179" s="10">
        <f>Source!AQ48</f>
        <v>97.2</v>
      </c>
      <c r="F179" s="38"/>
      <c r="G179" s="39" t="str">
        <f>Source!DI48</f>
        <v>)*1,15</v>
      </c>
      <c r="H179" s="38"/>
      <c r="I179" s="39"/>
      <c r="J179" s="39"/>
      <c r="K179" s="38"/>
      <c r="L179" s="51">
        <f>Source!U48</f>
        <v>139.72499999999999</v>
      </c>
    </row>
    <row r="180" spans="1:26" ht="28.5" x14ac:dyDescent="0.2">
      <c r="A180" s="54">
        <v>23.1</v>
      </c>
      <c r="B180" s="54" t="str">
        <f>Source!F49</f>
        <v>08.3.05.05-0051</v>
      </c>
      <c r="C180" s="54" t="str">
        <f>Source!G49</f>
        <v>Сталь листовая оцинкованная, толщина 0,5 мм</v>
      </c>
      <c r="D180" s="42" t="str">
        <f>Source!H49</f>
        <v>т</v>
      </c>
      <c r="E180" s="43">
        <f>Source!I49</f>
        <v>-0.71250000000000013</v>
      </c>
      <c r="F180" s="44">
        <f>Source!AL49+Source!AM49+Source!AO49</f>
        <v>11200</v>
      </c>
      <c r="G180" s="52" t="s">
        <v>3</v>
      </c>
      <c r="H180" s="44">
        <f>ROUND(Source!AC49*Source!I49, 2)+ROUND((((Source!ET49)-(Source!EU49))+Source!AE49)*Source!I49, 2)+ROUND(Source!AF49*Source!I49, 2)</f>
        <v>-7980</v>
      </c>
      <c r="I180" s="45"/>
      <c r="J180" s="45">
        <f>IF(Source!BC49&lt;&gt; 0, Source!BC49, 1)</f>
        <v>8.98</v>
      </c>
      <c r="K180" s="44">
        <f>Source!O49</f>
        <v>-71660.399999999994</v>
      </c>
      <c r="L180" s="49"/>
      <c r="S180">
        <f>ROUND((Source!FX49/100)*((ROUND(Source!AF49*Source!I49, 2)+ROUND(Source!AE49*Source!I49, 2))), 2)</f>
        <v>0</v>
      </c>
      <c r="T180">
        <f>Source!X49</f>
        <v>0</v>
      </c>
      <c r="U180">
        <f>ROUND((Source!FY49/100)*((ROUND(Source!AF49*Source!I49, 2)+ROUND(Source!AE49*Source!I49, 2))), 2)</f>
        <v>0</v>
      </c>
      <c r="V180">
        <f>Source!Y49</f>
        <v>0</v>
      </c>
      <c r="W180">
        <f>IF(Source!BI49&lt;=1,H180, 0)</f>
        <v>-7980</v>
      </c>
      <c r="X180">
        <f>IF(Source!BI49=2,H180, 0)</f>
        <v>0</v>
      </c>
      <c r="Y180">
        <f>IF(Source!BI49=3,H180, 0)</f>
        <v>0</v>
      </c>
      <c r="Z180">
        <f>IF(Source!BI49=4,H180, 0)</f>
        <v>0</v>
      </c>
    </row>
    <row r="181" spans="1:26" ht="15" x14ac:dyDescent="0.25">
      <c r="G181" s="60">
        <f>H173+H174+H176+H177+H178+SUM(H180:H180)</f>
        <v>3276.51</v>
      </c>
      <c r="H181" s="60"/>
      <c r="J181" s="60">
        <f>K173+K174+K176+K177+K178+SUM(K180:K180)</f>
        <v>100867.98999999999</v>
      </c>
      <c r="K181" s="60"/>
      <c r="L181" s="47">
        <f>Source!U48</f>
        <v>139.72499999999999</v>
      </c>
      <c r="O181" s="31">
        <f>G181</f>
        <v>3276.51</v>
      </c>
      <c r="P181" s="31">
        <f>J181</f>
        <v>100867.98999999999</v>
      </c>
      <c r="Q181" s="31">
        <f>L181</f>
        <v>139.72499999999999</v>
      </c>
      <c r="W181">
        <f>IF(Source!BI48&lt;=1,H173+H174+H176+H177+H178, 0)</f>
        <v>11256.51</v>
      </c>
      <c r="X181">
        <f>IF(Source!BI48=2,H173+H174+H176+H177+H178, 0)</f>
        <v>0</v>
      </c>
      <c r="Y181">
        <f>IF(Source!BI48=3,H173+H174+H176+H177+H178, 0)</f>
        <v>0</v>
      </c>
      <c r="Z181">
        <f>IF(Source!BI48=4,H173+H174+H176+H177+H178, 0)</f>
        <v>0</v>
      </c>
    </row>
    <row r="182" spans="1:26" ht="54" x14ac:dyDescent="0.2">
      <c r="A182" s="53">
        <v>24</v>
      </c>
      <c r="B182" s="53" t="str">
        <f>Source!F50</f>
        <v>Цена Поставщика</v>
      </c>
      <c r="C182" s="53" t="s">
        <v>408</v>
      </c>
      <c r="D182" s="37" t="str">
        <f>Source!H50</f>
        <v>м2</v>
      </c>
      <c r="E182" s="10">
        <f>Source!I50</f>
        <v>152.5</v>
      </c>
      <c r="F182" s="38">
        <f>Source!AL50</f>
        <v>48.38</v>
      </c>
      <c r="G182" s="39" t="str">
        <f>Source!DD50</f>
        <v/>
      </c>
      <c r="H182" s="38">
        <f>ROUND(Source!AC50*Source!I50, 2)</f>
        <v>7377.95</v>
      </c>
      <c r="I182" s="39" t="str">
        <f>Source!BO50</f>
        <v/>
      </c>
      <c r="J182" s="39">
        <f>IF(Source!BC50&lt;&gt; 0, Source!BC50, 1)</f>
        <v>8.98</v>
      </c>
      <c r="K182" s="38">
        <f>Source!P50</f>
        <v>66253.990000000005</v>
      </c>
      <c r="L182" s="40"/>
      <c r="S182">
        <f>ROUND((Source!FX50/100)*((ROUND(Source!AF50*Source!I50, 2)+ROUND(Source!AE50*Source!I50, 2))), 2)</f>
        <v>0</v>
      </c>
      <c r="T182">
        <f>Source!X50</f>
        <v>0</v>
      </c>
      <c r="U182">
        <f>ROUND((Source!FY50/100)*((ROUND(Source!AF50*Source!I50, 2)+ROUND(Source!AE50*Source!I50, 2))), 2)</f>
        <v>0</v>
      </c>
      <c r="V182">
        <f>Source!Y50</f>
        <v>0</v>
      </c>
    </row>
    <row r="183" spans="1:26" x14ac:dyDescent="0.2">
      <c r="A183" s="32"/>
      <c r="B183" s="32"/>
      <c r="C183" s="33" t="str">
        <f>"Объем: "&amp;Source!I50&amp;"="&amp;Source!I48&amp;"*"&amp;"122"</f>
        <v>Объем: 152,5=1,25*122</v>
      </c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1:26" ht="15" x14ac:dyDescent="0.25">
      <c r="G184" s="60">
        <f>H182</f>
        <v>7377.95</v>
      </c>
      <c r="H184" s="60"/>
      <c r="J184" s="60">
        <f>K182</f>
        <v>66253.990000000005</v>
      </c>
      <c r="K184" s="60"/>
      <c r="L184" s="47">
        <f>Source!U50</f>
        <v>0</v>
      </c>
      <c r="O184" s="31">
        <f>G184</f>
        <v>7377.95</v>
      </c>
      <c r="P184" s="31">
        <f>J184</f>
        <v>66253.990000000005</v>
      </c>
      <c r="Q184" s="31">
        <f>L184</f>
        <v>0</v>
      </c>
      <c r="W184">
        <f>IF(Source!BI50&lt;=1,H182, 0)</f>
        <v>7377.95</v>
      </c>
      <c r="X184">
        <f>IF(Source!BI50=2,H182, 0)</f>
        <v>0</v>
      </c>
      <c r="Y184">
        <f>IF(Source!BI50=3,H182, 0)</f>
        <v>0</v>
      </c>
      <c r="Z184">
        <f>IF(Source!BI50=4,H182, 0)</f>
        <v>0</v>
      </c>
    </row>
    <row r="185" spans="1:26" ht="42.75" x14ac:dyDescent="0.2">
      <c r="A185" s="54">
        <v>25</v>
      </c>
      <c r="B185" s="54" t="str">
        <f>Source!F51</f>
        <v>т01-01-01-041</v>
      </c>
      <c r="C185" s="54" t="str">
        <f>Source!G51</f>
        <v>Погрузка при автомобильных перевозках мусора строительного с погрузкой вручную</v>
      </c>
      <c r="D185" s="42" t="str">
        <f>Source!H51</f>
        <v>1 т груза</v>
      </c>
      <c r="E185" s="43">
        <f>Source!I51</f>
        <v>28</v>
      </c>
      <c r="F185" s="44">
        <f>Source!AK51</f>
        <v>42.98</v>
      </c>
      <c r="G185" s="45" t="str">
        <f>Source!DC51</f>
        <v/>
      </c>
      <c r="H185" s="44">
        <f>ROUND(Source!AB51*Source!I51, 2)</f>
        <v>1203.44</v>
      </c>
      <c r="I185" s="45" t="str">
        <f>Source!BO51</f>
        <v/>
      </c>
      <c r="J185" s="45">
        <f>Source!AZ51</f>
        <v>12.43</v>
      </c>
      <c r="K185" s="44">
        <f>Source!GM51</f>
        <v>14958.76</v>
      </c>
      <c r="L185" s="49"/>
      <c r="S185">
        <f>ROUND((Source!FX51/100)*((ROUND(0*Source!I51, 2)+ROUND(0*Source!I51, 2))), 2)</f>
        <v>0</v>
      </c>
      <c r="T185">
        <f>Source!X51</f>
        <v>0</v>
      </c>
      <c r="U185">
        <f>ROUND((Source!FY51/100)*((ROUND(0*Source!I51, 2)+ROUND(0*Source!I51, 2))), 2)</f>
        <v>0</v>
      </c>
      <c r="V185">
        <f>Source!Y51</f>
        <v>0</v>
      </c>
    </row>
    <row r="186" spans="1:26" ht="15" x14ac:dyDescent="0.25">
      <c r="G186" s="60">
        <f>H185</f>
        <v>1203.44</v>
      </c>
      <c r="H186" s="60"/>
      <c r="J186" s="60">
        <f>K185</f>
        <v>14958.76</v>
      </c>
      <c r="K186" s="60"/>
      <c r="L186" s="47">
        <f>Source!U51</f>
        <v>0</v>
      </c>
      <c r="O186" s="31">
        <f>G186</f>
        <v>1203.44</v>
      </c>
      <c r="P186" s="31">
        <f>J186</f>
        <v>14958.76</v>
      </c>
      <c r="Q186" s="31">
        <f>L186</f>
        <v>0</v>
      </c>
      <c r="W186">
        <f>IF(Source!BI51&lt;=1,H185, 0)</f>
        <v>1203.44</v>
      </c>
      <c r="X186">
        <f>IF(Source!BI51=2,H185, 0)</f>
        <v>0</v>
      </c>
      <c r="Y186">
        <f>IF(Source!BI51=3,H185, 0)</f>
        <v>0</v>
      </c>
      <c r="Z186">
        <f>IF(Source!BI51=4,H185, 0)</f>
        <v>0</v>
      </c>
    </row>
    <row r="187" spans="1:26" ht="57" x14ac:dyDescent="0.2">
      <c r="A187" s="54">
        <v>26</v>
      </c>
      <c r="B187" s="54" t="str">
        <f>Source!F52</f>
        <v>т01-01-01-043</v>
      </c>
      <c r="C187" s="54" t="str">
        <f>Source!G52</f>
        <v>Погрузка при автомобильных перевозках мусора строительного с погрузкой экскаваторами емкостью ковша до 0,5 м3</v>
      </c>
      <c r="D187" s="42" t="str">
        <f>Source!H52</f>
        <v>1 т груза</v>
      </c>
      <c r="E187" s="43">
        <f>Source!I52</f>
        <v>252</v>
      </c>
      <c r="F187" s="44">
        <f>Source!AK52</f>
        <v>3.28</v>
      </c>
      <c r="G187" s="45" t="str">
        <f>Source!DC52</f>
        <v/>
      </c>
      <c r="H187" s="44">
        <f>ROUND(Source!AB52*Source!I52, 2)</f>
        <v>826.56</v>
      </c>
      <c r="I187" s="45" t="str">
        <f>Source!BO52</f>
        <v/>
      </c>
      <c r="J187" s="45">
        <f>Source!AZ52</f>
        <v>12.43</v>
      </c>
      <c r="K187" s="44">
        <f>Source!GM52</f>
        <v>10274.14</v>
      </c>
      <c r="L187" s="49"/>
      <c r="S187">
        <f>ROUND((Source!FX52/100)*((ROUND(0*Source!I52, 2)+ROUND(0*Source!I52, 2))), 2)</f>
        <v>0</v>
      </c>
      <c r="T187">
        <f>Source!X52</f>
        <v>0</v>
      </c>
      <c r="U187">
        <f>ROUND((Source!FY52/100)*((ROUND(0*Source!I52, 2)+ROUND(0*Source!I52, 2))), 2)</f>
        <v>0</v>
      </c>
      <c r="V187">
        <f>Source!Y52</f>
        <v>0</v>
      </c>
    </row>
    <row r="188" spans="1:26" ht="15" x14ac:dyDescent="0.25">
      <c r="G188" s="60">
        <f>H187</f>
        <v>826.56</v>
      </c>
      <c r="H188" s="60"/>
      <c r="J188" s="60">
        <f>K187</f>
        <v>10274.14</v>
      </c>
      <c r="K188" s="60"/>
      <c r="L188" s="47">
        <f>Source!U52</f>
        <v>0</v>
      </c>
      <c r="O188" s="31">
        <f>G188</f>
        <v>826.56</v>
      </c>
      <c r="P188" s="31">
        <f>J188</f>
        <v>10274.14</v>
      </c>
      <c r="Q188" s="31">
        <f>L188</f>
        <v>0</v>
      </c>
      <c r="W188">
        <f>IF(Source!BI52&lt;=1,H187, 0)</f>
        <v>826.56</v>
      </c>
      <c r="X188">
        <f>IF(Source!BI52=2,H187, 0)</f>
        <v>0</v>
      </c>
      <c r="Y188">
        <f>IF(Source!BI52=3,H187, 0)</f>
        <v>0</v>
      </c>
      <c r="Z188">
        <f>IF(Source!BI52=4,H187, 0)</f>
        <v>0</v>
      </c>
    </row>
    <row r="189" spans="1:26" ht="41.25" x14ac:dyDescent="0.2">
      <c r="A189" s="53">
        <v>27</v>
      </c>
      <c r="B189" s="53" t="str">
        <f>Source!F53</f>
        <v>Договорная цена</v>
      </c>
      <c r="C189" s="53" t="s">
        <v>409</v>
      </c>
      <c r="D189" s="37" t="str">
        <f>Source!H53</f>
        <v>т</v>
      </c>
      <c r="E189" s="10">
        <f>Source!I53</f>
        <v>280</v>
      </c>
      <c r="F189" s="38">
        <f>Source!AL53</f>
        <v>92.8</v>
      </c>
      <c r="G189" s="39" t="str">
        <f>Source!DD53</f>
        <v/>
      </c>
      <c r="H189" s="38">
        <f>ROUND(Source!AC53*Source!I53, 2)</f>
        <v>25984</v>
      </c>
      <c r="I189" s="39" t="str">
        <f>Source!BO53</f>
        <v/>
      </c>
      <c r="J189" s="39">
        <f>IF(Source!BC53&lt;&gt; 0, Source!BC53, 1)</f>
        <v>8.98</v>
      </c>
      <c r="K189" s="38">
        <f>Source!P53</f>
        <v>233336.32000000001</v>
      </c>
      <c r="L189" s="40"/>
      <c r="S189">
        <f>ROUND((Source!FX53/100)*((ROUND(Source!AF53*Source!I53, 2)+ROUND(Source!AE53*Source!I53, 2))), 2)</f>
        <v>0</v>
      </c>
      <c r="T189">
        <f>Source!X53</f>
        <v>0</v>
      </c>
      <c r="U189">
        <f>ROUND((Source!FY53/100)*((ROUND(Source!AF53*Source!I53, 2)+ROUND(Source!AE53*Source!I53, 2))), 2)</f>
        <v>0</v>
      </c>
      <c r="V189">
        <f>Source!Y53</f>
        <v>0</v>
      </c>
    </row>
    <row r="190" spans="1:26" x14ac:dyDescent="0.2">
      <c r="A190" s="32"/>
      <c r="B190" s="32"/>
      <c r="C190" s="33" t="str">
        <f>"Объем: "&amp;Source!I53&amp;"="&amp;Source!I51&amp;"+"&amp;""&amp;Source!I52&amp;""</f>
        <v>Объем: 280=28+252</v>
      </c>
      <c r="D190" s="32"/>
      <c r="E190" s="32"/>
      <c r="F190" s="32"/>
      <c r="G190" s="32"/>
      <c r="H190" s="32"/>
      <c r="I190" s="32"/>
      <c r="J190" s="32"/>
      <c r="K190" s="32"/>
      <c r="L190" s="32"/>
    </row>
    <row r="191" spans="1:26" ht="15" x14ac:dyDescent="0.25">
      <c r="G191" s="60">
        <f>H189</f>
        <v>25984</v>
      </c>
      <c r="H191" s="60"/>
      <c r="J191" s="60">
        <f>K189</f>
        <v>233336.32000000001</v>
      </c>
      <c r="K191" s="60"/>
      <c r="L191" s="47">
        <f>Source!U53</f>
        <v>0</v>
      </c>
      <c r="O191" s="31">
        <f>G191</f>
        <v>25984</v>
      </c>
      <c r="P191" s="31">
        <f>J191</f>
        <v>233336.32000000001</v>
      </c>
      <c r="Q191" s="31">
        <f>L191</f>
        <v>0</v>
      </c>
      <c r="W191">
        <f>IF(Source!BI53&lt;=1,H189, 0)</f>
        <v>25984</v>
      </c>
      <c r="X191">
        <f>IF(Source!BI53=2,H189, 0)</f>
        <v>0</v>
      </c>
      <c r="Y191">
        <f>IF(Source!BI53=3,H189, 0)</f>
        <v>0</v>
      </c>
      <c r="Z191">
        <f>IF(Source!BI53=4,H189, 0)</f>
        <v>0</v>
      </c>
    </row>
    <row r="193" spans="1:32" ht="15" x14ac:dyDescent="0.25">
      <c r="A193" s="59" t="str">
        <f>CONCATENATE("Итого по локальной смете: ",IF(Source!G55&lt;&gt;"Новая локальная смета", Source!G55, ""))</f>
        <v xml:space="preserve">Итого по локальной смете: </v>
      </c>
      <c r="B193" s="59"/>
      <c r="C193" s="59"/>
      <c r="D193" s="59"/>
      <c r="E193" s="59"/>
      <c r="F193" s="59"/>
      <c r="G193" s="58">
        <f>SUM(O35:O192)</f>
        <v>249780.35000000003</v>
      </c>
      <c r="H193" s="58"/>
      <c r="I193" s="34"/>
      <c r="J193" s="58">
        <f>SUM(P35:P192)</f>
        <v>4340964.72</v>
      </c>
      <c r="K193" s="58"/>
      <c r="L193" s="47">
        <f>SUM(Q35:Q192)</f>
        <v>3792.1987749999998</v>
      </c>
    </row>
    <row r="197" spans="1:32" ht="30" x14ac:dyDescent="0.25">
      <c r="A197" s="59" t="str">
        <f>CONCATENATE("Итого по смете: ",IF(Source!G85&lt;&gt;"Новый объект", Source!G85, ""))</f>
        <v>Итого по смете: Ремонт кровли склада готовой продукции (производственный корпус) Инв. № 43672</v>
      </c>
      <c r="B197" s="59"/>
      <c r="C197" s="59"/>
      <c r="D197" s="59"/>
      <c r="E197" s="59"/>
      <c r="F197" s="59"/>
      <c r="G197" s="58">
        <f>SUM(O1:O196)</f>
        <v>249780.35000000003</v>
      </c>
      <c r="H197" s="58"/>
      <c r="I197" s="34"/>
      <c r="J197" s="58">
        <f>SUM(P1:P196)</f>
        <v>4340964.72</v>
      </c>
      <c r="K197" s="58"/>
      <c r="L197" s="47">
        <f>SUM(Q1:Q196)</f>
        <v>3792.1987749999998</v>
      </c>
      <c r="AF197" s="57" t="str">
        <f>CONCATENATE("Итого по смете: ",IF(Source!G85&lt;&gt;"Новый объект", Source!G85, ""))</f>
        <v>Итого по смете: Ремонт кровли склада готовой продукции (производственный корпус) Инв. № 43672</v>
      </c>
    </row>
    <row r="199" spans="1:32" ht="14.25" x14ac:dyDescent="0.2">
      <c r="C199" s="63" t="str">
        <f>Source!H87</f>
        <v>Прямые затраты</v>
      </c>
      <c r="D199" s="63"/>
      <c r="E199" s="63"/>
      <c r="F199" s="63"/>
      <c r="G199" s="63"/>
      <c r="H199" s="63"/>
      <c r="I199" s="63"/>
      <c r="J199" s="64">
        <f>IF(Source!F87=0, "", Source!F87)</f>
        <v>2548903.62</v>
      </c>
      <c r="K199" s="64"/>
    </row>
    <row r="200" spans="1:32" ht="14.25" x14ac:dyDescent="0.2">
      <c r="C200" s="63" t="str">
        <f>Source!H88</f>
        <v>Стоимость материальных ресурсов (всего)</v>
      </c>
      <c r="D200" s="63"/>
      <c r="E200" s="63"/>
      <c r="F200" s="63"/>
      <c r="G200" s="63"/>
      <c r="H200" s="63"/>
      <c r="I200" s="63"/>
      <c r="J200" s="64">
        <f>IF(Source!F88=0, "", Source!F88)</f>
        <v>1289914.6599999999</v>
      </c>
      <c r="K200" s="64"/>
    </row>
    <row r="201" spans="1:32" ht="14.25" x14ac:dyDescent="0.2">
      <c r="C201" s="63" t="str">
        <f>Source!H90</f>
        <v>Стоимость материалов и оборудования подрядчика</v>
      </c>
      <c r="D201" s="63"/>
      <c r="E201" s="63"/>
      <c r="F201" s="63"/>
      <c r="G201" s="63"/>
      <c r="H201" s="63"/>
      <c r="I201" s="63"/>
      <c r="J201" s="64">
        <f>IF(Source!F90=0, "", Source!F90)</f>
        <v>1289914.6599999999</v>
      </c>
      <c r="K201" s="64"/>
    </row>
    <row r="202" spans="1:32" ht="14.25" x14ac:dyDescent="0.2">
      <c r="C202" s="63" t="str">
        <f>Source!H91</f>
        <v>Стоимость материалов (всего)</v>
      </c>
      <c r="D202" s="63"/>
      <c r="E202" s="63"/>
      <c r="F202" s="63"/>
      <c r="G202" s="63"/>
      <c r="H202" s="63"/>
      <c r="I202" s="63"/>
      <c r="J202" s="64">
        <f>IF(Source!F91=0, "", Source!F91)</f>
        <v>1289914.6599999999</v>
      </c>
      <c r="K202" s="64"/>
    </row>
    <row r="203" spans="1:32" ht="14.25" x14ac:dyDescent="0.2">
      <c r="C203" s="63" t="str">
        <f>Source!H93</f>
        <v>Стоимость материалов подрядчика</v>
      </c>
      <c r="D203" s="63"/>
      <c r="E203" s="63"/>
      <c r="F203" s="63"/>
      <c r="G203" s="63"/>
      <c r="H203" s="63"/>
      <c r="I203" s="63"/>
      <c r="J203" s="64">
        <f>IF(Source!F93=0, "", Source!F93)</f>
        <v>1289914.6599999999</v>
      </c>
      <c r="K203" s="64"/>
    </row>
    <row r="204" spans="1:32" ht="14.25" x14ac:dyDescent="0.2">
      <c r="C204" s="63" t="str">
        <f>Source!H97</f>
        <v>Эксплуатация машин</v>
      </c>
      <c r="D204" s="63"/>
      <c r="E204" s="63"/>
      <c r="F204" s="63"/>
      <c r="G204" s="63"/>
      <c r="H204" s="63"/>
      <c r="I204" s="63"/>
      <c r="J204" s="64">
        <f>IF(Source!F97=0, "", Source!F97)</f>
        <v>203048.07</v>
      </c>
      <c r="K204" s="64"/>
    </row>
    <row r="205" spans="1:32" ht="14.25" x14ac:dyDescent="0.2">
      <c r="C205" s="63" t="str">
        <f>Source!H99</f>
        <v>ЗП машинистов</v>
      </c>
      <c r="D205" s="63"/>
      <c r="E205" s="63"/>
      <c r="F205" s="63"/>
      <c r="G205" s="63"/>
      <c r="H205" s="63"/>
      <c r="I205" s="63"/>
      <c r="J205" s="64">
        <f>IF(Source!F99=0, "", Source!F99)</f>
        <v>53214.63</v>
      </c>
      <c r="K205" s="64"/>
    </row>
    <row r="206" spans="1:32" ht="14.25" x14ac:dyDescent="0.2">
      <c r="C206" s="63" t="str">
        <f>Source!H100</f>
        <v>Основная ЗП рабочих</v>
      </c>
      <c r="D206" s="63"/>
      <c r="E206" s="63"/>
      <c r="F206" s="63"/>
      <c r="G206" s="63"/>
      <c r="H206" s="63"/>
      <c r="I206" s="63"/>
      <c r="J206" s="64">
        <f>IF(Source!F100=0, "", Source!F100)</f>
        <v>1055940.8899999999</v>
      </c>
      <c r="K206" s="64"/>
    </row>
    <row r="207" spans="1:32" ht="14.25" x14ac:dyDescent="0.2">
      <c r="C207" s="63" t="str">
        <f>Source!H102</f>
        <v>Строительные работы с НР и СП</v>
      </c>
      <c r="D207" s="63"/>
      <c r="E207" s="63"/>
      <c r="F207" s="63"/>
      <c r="G207" s="63"/>
      <c r="H207" s="63"/>
      <c r="I207" s="63"/>
      <c r="J207" s="64">
        <f>IF(Source!F102=0, "", Source!F102)</f>
        <v>4340964.72</v>
      </c>
      <c r="K207" s="64"/>
    </row>
    <row r="208" spans="1:32" ht="14.25" x14ac:dyDescent="0.2">
      <c r="C208" s="63" t="str">
        <f>Source!H107</f>
        <v>Трудозатраты строителей</v>
      </c>
      <c r="D208" s="63"/>
      <c r="E208" s="63"/>
      <c r="F208" s="63"/>
      <c r="G208" s="63"/>
      <c r="H208" s="63"/>
      <c r="I208" s="63"/>
      <c r="J208" s="65">
        <f>IF(Source!F107=0, "", Source!F107)</f>
        <v>3792.1987749999998</v>
      </c>
      <c r="K208" s="65"/>
    </row>
    <row r="209" spans="3:11" ht="14.25" x14ac:dyDescent="0.2">
      <c r="C209" s="63" t="str">
        <f>Source!H108</f>
        <v>Трудозатраты машинистов</v>
      </c>
      <c r="D209" s="63"/>
      <c r="E209" s="63"/>
      <c r="F209" s="63"/>
      <c r="G209" s="63"/>
      <c r="H209" s="63"/>
      <c r="I209" s="63"/>
      <c r="J209" s="65">
        <f>IF(Source!F108=0, "", Source!F108)</f>
        <v>144.33359999999999</v>
      </c>
      <c r="K209" s="65"/>
    </row>
    <row r="210" spans="3:11" ht="14.25" x14ac:dyDescent="0.2">
      <c r="C210" s="63" t="str">
        <f>Source!H110</f>
        <v>Перевозка грузов</v>
      </c>
      <c r="D210" s="63"/>
      <c r="E210" s="63"/>
      <c r="F210" s="63"/>
      <c r="G210" s="63"/>
      <c r="H210" s="63"/>
      <c r="I210" s="63"/>
      <c r="J210" s="64">
        <f>IF(Source!F110=0, "", Source!F110)</f>
        <v>25232.9</v>
      </c>
      <c r="K210" s="64"/>
    </row>
    <row r="211" spans="3:11" ht="14.25" x14ac:dyDescent="0.2">
      <c r="C211" s="63" t="str">
        <f>Source!H111</f>
        <v>Накладные расходы</v>
      </c>
      <c r="D211" s="63"/>
      <c r="E211" s="63"/>
      <c r="F211" s="63"/>
      <c r="G211" s="63"/>
      <c r="H211" s="63"/>
      <c r="I211" s="63"/>
      <c r="J211" s="64">
        <f>IF(Source!F111=0, "", Source!F111)</f>
        <v>1195467.8400000001</v>
      </c>
      <c r="K211" s="64"/>
    </row>
    <row r="212" spans="3:11" ht="14.25" x14ac:dyDescent="0.2">
      <c r="C212" s="63" t="str">
        <f>Source!H112</f>
        <v>Сметная прибыль</v>
      </c>
      <c r="D212" s="63"/>
      <c r="E212" s="63"/>
      <c r="F212" s="63"/>
      <c r="G212" s="63"/>
      <c r="H212" s="63"/>
      <c r="I212" s="63"/>
      <c r="J212" s="64">
        <f>IF(Source!F112=0, "", Source!F112)</f>
        <v>571360.36</v>
      </c>
      <c r="K212" s="64"/>
    </row>
    <row r="213" spans="3:11" ht="14.25" x14ac:dyDescent="0.2">
      <c r="C213" s="63" t="str">
        <f>Source!H113</f>
        <v>Всего с НР и СП</v>
      </c>
      <c r="D213" s="63"/>
      <c r="E213" s="63"/>
      <c r="F213" s="63"/>
      <c r="G213" s="63"/>
      <c r="H213" s="63"/>
      <c r="I213" s="63"/>
      <c r="J213" s="64">
        <f>IF(Source!F113=0, "", Source!F113)</f>
        <v>4340964.72</v>
      </c>
      <c r="K213" s="64"/>
    </row>
    <row r="214" spans="3:11" ht="14.25" x14ac:dyDescent="0.2">
      <c r="C214" s="63" t="str">
        <f>Source!H114</f>
        <v>НДС 20%</v>
      </c>
      <c r="D214" s="63"/>
      <c r="E214" s="63"/>
      <c r="F214" s="63"/>
      <c r="G214" s="63"/>
      <c r="H214" s="63"/>
      <c r="I214" s="63"/>
      <c r="J214" s="64">
        <f>IF(Source!F114=0, "", Source!F114)</f>
        <v>868192.94</v>
      </c>
      <c r="K214" s="64"/>
    </row>
    <row r="215" spans="3:11" ht="14.25" x14ac:dyDescent="0.2">
      <c r="C215" s="63" t="str">
        <f>Source!H115</f>
        <v>Всего с НДС 20%</v>
      </c>
      <c r="D215" s="63"/>
      <c r="E215" s="63"/>
      <c r="F215" s="63"/>
      <c r="G215" s="63"/>
      <c r="H215" s="63"/>
      <c r="I215" s="63"/>
      <c r="J215" s="64">
        <f>IF(Source!F115=0, "", Source!F115)</f>
        <v>5209157.66</v>
      </c>
      <c r="K215" s="64"/>
    </row>
  </sheetData>
  <mergeCells count="129">
    <mergeCell ref="H2:K2"/>
    <mergeCell ref="B5:E5"/>
    <mergeCell ref="H5:L5"/>
    <mergeCell ref="B6:E6"/>
    <mergeCell ref="H6:L6"/>
    <mergeCell ref="B8:E8"/>
    <mergeCell ref="H8:L8"/>
    <mergeCell ref="B15:K15"/>
    <mergeCell ref="B17:K17"/>
    <mergeCell ref="B19:K19"/>
    <mergeCell ref="B20:K20"/>
    <mergeCell ref="A22:L22"/>
    <mergeCell ref="G25:H25"/>
    <mergeCell ref="I25:J25"/>
    <mergeCell ref="B9:E9"/>
    <mergeCell ref="H9:L9"/>
    <mergeCell ref="B12:K12"/>
    <mergeCell ref="B13:K13"/>
    <mergeCell ref="C26:F26"/>
    <mergeCell ref="G26:H26"/>
    <mergeCell ref="I26:J26"/>
    <mergeCell ref="K26:L26"/>
    <mergeCell ref="C27:F27"/>
    <mergeCell ref="G27:H27"/>
    <mergeCell ref="I27:J27"/>
    <mergeCell ref="A32:L32"/>
    <mergeCell ref="C199:I199"/>
    <mergeCell ref="J199:K199"/>
    <mergeCell ref="J79:K79"/>
    <mergeCell ref="G79:H79"/>
    <mergeCell ref="J59:K59"/>
    <mergeCell ref="G59:H59"/>
    <mergeCell ref="J51:K51"/>
    <mergeCell ref="G51:H51"/>
    <mergeCell ref="J42:K42"/>
    <mergeCell ref="G42:H42"/>
    <mergeCell ref="J77:K77"/>
    <mergeCell ref="G77:H77"/>
    <mergeCell ref="F75:G75"/>
    <mergeCell ref="J69:K69"/>
    <mergeCell ref="G69:H69"/>
    <mergeCell ref="F67:G67"/>
    <mergeCell ref="J98:K98"/>
    <mergeCell ref="G98:H98"/>
    <mergeCell ref="J90:K90"/>
    <mergeCell ref="G88:H88"/>
    <mergeCell ref="F86:G86"/>
    <mergeCell ref="J145:K145"/>
    <mergeCell ref="G145:H145"/>
    <mergeCell ref="F143:G143"/>
    <mergeCell ref="J135:K135"/>
    <mergeCell ref="G135:H135"/>
    <mergeCell ref="G90:H90"/>
    <mergeCell ref="J88:K88"/>
    <mergeCell ref="J107:K107"/>
    <mergeCell ref="F105:G105"/>
    <mergeCell ref="J132:K132"/>
    <mergeCell ref="G132:H132"/>
    <mergeCell ref="F129:G129"/>
    <mergeCell ref="J122:K122"/>
    <mergeCell ref="C211:I211"/>
    <mergeCell ref="J211:K211"/>
    <mergeCell ref="C212:I212"/>
    <mergeCell ref="J212:K212"/>
    <mergeCell ref="C208:I208"/>
    <mergeCell ref="J208:K208"/>
    <mergeCell ref="C209:I209"/>
    <mergeCell ref="J209:K209"/>
    <mergeCell ref="J151:K151"/>
    <mergeCell ref="G151:H151"/>
    <mergeCell ref="J148:K148"/>
    <mergeCell ref="G148:H148"/>
    <mergeCell ref="C210:I210"/>
    <mergeCell ref="J210:K210"/>
    <mergeCell ref="C205:I205"/>
    <mergeCell ref="J205:K205"/>
    <mergeCell ref="C206:I206"/>
    <mergeCell ref="J206:K206"/>
    <mergeCell ref="C207:I207"/>
    <mergeCell ref="J167:K167"/>
    <mergeCell ref="G167:H167"/>
    <mergeCell ref="J164:K164"/>
    <mergeCell ref="G164:H164"/>
    <mergeCell ref="C214:I214"/>
    <mergeCell ref="J214:K214"/>
    <mergeCell ref="C215:I215"/>
    <mergeCell ref="J215:K215"/>
    <mergeCell ref="G107:H107"/>
    <mergeCell ref="C213:I213"/>
    <mergeCell ref="J213:K213"/>
    <mergeCell ref="J207:K207"/>
    <mergeCell ref="C202:I202"/>
    <mergeCell ref="J202:K202"/>
    <mergeCell ref="C203:I203"/>
    <mergeCell ref="J203:K203"/>
    <mergeCell ref="C204:I204"/>
    <mergeCell ref="J204:K204"/>
    <mergeCell ref="C200:I200"/>
    <mergeCell ref="J200:K200"/>
    <mergeCell ref="C201:I201"/>
    <mergeCell ref="J201:K201"/>
    <mergeCell ref="G191:H191"/>
    <mergeCell ref="J188:K188"/>
    <mergeCell ref="G122:H122"/>
    <mergeCell ref="J120:K120"/>
    <mergeCell ref="G120:H120"/>
    <mergeCell ref="F118:G118"/>
    <mergeCell ref="J110:K110"/>
    <mergeCell ref="G110:H110"/>
    <mergeCell ref="J162:K162"/>
    <mergeCell ref="G162:H162"/>
    <mergeCell ref="F159:G159"/>
    <mergeCell ref="G197:H197"/>
    <mergeCell ref="J197:K197"/>
    <mergeCell ref="A197:F197"/>
    <mergeCell ref="G193:H193"/>
    <mergeCell ref="J193:K193"/>
    <mergeCell ref="A193:F193"/>
    <mergeCell ref="J191:K191"/>
    <mergeCell ref="F178:G178"/>
    <mergeCell ref="J170:K170"/>
    <mergeCell ref="G170:H170"/>
    <mergeCell ref="J181:K181"/>
    <mergeCell ref="G181:H181"/>
    <mergeCell ref="G188:H188"/>
    <mergeCell ref="J186:K186"/>
    <mergeCell ref="G186:H186"/>
    <mergeCell ref="J184:K184"/>
    <mergeCell ref="G184:H184"/>
  </mergeCells>
  <pageMargins left="0.4" right="0.2" top="0.2" bottom="0.4" header="0.2" footer="0.2"/>
  <pageSetup paperSize="9" scale="59" fitToHeight="0" orientation="portrait" horizontalDpi="4294967292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152"/>
  <sheetViews>
    <sheetView workbookViewId="0">
      <selection activeCell="L22" sqref="L2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18266318</v>
      </c>
      <c r="N1">
        <v>11</v>
      </c>
      <c r="O1">
        <v>6</v>
      </c>
      <c r="P1">
        <v>5</v>
      </c>
      <c r="Q1">
        <v>6</v>
      </c>
    </row>
    <row r="12" spans="1:133" x14ac:dyDescent="0.2">
      <c r="A12" s="1">
        <v>1</v>
      </c>
      <c r="B12" s="1">
        <v>147</v>
      </c>
      <c r="C12" s="1">
        <v>0</v>
      </c>
      <c r="D12" s="1">
        <f>ROW(A85)</f>
        <v>85</v>
      </c>
      <c r="E12" s="1">
        <v>0</v>
      </c>
      <c r="F12" s="1">
        <v>1</v>
      </c>
      <c r="G12" s="1" t="s">
        <v>411</v>
      </c>
      <c r="H12" s="1" t="s">
        <v>3</v>
      </c>
      <c r="I12" s="1">
        <v>0</v>
      </c>
      <c r="J12" s="1" t="s">
        <v>412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17301512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371</v>
      </c>
      <c r="CR12" s="1" t="s">
        <v>13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B85</f>
        <v>147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>
        <f t="shared" si="0"/>
        <v>1</v>
      </c>
      <c r="G18" s="2" t="str">
        <f t="shared" si="0"/>
        <v>Ремонт кровли склада готовой продукции (производственный корпус) Инв. № 43672</v>
      </c>
      <c r="H18" s="2"/>
      <c r="I18" s="2"/>
      <c r="J18" s="2"/>
      <c r="K18" s="2"/>
      <c r="L18" s="2"/>
      <c r="M18" s="2"/>
      <c r="N18" s="2"/>
      <c r="O18" s="2">
        <f t="shared" ref="O18:AT18" si="1">O85</f>
        <v>2548903.62</v>
      </c>
      <c r="P18" s="2">
        <f t="shared" si="1"/>
        <v>1289914.6599999999</v>
      </c>
      <c r="Q18" s="2">
        <f t="shared" si="1"/>
        <v>203048.07</v>
      </c>
      <c r="R18" s="2">
        <f t="shared" si="1"/>
        <v>53214.63</v>
      </c>
      <c r="S18" s="2">
        <f t="shared" si="1"/>
        <v>1055940.8899999999</v>
      </c>
      <c r="T18" s="2">
        <f t="shared" si="1"/>
        <v>0</v>
      </c>
      <c r="U18" s="2">
        <f t="shared" si="1"/>
        <v>3792.1987749999998</v>
      </c>
      <c r="V18" s="2">
        <f t="shared" si="1"/>
        <v>144.33359999999999</v>
      </c>
      <c r="W18" s="2">
        <f t="shared" si="1"/>
        <v>0</v>
      </c>
      <c r="X18" s="2">
        <f t="shared" si="1"/>
        <v>1195467.8400000001</v>
      </c>
      <c r="Y18" s="2">
        <f t="shared" si="1"/>
        <v>571360.36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4340964.72</v>
      </c>
      <c r="AS18" s="2">
        <f t="shared" si="1"/>
        <v>4340964.72</v>
      </c>
      <c r="AT18" s="2">
        <f t="shared" si="1"/>
        <v>0</v>
      </c>
      <c r="AU18" s="2">
        <f t="shared" ref="AU18:BZ18" si="2">AU85</f>
        <v>0</v>
      </c>
      <c r="AV18" s="2">
        <f t="shared" si="2"/>
        <v>1289914.6599999999</v>
      </c>
      <c r="AW18" s="2">
        <f t="shared" si="2"/>
        <v>1289914.6599999999</v>
      </c>
      <c r="AX18" s="2">
        <f t="shared" si="2"/>
        <v>0</v>
      </c>
      <c r="AY18" s="2">
        <f t="shared" si="2"/>
        <v>1289914.6599999999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25232.9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CA85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DG85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EM85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FS85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ROW(A55)</f>
        <v>55</v>
      </c>
      <c r="E20" s="1"/>
      <c r="F20" s="1" t="s">
        <v>14</v>
      </c>
      <c r="G20" s="1" t="s">
        <v>14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B55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O55</f>
        <v>2548903.62</v>
      </c>
      <c r="P22" s="2">
        <f t="shared" si="8"/>
        <v>1289914.6599999999</v>
      </c>
      <c r="Q22" s="2">
        <f t="shared" si="8"/>
        <v>203048.07</v>
      </c>
      <c r="R22" s="2">
        <f t="shared" si="8"/>
        <v>53214.63</v>
      </c>
      <c r="S22" s="2">
        <f t="shared" si="8"/>
        <v>1055940.8899999999</v>
      </c>
      <c r="T22" s="2">
        <f t="shared" si="8"/>
        <v>0</v>
      </c>
      <c r="U22" s="2">
        <f t="shared" si="8"/>
        <v>3792.1987749999998</v>
      </c>
      <c r="V22" s="2">
        <f t="shared" si="8"/>
        <v>144.33359999999999</v>
      </c>
      <c r="W22" s="2">
        <f t="shared" si="8"/>
        <v>0</v>
      </c>
      <c r="X22" s="2">
        <f t="shared" si="8"/>
        <v>1195467.8400000001</v>
      </c>
      <c r="Y22" s="2">
        <f t="shared" si="8"/>
        <v>571360.36</v>
      </c>
      <c r="Z22" s="2">
        <f t="shared" si="8"/>
        <v>0</v>
      </c>
      <c r="AA22" s="2">
        <f t="shared" si="8"/>
        <v>0</v>
      </c>
      <c r="AB22" s="2">
        <f t="shared" si="8"/>
        <v>2548903.62</v>
      </c>
      <c r="AC22" s="2">
        <f t="shared" si="8"/>
        <v>1289914.6599999999</v>
      </c>
      <c r="AD22" s="2">
        <f t="shared" si="8"/>
        <v>203048.07</v>
      </c>
      <c r="AE22" s="2">
        <f t="shared" si="8"/>
        <v>53214.63</v>
      </c>
      <c r="AF22" s="2">
        <f t="shared" si="8"/>
        <v>1055940.8899999999</v>
      </c>
      <c r="AG22" s="2">
        <f t="shared" si="8"/>
        <v>0</v>
      </c>
      <c r="AH22" s="2">
        <f t="shared" si="8"/>
        <v>3792.1987749999998</v>
      </c>
      <c r="AI22" s="2">
        <f t="shared" si="8"/>
        <v>144.33359999999999</v>
      </c>
      <c r="AJ22" s="2">
        <f t="shared" si="8"/>
        <v>0</v>
      </c>
      <c r="AK22" s="2">
        <f t="shared" si="8"/>
        <v>1195467.8400000001</v>
      </c>
      <c r="AL22" s="2">
        <f t="shared" si="8"/>
        <v>571360.36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4340964.72</v>
      </c>
      <c r="AS22" s="2">
        <f t="shared" si="8"/>
        <v>4340964.72</v>
      </c>
      <c r="AT22" s="2">
        <f t="shared" si="8"/>
        <v>0</v>
      </c>
      <c r="AU22" s="2">
        <f t="shared" ref="AU22:BZ22" si="9">AU55</f>
        <v>0</v>
      </c>
      <c r="AV22" s="2">
        <f t="shared" si="9"/>
        <v>1289914.6599999999</v>
      </c>
      <c r="AW22" s="2">
        <f t="shared" si="9"/>
        <v>1289914.6599999999</v>
      </c>
      <c r="AX22" s="2">
        <f t="shared" si="9"/>
        <v>0</v>
      </c>
      <c r="AY22" s="2">
        <f t="shared" si="9"/>
        <v>1289914.6599999999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25232.9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CA55</f>
        <v>4340964.72</v>
      </c>
      <c r="CB22" s="2">
        <f t="shared" si="10"/>
        <v>4340964.72</v>
      </c>
      <c r="CC22" s="2">
        <f t="shared" si="10"/>
        <v>0</v>
      </c>
      <c r="CD22" s="2">
        <f t="shared" si="10"/>
        <v>0</v>
      </c>
      <c r="CE22" s="2">
        <f t="shared" si="10"/>
        <v>1289914.6599999999</v>
      </c>
      <c r="CF22" s="2">
        <f t="shared" si="10"/>
        <v>1289914.6599999999</v>
      </c>
      <c r="CG22" s="2">
        <f t="shared" si="10"/>
        <v>0</v>
      </c>
      <c r="CH22" s="2">
        <f t="shared" si="10"/>
        <v>1289914.6599999999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25232.9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DG55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EM55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FS55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C24">
        <f>ROW(SmtRes!A2)</f>
        <v>2</v>
      </c>
      <c r="D24">
        <f>ROW(EtalonRes!A2)</f>
        <v>2</v>
      </c>
      <c r="E24" t="s">
        <v>15</v>
      </c>
      <c r="F24" t="s">
        <v>16</v>
      </c>
      <c r="G24" t="s">
        <v>17</v>
      </c>
      <c r="H24" t="s">
        <v>18</v>
      </c>
      <c r="I24">
        <f>ROUND(2080/100,9)</f>
        <v>20.8</v>
      </c>
      <c r="J24">
        <v>0</v>
      </c>
      <c r="K24">
        <f>ROUND(2080/100,9)</f>
        <v>20.8</v>
      </c>
      <c r="O24">
        <f t="shared" ref="O24:O50" si="14">ROUND(CP24,2)</f>
        <v>85738.44</v>
      </c>
      <c r="P24">
        <f t="shared" ref="P24:P50" si="15">ROUND(CQ24*I24,2)</f>
        <v>0</v>
      </c>
      <c r="Q24">
        <f t="shared" ref="Q24:Q50" si="16">ROUND(CR24*I24,2)</f>
        <v>10711.48</v>
      </c>
      <c r="R24">
        <f t="shared" ref="R24:R50" si="17">ROUND(CS24*I24,2)</f>
        <v>0</v>
      </c>
      <c r="S24">
        <f t="shared" ref="S24:S50" si="18">ROUND(CT24*I24,2)</f>
        <v>75026.960000000006</v>
      </c>
      <c r="T24">
        <f t="shared" ref="T24:T50" si="19">ROUND(CU24*I24,2)</f>
        <v>0</v>
      </c>
      <c r="U24">
        <f t="shared" ref="U24:U50" si="20">CV24*I24</f>
        <v>299.10400000000004</v>
      </c>
      <c r="V24">
        <f t="shared" ref="V24:V50" si="21">CW24*I24</f>
        <v>0</v>
      </c>
      <c r="W24">
        <f t="shared" ref="W24:W50" si="22">ROUND(CX24*I24,2)</f>
        <v>0</v>
      </c>
      <c r="X24">
        <f t="shared" ref="X24:X50" si="23">ROUND(CY24,2)</f>
        <v>77277.77</v>
      </c>
      <c r="Y24">
        <f t="shared" ref="Y24:Y50" si="24">ROUND(CZ24,2)</f>
        <v>44265.91</v>
      </c>
      <c r="AA24">
        <v>145016711</v>
      </c>
      <c r="AB24">
        <f t="shared" ref="AB24:AB50" si="25">ROUND((AC24+AD24+AF24),2)</f>
        <v>153.59</v>
      </c>
      <c r="AC24">
        <f>ROUND((ES24),2)</f>
        <v>0</v>
      </c>
      <c r="AD24">
        <f>ROUND((((ET24)-(EU24))+AE24),2)</f>
        <v>41.43</v>
      </c>
      <c r="AE24">
        <f>ROUND((EU24),2)</f>
        <v>0</v>
      </c>
      <c r="AF24">
        <f>ROUND((EV24),2)</f>
        <v>112.16</v>
      </c>
      <c r="AG24">
        <f t="shared" ref="AG24:AG50" si="26">ROUND((AP24),2)</f>
        <v>0</v>
      </c>
      <c r="AH24">
        <f>(EW24)</f>
        <v>14.38</v>
      </c>
      <c r="AI24">
        <f>(EX24)</f>
        <v>0</v>
      </c>
      <c r="AJ24">
        <f t="shared" ref="AJ24:AJ50" si="27">(AS24)</f>
        <v>0</v>
      </c>
      <c r="AK24">
        <v>153.59</v>
      </c>
      <c r="AL24">
        <v>0</v>
      </c>
      <c r="AM24">
        <v>41.43</v>
      </c>
      <c r="AN24">
        <v>0</v>
      </c>
      <c r="AO24">
        <v>112.16</v>
      </c>
      <c r="AP24">
        <v>0</v>
      </c>
      <c r="AQ24">
        <v>14.38</v>
      </c>
      <c r="AR24">
        <v>0</v>
      </c>
      <c r="AS24">
        <v>0</v>
      </c>
      <c r="AT24">
        <v>103</v>
      </c>
      <c r="AU24">
        <v>59</v>
      </c>
      <c r="AV24">
        <v>1</v>
      </c>
      <c r="AW24">
        <v>1</v>
      </c>
      <c r="AZ24">
        <v>1</v>
      </c>
      <c r="BA24">
        <v>32.159999999999997</v>
      </c>
      <c r="BB24">
        <v>12.43</v>
      </c>
      <c r="BC24">
        <v>8.98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1</v>
      </c>
      <c r="BJ24" t="s">
        <v>19</v>
      </c>
      <c r="BM24">
        <v>46001</v>
      </c>
      <c r="BN24">
        <v>0</v>
      </c>
      <c r="BO24" t="s">
        <v>3</v>
      </c>
      <c r="BP24">
        <v>0</v>
      </c>
      <c r="BQ24">
        <v>2</v>
      </c>
      <c r="BR24">
        <v>0</v>
      </c>
      <c r="BS24">
        <v>32.159999999999997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103</v>
      </c>
      <c r="CA24">
        <v>59</v>
      </c>
      <c r="CB24" t="s">
        <v>3</v>
      </c>
      <c r="CE24">
        <v>0</v>
      </c>
      <c r="CF24">
        <v>0</v>
      </c>
      <c r="CG24">
        <v>0</v>
      </c>
      <c r="CM24">
        <v>0</v>
      </c>
      <c r="CN24" t="s">
        <v>3</v>
      </c>
      <c r="CO24">
        <v>0</v>
      </c>
      <c r="CP24">
        <f t="shared" ref="CP24:CP50" si="28">(P24+Q24+S24)</f>
        <v>85738.44</v>
      </c>
      <c r="CQ24">
        <f t="shared" ref="CQ24:CQ50" si="29">AC24*BC24</f>
        <v>0</v>
      </c>
      <c r="CR24">
        <f>(((ET24)*BB24-(EU24)*BS24)+AE24*BS24)</f>
        <v>514.97489999999993</v>
      </c>
      <c r="CS24">
        <f t="shared" ref="CS24:CS50" si="30">AE24*BS24</f>
        <v>0</v>
      </c>
      <c r="CT24">
        <f t="shared" ref="CT24:CT50" si="31">AF24*BA24</f>
        <v>3607.0655999999994</v>
      </c>
      <c r="CU24">
        <f t="shared" ref="CU24:CU50" si="32">AG24</f>
        <v>0</v>
      </c>
      <c r="CV24">
        <f t="shared" ref="CV24:CV50" si="33">AH24</f>
        <v>14.38</v>
      </c>
      <c r="CW24">
        <f t="shared" ref="CW24:CW50" si="34">AI24</f>
        <v>0</v>
      </c>
      <c r="CX24">
        <f t="shared" ref="CX24:CX50" si="35">AJ24</f>
        <v>0</v>
      </c>
      <c r="CY24">
        <f t="shared" ref="CY24:CY50" si="36">(((S24+R24)*AT24)/100)</f>
        <v>77277.768800000005</v>
      </c>
      <c r="CZ24">
        <f t="shared" ref="CZ24:CZ50" si="37">(((S24+R24)*AU24)/100)</f>
        <v>44265.906400000007</v>
      </c>
      <c r="DC24" t="s">
        <v>3</v>
      </c>
      <c r="DD24" t="s">
        <v>3</v>
      </c>
      <c r="DE24" t="s">
        <v>3</v>
      </c>
      <c r="DF24" t="s">
        <v>3</v>
      </c>
      <c r="DG24" t="s">
        <v>3</v>
      </c>
      <c r="DH24" t="s">
        <v>3</v>
      </c>
      <c r="DI24" t="s">
        <v>3</v>
      </c>
      <c r="DJ24" t="s">
        <v>3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DU24">
        <v>1005</v>
      </c>
      <c r="DV24" t="s">
        <v>18</v>
      </c>
      <c r="DW24" t="s">
        <v>18</v>
      </c>
      <c r="DX24">
        <v>100</v>
      </c>
      <c r="DZ24" t="s">
        <v>3</v>
      </c>
      <c r="EA24" t="s">
        <v>3</v>
      </c>
      <c r="EB24" t="s">
        <v>3</v>
      </c>
      <c r="EC24" t="s">
        <v>3</v>
      </c>
      <c r="EE24">
        <v>140625131</v>
      </c>
      <c r="EF24">
        <v>2</v>
      </c>
      <c r="EG24" t="s">
        <v>20</v>
      </c>
      <c r="EH24">
        <v>40</v>
      </c>
      <c r="EI24" t="s">
        <v>21</v>
      </c>
      <c r="EJ24">
        <v>1</v>
      </c>
      <c r="EK24">
        <v>46001</v>
      </c>
      <c r="EL24" t="s">
        <v>22</v>
      </c>
      <c r="EM24" t="s">
        <v>23</v>
      </c>
      <c r="EO24" t="s">
        <v>3</v>
      </c>
      <c r="EQ24">
        <v>0</v>
      </c>
      <c r="ER24">
        <v>153.59</v>
      </c>
      <c r="ES24">
        <v>0</v>
      </c>
      <c r="ET24">
        <v>41.43</v>
      </c>
      <c r="EU24">
        <v>0</v>
      </c>
      <c r="EV24">
        <v>112.16</v>
      </c>
      <c r="EW24">
        <v>14.38</v>
      </c>
      <c r="EX24">
        <v>0</v>
      </c>
      <c r="EY24">
        <v>0</v>
      </c>
      <c r="FQ24">
        <v>0</v>
      </c>
      <c r="FR24">
        <f t="shared" ref="FR24:FR53" si="38">ROUND(IF(BI24=3,GM24,0),2)</f>
        <v>0</v>
      </c>
      <c r="FS24">
        <v>0</v>
      </c>
      <c r="FX24">
        <v>103</v>
      </c>
      <c r="FY24">
        <v>59</v>
      </c>
      <c r="GA24" t="s">
        <v>3</v>
      </c>
      <c r="GD24">
        <v>1</v>
      </c>
      <c r="GF24">
        <v>1134488748</v>
      </c>
      <c r="GG24">
        <v>2</v>
      </c>
      <c r="GH24">
        <v>1</v>
      </c>
      <c r="GI24">
        <v>4</v>
      </c>
      <c r="GJ24">
        <v>0</v>
      </c>
      <c r="GK24">
        <v>0</v>
      </c>
      <c r="GL24">
        <f t="shared" ref="GL24:GL53" si="39">ROUND(IF(AND(BH24=3,BI24=3,FS24&lt;&gt;0),P24,0),2)</f>
        <v>0</v>
      </c>
      <c r="GM24">
        <f t="shared" ref="GM24:GM50" si="40">ROUND(O24+X24+Y24,2)+GX24</f>
        <v>207282.12</v>
      </c>
      <c r="GN24">
        <f t="shared" ref="GN24:GN50" si="41">IF(OR(BI24=0,BI24=1),ROUND(O24+X24+Y24,2),0)</f>
        <v>207282.12</v>
      </c>
      <c r="GO24">
        <f t="shared" ref="GO24:GO50" si="42">IF(BI24=2,ROUND(O24+X24+Y24,2),0)</f>
        <v>0</v>
      </c>
      <c r="GP24">
        <f t="shared" ref="GP24:GP50" si="43">IF(BI24=4,ROUND(O24+X24+Y24,2)+GX24,0)</f>
        <v>0</v>
      </c>
      <c r="GR24">
        <v>0</v>
      </c>
      <c r="GS24">
        <v>3</v>
      </c>
      <c r="GT24">
        <v>0</v>
      </c>
      <c r="GU24" t="s">
        <v>3</v>
      </c>
      <c r="GV24">
        <f>ROUND((GT24),2)</f>
        <v>0</v>
      </c>
      <c r="GW24">
        <v>1</v>
      </c>
      <c r="GX24">
        <f t="shared" ref="GX24:GX50" si="44">ROUND(HC24*I24,2)</f>
        <v>0</v>
      </c>
      <c r="HA24">
        <v>0</v>
      </c>
      <c r="HB24">
        <v>0</v>
      </c>
      <c r="HC24">
        <f t="shared" ref="HC24:HC50" si="45">GV24*GW24</f>
        <v>0</v>
      </c>
      <c r="HE24" t="s">
        <v>3</v>
      </c>
      <c r="HF24" t="s">
        <v>3</v>
      </c>
      <c r="HM24" t="s">
        <v>3</v>
      </c>
      <c r="HN24" t="s">
        <v>24</v>
      </c>
      <c r="HO24" t="s">
        <v>25</v>
      </c>
      <c r="HP24" t="s">
        <v>22</v>
      </c>
      <c r="HQ24" t="s">
        <v>22</v>
      </c>
      <c r="IK24">
        <v>0</v>
      </c>
    </row>
    <row r="25" spans="1:24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26</v>
      </c>
      <c r="F25" t="s">
        <v>27</v>
      </c>
      <c r="G25" t="s">
        <v>28</v>
      </c>
      <c r="H25" t="s">
        <v>18</v>
      </c>
      <c r="I25">
        <f>ROUND(2080/100,9)</f>
        <v>20.8</v>
      </c>
      <c r="J25">
        <v>0</v>
      </c>
      <c r="K25">
        <f>ROUND(2080/100,9)</f>
        <v>20.8</v>
      </c>
      <c r="O25">
        <f t="shared" si="14"/>
        <v>151638.70000000001</v>
      </c>
      <c r="P25">
        <f t="shared" si="15"/>
        <v>0</v>
      </c>
      <c r="Q25">
        <f t="shared" si="16"/>
        <v>39285.550000000003</v>
      </c>
      <c r="R25">
        <f t="shared" si="17"/>
        <v>11699.55</v>
      </c>
      <c r="S25">
        <f t="shared" si="18"/>
        <v>112353.15</v>
      </c>
      <c r="T25">
        <f t="shared" si="19"/>
        <v>0</v>
      </c>
      <c r="U25">
        <f t="shared" si="20"/>
        <v>404.35200000000003</v>
      </c>
      <c r="V25">
        <f t="shared" si="21"/>
        <v>32.281600000000005</v>
      </c>
      <c r="W25">
        <f t="shared" si="22"/>
        <v>0</v>
      </c>
      <c r="X25">
        <f t="shared" si="23"/>
        <v>135217.44</v>
      </c>
      <c r="Y25">
        <f t="shared" si="24"/>
        <v>70710.039999999994</v>
      </c>
      <c r="AA25">
        <v>145016711</v>
      </c>
      <c r="AB25">
        <f t="shared" si="25"/>
        <v>319.91000000000003</v>
      </c>
      <c r="AC25">
        <f>ROUND(((ES25*0)),2)</f>
        <v>0</v>
      </c>
      <c r="AD25">
        <f>ROUND(((((ET25*0.8))-((EU25*0.8)))+AE25),2)</f>
        <v>151.94999999999999</v>
      </c>
      <c r="AE25">
        <f>ROUND(((EU25*0.8)),2)</f>
        <v>17.489999999999998</v>
      </c>
      <c r="AF25">
        <f>ROUND(((EV25*0.8)),2)</f>
        <v>167.96</v>
      </c>
      <c r="AG25">
        <f t="shared" si="26"/>
        <v>0</v>
      </c>
      <c r="AH25">
        <f>((EW25*0.8))</f>
        <v>19.440000000000001</v>
      </c>
      <c r="AI25">
        <f>((EX25*0.8))</f>
        <v>1.552</v>
      </c>
      <c r="AJ25">
        <f t="shared" si="27"/>
        <v>0</v>
      </c>
      <c r="AK25">
        <v>436.55</v>
      </c>
      <c r="AL25">
        <v>36.67</v>
      </c>
      <c r="AM25">
        <v>189.93</v>
      </c>
      <c r="AN25">
        <v>21.86</v>
      </c>
      <c r="AO25">
        <v>209.95</v>
      </c>
      <c r="AP25">
        <v>0</v>
      </c>
      <c r="AQ25">
        <v>24.3</v>
      </c>
      <c r="AR25">
        <v>1.94</v>
      </c>
      <c r="AS25">
        <v>0</v>
      </c>
      <c r="AT25">
        <v>109</v>
      </c>
      <c r="AU25">
        <v>57</v>
      </c>
      <c r="AV25">
        <v>1</v>
      </c>
      <c r="AW25">
        <v>1</v>
      </c>
      <c r="AZ25">
        <v>1</v>
      </c>
      <c r="BA25">
        <v>32.159999999999997</v>
      </c>
      <c r="BB25">
        <v>12.43</v>
      </c>
      <c r="BC25">
        <v>8.98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29</v>
      </c>
      <c r="BM25">
        <v>12001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v>32.159999999999997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109</v>
      </c>
      <c r="CA25">
        <v>57</v>
      </c>
      <c r="CB25" t="s">
        <v>3</v>
      </c>
      <c r="CE25">
        <v>0</v>
      </c>
      <c r="CF25">
        <v>0</v>
      </c>
      <c r="CG25">
        <v>0</v>
      </c>
      <c r="CM25">
        <v>0</v>
      </c>
      <c r="CN25" t="s">
        <v>30</v>
      </c>
      <c r="CO25">
        <v>0</v>
      </c>
      <c r="CP25">
        <f t="shared" si="28"/>
        <v>151638.70000000001</v>
      </c>
      <c r="CQ25">
        <f t="shared" si="29"/>
        <v>0</v>
      </c>
      <c r="CR25">
        <f>((((ET25*0.8))*BB25-((EU25*0.8))*BS25)+AE25*BS25)</f>
        <v>1888.7282400000004</v>
      </c>
      <c r="CS25">
        <f t="shared" si="30"/>
        <v>562.47839999999985</v>
      </c>
      <c r="CT25">
        <f t="shared" si="31"/>
        <v>5401.5935999999992</v>
      </c>
      <c r="CU25">
        <f t="shared" si="32"/>
        <v>0</v>
      </c>
      <c r="CV25">
        <f t="shared" si="33"/>
        <v>19.440000000000001</v>
      </c>
      <c r="CW25">
        <f t="shared" si="34"/>
        <v>1.552</v>
      </c>
      <c r="CX25">
        <f t="shared" si="35"/>
        <v>0</v>
      </c>
      <c r="CY25">
        <f t="shared" si="36"/>
        <v>135217.443</v>
      </c>
      <c r="CZ25">
        <f t="shared" si="37"/>
        <v>70710.03899999999</v>
      </c>
      <c r="DC25" t="s">
        <v>3</v>
      </c>
      <c r="DD25" t="s">
        <v>31</v>
      </c>
      <c r="DE25" t="s">
        <v>32</v>
      </c>
      <c r="DF25" t="s">
        <v>32</v>
      </c>
      <c r="DG25" t="s">
        <v>32</v>
      </c>
      <c r="DH25" t="s">
        <v>3</v>
      </c>
      <c r="DI25" t="s">
        <v>32</v>
      </c>
      <c r="DJ25" t="s">
        <v>32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18</v>
      </c>
      <c r="DW25" t="s">
        <v>18</v>
      </c>
      <c r="DX25">
        <v>100</v>
      </c>
      <c r="DZ25" t="s">
        <v>3</v>
      </c>
      <c r="EA25" t="s">
        <v>3</v>
      </c>
      <c r="EB25" t="s">
        <v>3</v>
      </c>
      <c r="EC25" t="s">
        <v>3</v>
      </c>
      <c r="EE25">
        <v>140625032</v>
      </c>
      <c r="EF25">
        <v>2</v>
      </c>
      <c r="EG25" t="s">
        <v>20</v>
      </c>
      <c r="EH25">
        <v>12</v>
      </c>
      <c r="EI25" t="s">
        <v>33</v>
      </c>
      <c r="EJ25">
        <v>1</v>
      </c>
      <c r="EK25">
        <v>12001</v>
      </c>
      <c r="EL25" t="s">
        <v>33</v>
      </c>
      <c r="EM25" t="s">
        <v>34</v>
      </c>
      <c r="EO25" t="s">
        <v>35</v>
      </c>
      <c r="EQ25">
        <v>0</v>
      </c>
      <c r="ER25">
        <v>436.55</v>
      </c>
      <c r="ES25">
        <v>36.67</v>
      </c>
      <c r="ET25">
        <v>189.93</v>
      </c>
      <c r="EU25">
        <v>21.86</v>
      </c>
      <c r="EV25">
        <v>209.95</v>
      </c>
      <c r="EW25">
        <v>24.3</v>
      </c>
      <c r="EX25">
        <v>1.94</v>
      </c>
      <c r="EY25">
        <v>0</v>
      </c>
      <c r="FQ25">
        <v>0</v>
      </c>
      <c r="FR25">
        <f t="shared" si="38"/>
        <v>0</v>
      </c>
      <c r="FS25">
        <v>0</v>
      </c>
      <c r="FX25">
        <v>109</v>
      </c>
      <c r="FY25">
        <v>57</v>
      </c>
      <c r="GA25" t="s">
        <v>3</v>
      </c>
      <c r="GD25">
        <v>1</v>
      </c>
      <c r="GF25">
        <v>-1795642130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39"/>
        <v>0</v>
      </c>
      <c r="GM25">
        <f t="shared" si="40"/>
        <v>357566.18</v>
      </c>
      <c r="GN25">
        <f t="shared" si="41"/>
        <v>357566.18</v>
      </c>
      <c r="GO25">
        <f t="shared" si="42"/>
        <v>0</v>
      </c>
      <c r="GP25">
        <f t="shared" si="43"/>
        <v>0</v>
      </c>
      <c r="GR25">
        <v>0</v>
      </c>
      <c r="GS25">
        <v>3</v>
      </c>
      <c r="GT25">
        <v>0</v>
      </c>
      <c r="GU25" t="s">
        <v>3</v>
      </c>
      <c r="GV25">
        <f>ROUND((GT25),2)</f>
        <v>0</v>
      </c>
      <c r="GW25">
        <v>1</v>
      </c>
      <c r="GX25">
        <f t="shared" si="44"/>
        <v>0</v>
      </c>
      <c r="HA25">
        <v>0</v>
      </c>
      <c r="HB25">
        <v>0</v>
      </c>
      <c r="HC25">
        <f t="shared" si="45"/>
        <v>0</v>
      </c>
      <c r="HE25" t="s">
        <v>3</v>
      </c>
      <c r="HF25" t="s">
        <v>3</v>
      </c>
      <c r="HM25" t="s">
        <v>3</v>
      </c>
      <c r="HN25" t="s">
        <v>36</v>
      </c>
      <c r="HO25" t="s">
        <v>37</v>
      </c>
      <c r="HP25" t="s">
        <v>33</v>
      </c>
      <c r="HQ25" t="s">
        <v>33</v>
      </c>
      <c r="IK25">
        <v>0</v>
      </c>
    </row>
    <row r="26" spans="1:245" x14ac:dyDescent="0.2">
      <c r="A26">
        <v>17</v>
      </c>
      <c r="B26">
        <v>1</v>
      </c>
      <c r="C26">
        <f>ROW(SmtRes!A15)</f>
        <v>15</v>
      </c>
      <c r="D26">
        <f>ROW(EtalonRes!A15)</f>
        <v>15</v>
      </c>
      <c r="E26" t="s">
        <v>38</v>
      </c>
      <c r="F26" t="s">
        <v>39</v>
      </c>
      <c r="G26" t="s">
        <v>40</v>
      </c>
      <c r="H26" t="s">
        <v>18</v>
      </c>
      <c r="I26">
        <f>ROUND(I25,9)</f>
        <v>20.8</v>
      </c>
      <c r="J26">
        <v>0</v>
      </c>
      <c r="K26">
        <f>ROUND(I25,9)</f>
        <v>20.8</v>
      </c>
      <c r="O26">
        <f t="shared" si="14"/>
        <v>181083.42</v>
      </c>
      <c r="P26">
        <f t="shared" si="15"/>
        <v>0</v>
      </c>
      <c r="Q26">
        <f t="shared" si="16"/>
        <v>19256.36</v>
      </c>
      <c r="R26">
        <f t="shared" si="17"/>
        <v>6368.19</v>
      </c>
      <c r="S26">
        <f t="shared" si="18"/>
        <v>161827.06</v>
      </c>
      <c r="T26">
        <f t="shared" si="19"/>
        <v>0</v>
      </c>
      <c r="U26">
        <f t="shared" si="20"/>
        <v>582.4</v>
      </c>
      <c r="V26">
        <f t="shared" si="21"/>
        <v>17.472000000000001</v>
      </c>
      <c r="W26">
        <f t="shared" si="22"/>
        <v>0</v>
      </c>
      <c r="X26">
        <f t="shared" si="23"/>
        <v>183332.82</v>
      </c>
      <c r="Y26">
        <f t="shared" si="24"/>
        <v>95871.29</v>
      </c>
      <c r="AA26">
        <v>145016711</v>
      </c>
      <c r="AB26">
        <f t="shared" si="25"/>
        <v>316.39999999999998</v>
      </c>
      <c r="AC26">
        <f>ROUND((((ES26*0)*35)),2)</f>
        <v>0</v>
      </c>
      <c r="AD26">
        <f>ROUND((((((ET26*0.8)*35))-(((EU26*0.8)*35)))+AE26),2)</f>
        <v>74.48</v>
      </c>
      <c r="AE26">
        <f>ROUND((((EU26*0.8)*35)),2)</f>
        <v>9.52</v>
      </c>
      <c r="AF26">
        <f>ROUND((((EV26*0.8)*35)),2)</f>
        <v>241.92</v>
      </c>
      <c r="AG26">
        <f t="shared" si="26"/>
        <v>0</v>
      </c>
      <c r="AH26">
        <f>(((EW26*0.8)*35))</f>
        <v>28</v>
      </c>
      <c r="AI26">
        <f>(((EX26*0.8)*35))</f>
        <v>0.84</v>
      </c>
      <c r="AJ26">
        <f t="shared" si="27"/>
        <v>0</v>
      </c>
      <c r="AK26">
        <v>11.3</v>
      </c>
      <c r="AL26">
        <v>0</v>
      </c>
      <c r="AM26">
        <v>2.66</v>
      </c>
      <c r="AN26">
        <v>0.34</v>
      </c>
      <c r="AO26">
        <v>8.64</v>
      </c>
      <c r="AP26">
        <v>0</v>
      </c>
      <c r="AQ26">
        <v>1</v>
      </c>
      <c r="AR26">
        <v>0.03</v>
      </c>
      <c r="AS26">
        <v>0</v>
      </c>
      <c r="AT26">
        <v>109</v>
      </c>
      <c r="AU26">
        <v>57</v>
      </c>
      <c r="AV26">
        <v>1</v>
      </c>
      <c r="AW26">
        <v>1</v>
      </c>
      <c r="AZ26">
        <v>1</v>
      </c>
      <c r="BA26">
        <v>32.159999999999997</v>
      </c>
      <c r="BB26">
        <v>12.43</v>
      </c>
      <c r="BC26">
        <v>8.98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1</v>
      </c>
      <c r="BJ26" t="s">
        <v>41</v>
      </c>
      <c r="BM26">
        <v>12001</v>
      </c>
      <c r="BN26">
        <v>0</v>
      </c>
      <c r="BO26" t="s">
        <v>3</v>
      </c>
      <c r="BP26">
        <v>0</v>
      </c>
      <c r="BQ26">
        <v>2</v>
      </c>
      <c r="BR26">
        <v>0</v>
      </c>
      <c r="BS26">
        <v>32.159999999999997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109</v>
      </c>
      <c r="CA26">
        <v>57</v>
      </c>
      <c r="CB26" t="s">
        <v>3</v>
      </c>
      <c r="CE26">
        <v>0</v>
      </c>
      <c r="CF26">
        <v>0</v>
      </c>
      <c r="CG26">
        <v>0</v>
      </c>
      <c r="CM26">
        <v>0</v>
      </c>
      <c r="CN26" t="s">
        <v>30</v>
      </c>
      <c r="CO26">
        <v>0</v>
      </c>
      <c r="CP26">
        <f t="shared" si="28"/>
        <v>181083.41999999998</v>
      </c>
      <c r="CQ26">
        <f t="shared" si="29"/>
        <v>0</v>
      </c>
      <c r="CR26">
        <f>(((((ET26*0.8)*35))*BB26-(((EU26*0.8)*35))*BS26)+AE26*BS26)</f>
        <v>925.78639999999996</v>
      </c>
      <c r="CS26">
        <f t="shared" si="30"/>
        <v>306.16319999999996</v>
      </c>
      <c r="CT26">
        <f t="shared" si="31"/>
        <v>7780.1471999999985</v>
      </c>
      <c r="CU26">
        <f t="shared" si="32"/>
        <v>0</v>
      </c>
      <c r="CV26">
        <f t="shared" si="33"/>
        <v>28</v>
      </c>
      <c r="CW26">
        <f t="shared" si="34"/>
        <v>0.84</v>
      </c>
      <c r="CX26">
        <f t="shared" si="35"/>
        <v>0</v>
      </c>
      <c r="CY26">
        <f t="shared" si="36"/>
        <v>183332.82250000001</v>
      </c>
      <c r="CZ26">
        <f t="shared" si="37"/>
        <v>95871.292499999996</v>
      </c>
      <c r="DC26" t="s">
        <v>3</v>
      </c>
      <c r="DD26" t="s">
        <v>42</v>
      </c>
      <c r="DE26" t="s">
        <v>43</v>
      </c>
      <c r="DF26" t="s">
        <v>43</v>
      </c>
      <c r="DG26" t="s">
        <v>43</v>
      </c>
      <c r="DH26" t="s">
        <v>3</v>
      </c>
      <c r="DI26" t="s">
        <v>43</v>
      </c>
      <c r="DJ26" t="s">
        <v>43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1005</v>
      </c>
      <c r="DV26" t="s">
        <v>18</v>
      </c>
      <c r="DW26" t="s">
        <v>18</v>
      </c>
      <c r="DX26">
        <v>100</v>
      </c>
      <c r="DZ26" t="s">
        <v>3</v>
      </c>
      <c r="EA26" t="s">
        <v>3</v>
      </c>
      <c r="EB26" t="s">
        <v>3</v>
      </c>
      <c r="EC26" t="s">
        <v>3</v>
      </c>
      <c r="EE26">
        <v>140625032</v>
      </c>
      <c r="EF26">
        <v>2</v>
      </c>
      <c r="EG26" t="s">
        <v>20</v>
      </c>
      <c r="EH26">
        <v>12</v>
      </c>
      <c r="EI26" t="s">
        <v>33</v>
      </c>
      <c r="EJ26">
        <v>1</v>
      </c>
      <c r="EK26">
        <v>12001</v>
      </c>
      <c r="EL26" t="s">
        <v>33</v>
      </c>
      <c r="EM26" t="s">
        <v>34</v>
      </c>
      <c r="EO26" t="s">
        <v>35</v>
      </c>
      <c r="EQ26">
        <v>0</v>
      </c>
      <c r="ER26">
        <v>11.3</v>
      </c>
      <c r="ES26">
        <v>0</v>
      </c>
      <c r="ET26">
        <v>2.66</v>
      </c>
      <c r="EU26">
        <v>0.34</v>
      </c>
      <c r="EV26">
        <v>8.64</v>
      </c>
      <c r="EW26">
        <v>1</v>
      </c>
      <c r="EX26">
        <v>0.03</v>
      </c>
      <c r="EY26">
        <v>0</v>
      </c>
      <c r="FQ26">
        <v>0</v>
      </c>
      <c r="FR26">
        <f t="shared" si="38"/>
        <v>0</v>
      </c>
      <c r="FS26">
        <v>0</v>
      </c>
      <c r="FX26">
        <v>109</v>
      </c>
      <c r="FY26">
        <v>57</v>
      </c>
      <c r="GA26" t="s">
        <v>3</v>
      </c>
      <c r="GD26">
        <v>1</v>
      </c>
      <c r="GF26">
        <v>-119943367</v>
      </c>
      <c r="GG26">
        <v>2</v>
      </c>
      <c r="GH26">
        <v>1</v>
      </c>
      <c r="GI26">
        <v>4</v>
      </c>
      <c r="GJ26">
        <v>0</v>
      </c>
      <c r="GK26">
        <v>0</v>
      </c>
      <c r="GL26">
        <f t="shared" si="39"/>
        <v>0</v>
      </c>
      <c r="GM26">
        <f t="shared" si="40"/>
        <v>460287.53</v>
      </c>
      <c r="GN26">
        <f t="shared" si="41"/>
        <v>460287.53</v>
      </c>
      <c r="GO26">
        <f t="shared" si="42"/>
        <v>0</v>
      </c>
      <c r="GP26">
        <f t="shared" si="43"/>
        <v>0</v>
      </c>
      <c r="GR26">
        <v>0</v>
      </c>
      <c r="GS26">
        <v>3</v>
      </c>
      <c r="GT26">
        <v>0</v>
      </c>
      <c r="GU26" t="s">
        <v>44</v>
      </c>
      <c r="GV26">
        <f>ROUND(((GT26*35)),2)</f>
        <v>0</v>
      </c>
      <c r="GW26">
        <v>1</v>
      </c>
      <c r="GX26">
        <f t="shared" si="44"/>
        <v>0</v>
      </c>
      <c r="HA26">
        <v>0</v>
      </c>
      <c r="HB26">
        <v>0</v>
      </c>
      <c r="HC26">
        <f t="shared" si="45"/>
        <v>0</v>
      </c>
      <c r="HE26" t="s">
        <v>3</v>
      </c>
      <c r="HF26" t="s">
        <v>3</v>
      </c>
      <c r="HM26" t="s">
        <v>3</v>
      </c>
      <c r="HN26" t="s">
        <v>36</v>
      </c>
      <c r="HO26" t="s">
        <v>37</v>
      </c>
      <c r="HP26" t="s">
        <v>33</v>
      </c>
      <c r="HQ26" t="s">
        <v>33</v>
      </c>
      <c r="IK26">
        <v>0</v>
      </c>
    </row>
    <row r="27" spans="1:245" x14ac:dyDescent="0.2">
      <c r="A27">
        <v>17</v>
      </c>
      <c r="B27">
        <v>1</v>
      </c>
      <c r="C27">
        <f>ROW(SmtRes!A23)</f>
        <v>23</v>
      </c>
      <c r="D27">
        <f>ROW(EtalonRes!A23)</f>
        <v>23</v>
      </c>
      <c r="E27" t="s">
        <v>45</v>
      </c>
      <c r="F27" t="s">
        <v>27</v>
      </c>
      <c r="G27" t="s">
        <v>46</v>
      </c>
      <c r="H27" t="s">
        <v>18</v>
      </c>
      <c r="I27">
        <f>ROUND(2080/100,9)</f>
        <v>20.8</v>
      </c>
      <c r="J27">
        <v>0</v>
      </c>
      <c r="K27">
        <f>ROUND(2080/100,9)</f>
        <v>20.8</v>
      </c>
      <c r="O27">
        <f t="shared" si="14"/>
        <v>229740.27</v>
      </c>
      <c r="P27">
        <f t="shared" si="15"/>
        <v>6849.37</v>
      </c>
      <c r="Q27">
        <f t="shared" si="16"/>
        <v>61384.92</v>
      </c>
      <c r="R27">
        <f t="shared" si="17"/>
        <v>18281.8</v>
      </c>
      <c r="S27">
        <f t="shared" si="18"/>
        <v>161505.98000000001</v>
      </c>
      <c r="T27">
        <f t="shared" si="19"/>
        <v>0</v>
      </c>
      <c r="U27">
        <f t="shared" si="20"/>
        <v>581.25599999999997</v>
      </c>
      <c r="V27">
        <f t="shared" si="21"/>
        <v>50.44</v>
      </c>
      <c r="W27">
        <f t="shared" si="22"/>
        <v>0</v>
      </c>
      <c r="X27">
        <f t="shared" si="23"/>
        <v>195968.68</v>
      </c>
      <c r="Y27">
        <f t="shared" si="24"/>
        <v>87107.18</v>
      </c>
      <c r="AA27">
        <v>145016711</v>
      </c>
      <c r="AB27">
        <f t="shared" si="25"/>
        <v>515.53</v>
      </c>
      <c r="AC27">
        <f>ROUND((ES27),2)</f>
        <v>36.67</v>
      </c>
      <c r="AD27">
        <f>ROUND(((((ET27*1.25))-((EU27*1.25)))+AE27),2)</f>
        <v>237.42</v>
      </c>
      <c r="AE27">
        <f>ROUND(((EU27*1.25)),2)</f>
        <v>27.33</v>
      </c>
      <c r="AF27">
        <f>ROUND(((EV27*1.15)),2)</f>
        <v>241.44</v>
      </c>
      <c r="AG27">
        <f t="shared" si="26"/>
        <v>0</v>
      </c>
      <c r="AH27">
        <f>((EW27*1.15))</f>
        <v>27.945</v>
      </c>
      <c r="AI27">
        <f>((EX27*1.25))</f>
        <v>2.4249999999999998</v>
      </c>
      <c r="AJ27">
        <f t="shared" si="27"/>
        <v>0</v>
      </c>
      <c r="AK27">
        <v>436.55</v>
      </c>
      <c r="AL27">
        <v>36.67</v>
      </c>
      <c r="AM27">
        <v>189.93</v>
      </c>
      <c r="AN27">
        <v>21.86</v>
      </c>
      <c r="AO27">
        <v>209.95</v>
      </c>
      <c r="AP27">
        <v>0</v>
      </c>
      <c r="AQ27">
        <v>24.3</v>
      </c>
      <c r="AR27">
        <v>1.94</v>
      </c>
      <c r="AS27">
        <v>0</v>
      </c>
      <c r="AT27">
        <v>109</v>
      </c>
      <c r="AU27">
        <v>48.45</v>
      </c>
      <c r="AV27">
        <v>1</v>
      </c>
      <c r="AW27">
        <v>1</v>
      </c>
      <c r="AZ27">
        <v>1</v>
      </c>
      <c r="BA27">
        <v>32.159999999999997</v>
      </c>
      <c r="BB27">
        <v>12.43</v>
      </c>
      <c r="BC27">
        <v>8.98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29</v>
      </c>
      <c r="BM27">
        <v>12001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v>32.159999999999997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109</v>
      </c>
      <c r="CA27">
        <v>57</v>
      </c>
      <c r="CB27" t="s">
        <v>3</v>
      </c>
      <c r="CE27">
        <v>0</v>
      </c>
      <c r="CF27">
        <v>0</v>
      </c>
      <c r="CG27">
        <v>0</v>
      </c>
      <c r="CM27">
        <v>0</v>
      </c>
      <c r="CN27" t="s">
        <v>372</v>
      </c>
      <c r="CO27">
        <v>0</v>
      </c>
      <c r="CP27">
        <f t="shared" si="28"/>
        <v>229740.27000000002</v>
      </c>
      <c r="CQ27">
        <f t="shared" si="29"/>
        <v>329.29660000000001</v>
      </c>
      <c r="CR27">
        <f>((((ET27*1.25))*BB27-((EU27*1.25))*BS27)+AE27*BS27)</f>
        <v>2951.1981750000004</v>
      </c>
      <c r="CS27">
        <f t="shared" si="30"/>
        <v>878.93279999999982</v>
      </c>
      <c r="CT27">
        <f t="shared" si="31"/>
        <v>7764.710399999999</v>
      </c>
      <c r="CU27">
        <f t="shared" si="32"/>
        <v>0</v>
      </c>
      <c r="CV27">
        <f t="shared" si="33"/>
        <v>27.945</v>
      </c>
      <c r="CW27">
        <f t="shared" si="34"/>
        <v>2.4249999999999998</v>
      </c>
      <c r="CX27">
        <f t="shared" si="35"/>
        <v>0</v>
      </c>
      <c r="CY27">
        <f t="shared" si="36"/>
        <v>195968.6802</v>
      </c>
      <c r="CZ27">
        <f t="shared" si="37"/>
        <v>87107.179409999997</v>
      </c>
      <c r="DC27" t="s">
        <v>3</v>
      </c>
      <c r="DD27" t="s">
        <v>3</v>
      </c>
      <c r="DE27" t="s">
        <v>47</v>
      </c>
      <c r="DF27" t="s">
        <v>47</v>
      </c>
      <c r="DG27" t="s">
        <v>48</v>
      </c>
      <c r="DH27" t="s">
        <v>3</v>
      </c>
      <c r="DI27" t="s">
        <v>48</v>
      </c>
      <c r="DJ27" t="s">
        <v>47</v>
      </c>
      <c r="DK27" t="s">
        <v>3</v>
      </c>
      <c r="DL27" t="s">
        <v>3</v>
      </c>
      <c r="DM27" t="s">
        <v>49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18</v>
      </c>
      <c r="DW27" t="s">
        <v>18</v>
      </c>
      <c r="DX27">
        <v>100</v>
      </c>
      <c r="DZ27" t="s">
        <v>3</v>
      </c>
      <c r="EA27" t="s">
        <v>3</v>
      </c>
      <c r="EB27" t="s">
        <v>3</v>
      </c>
      <c r="EC27" t="s">
        <v>3</v>
      </c>
      <c r="EE27">
        <v>140625032</v>
      </c>
      <c r="EF27">
        <v>2</v>
      </c>
      <c r="EG27" t="s">
        <v>20</v>
      </c>
      <c r="EH27">
        <v>12</v>
      </c>
      <c r="EI27" t="s">
        <v>33</v>
      </c>
      <c r="EJ27">
        <v>1</v>
      </c>
      <c r="EK27">
        <v>12001</v>
      </c>
      <c r="EL27" t="s">
        <v>33</v>
      </c>
      <c r="EM27" t="s">
        <v>34</v>
      </c>
      <c r="EO27" t="s">
        <v>50</v>
      </c>
      <c r="EQ27">
        <v>0</v>
      </c>
      <c r="ER27">
        <v>436.55</v>
      </c>
      <c r="ES27">
        <v>36.67</v>
      </c>
      <c r="ET27">
        <v>189.93</v>
      </c>
      <c r="EU27">
        <v>21.86</v>
      </c>
      <c r="EV27">
        <v>209.95</v>
      </c>
      <c r="EW27">
        <v>24.3</v>
      </c>
      <c r="EX27">
        <v>1.94</v>
      </c>
      <c r="EY27">
        <v>0</v>
      </c>
      <c r="FQ27">
        <v>0</v>
      </c>
      <c r="FR27">
        <f t="shared" si="38"/>
        <v>0</v>
      </c>
      <c r="FS27">
        <v>0</v>
      </c>
      <c r="FX27">
        <v>109</v>
      </c>
      <c r="FY27">
        <v>48.45</v>
      </c>
      <c r="GA27" t="s">
        <v>3</v>
      </c>
      <c r="GD27">
        <v>1</v>
      </c>
      <c r="GF27">
        <v>118794489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39"/>
        <v>0</v>
      </c>
      <c r="GM27">
        <f t="shared" si="40"/>
        <v>512816.13</v>
      </c>
      <c r="GN27">
        <f t="shared" si="41"/>
        <v>512816.13</v>
      </c>
      <c r="GO27">
        <f t="shared" si="42"/>
        <v>0</v>
      </c>
      <c r="GP27">
        <f t="shared" si="43"/>
        <v>0</v>
      </c>
      <c r="GR27">
        <v>0</v>
      </c>
      <c r="GS27">
        <v>3</v>
      </c>
      <c r="GT27">
        <v>0</v>
      </c>
      <c r="GU27" t="s">
        <v>3</v>
      </c>
      <c r="GV27">
        <f>ROUND((GT27),2)</f>
        <v>0</v>
      </c>
      <c r="GW27">
        <v>1</v>
      </c>
      <c r="GX27">
        <f t="shared" si="44"/>
        <v>0</v>
      </c>
      <c r="HA27">
        <v>0</v>
      </c>
      <c r="HB27">
        <v>0</v>
      </c>
      <c r="HC27">
        <f t="shared" si="45"/>
        <v>0</v>
      </c>
      <c r="HE27" t="s">
        <v>3</v>
      </c>
      <c r="HF27" t="s">
        <v>3</v>
      </c>
      <c r="HM27" t="s">
        <v>3</v>
      </c>
      <c r="HN27" t="s">
        <v>36</v>
      </c>
      <c r="HO27" t="s">
        <v>37</v>
      </c>
      <c r="HP27" t="s">
        <v>33</v>
      </c>
      <c r="HQ27" t="s">
        <v>33</v>
      </c>
      <c r="IK27">
        <v>0</v>
      </c>
    </row>
    <row r="28" spans="1:245" x14ac:dyDescent="0.2">
      <c r="A28">
        <v>17</v>
      </c>
      <c r="B28">
        <v>1</v>
      </c>
      <c r="C28">
        <f>ROW(SmtRes!A28)</f>
        <v>28</v>
      </c>
      <c r="D28">
        <f>ROW(EtalonRes!A28)</f>
        <v>28</v>
      </c>
      <c r="E28" t="s">
        <v>51</v>
      </c>
      <c r="F28" t="s">
        <v>39</v>
      </c>
      <c r="G28" t="s">
        <v>52</v>
      </c>
      <c r="H28" t="s">
        <v>18</v>
      </c>
      <c r="I28">
        <f>ROUND(I27,9)</f>
        <v>20.8</v>
      </c>
      <c r="J28">
        <v>0</v>
      </c>
      <c r="K28">
        <f>ROUND(I27,9)</f>
        <v>20.8</v>
      </c>
      <c r="O28">
        <f t="shared" si="14"/>
        <v>262717.8</v>
      </c>
      <c r="P28">
        <f t="shared" si="15"/>
        <v>0</v>
      </c>
      <c r="Q28">
        <f t="shared" si="16"/>
        <v>30091.4</v>
      </c>
      <c r="R28">
        <f t="shared" si="17"/>
        <v>9953.65</v>
      </c>
      <c r="S28">
        <f t="shared" si="18"/>
        <v>232626.4</v>
      </c>
      <c r="T28">
        <f t="shared" si="19"/>
        <v>0</v>
      </c>
      <c r="U28">
        <f t="shared" si="20"/>
        <v>837.2</v>
      </c>
      <c r="V28">
        <f t="shared" si="21"/>
        <v>27.3</v>
      </c>
      <c r="W28">
        <f t="shared" si="22"/>
        <v>0</v>
      </c>
      <c r="X28">
        <f t="shared" si="23"/>
        <v>264412.25</v>
      </c>
      <c r="Y28">
        <f t="shared" si="24"/>
        <v>117530.03</v>
      </c>
      <c r="AA28">
        <v>145016711</v>
      </c>
      <c r="AB28">
        <f t="shared" si="25"/>
        <v>464.14</v>
      </c>
      <c r="AC28">
        <f>ROUND(((ES28*35)),2)</f>
        <v>0</v>
      </c>
      <c r="AD28">
        <f>ROUND((((((ET28*1.25)*35))-(((EU28*1.25)*35)))+AE28),2)</f>
        <v>116.38</v>
      </c>
      <c r="AE28">
        <f>ROUND((((EU28*1.25)*35)),2)</f>
        <v>14.88</v>
      </c>
      <c r="AF28">
        <f>ROUND((((EV28*1.15)*35)),2)</f>
        <v>347.76</v>
      </c>
      <c r="AG28">
        <f t="shared" si="26"/>
        <v>0</v>
      </c>
      <c r="AH28">
        <f>(((EW28*1.15)*35))</f>
        <v>40.25</v>
      </c>
      <c r="AI28">
        <f>(((EX28*1.25)*35))</f>
        <v>1.3125</v>
      </c>
      <c r="AJ28">
        <f t="shared" si="27"/>
        <v>0</v>
      </c>
      <c r="AK28">
        <v>11.3</v>
      </c>
      <c r="AL28">
        <v>0</v>
      </c>
      <c r="AM28">
        <v>2.66</v>
      </c>
      <c r="AN28">
        <v>0.34</v>
      </c>
      <c r="AO28">
        <v>8.64</v>
      </c>
      <c r="AP28">
        <v>0</v>
      </c>
      <c r="AQ28">
        <v>1</v>
      </c>
      <c r="AR28">
        <v>0.03</v>
      </c>
      <c r="AS28">
        <v>0</v>
      </c>
      <c r="AT28">
        <v>109</v>
      </c>
      <c r="AU28">
        <v>48.45</v>
      </c>
      <c r="AV28">
        <v>1</v>
      </c>
      <c r="AW28">
        <v>1</v>
      </c>
      <c r="AZ28">
        <v>1</v>
      </c>
      <c r="BA28">
        <v>32.159999999999997</v>
      </c>
      <c r="BB28">
        <v>12.43</v>
      </c>
      <c r="BC28">
        <v>8.98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41</v>
      </c>
      <c r="BM28">
        <v>12001</v>
      </c>
      <c r="BN28">
        <v>0</v>
      </c>
      <c r="BO28" t="s">
        <v>3</v>
      </c>
      <c r="BP28">
        <v>0</v>
      </c>
      <c r="BQ28">
        <v>2</v>
      </c>
      <c r="BR28">
        <v>0</v>
      </c>
      <c r="BS28">
        <v>32.159999999999997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109</v>
      </c>
      <c r="CA28">
        <v>57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372</v>
      </c>
      <c r="CO28">
        <v>0</v>
      </c>
      <c r="CP28">
        <f t="shared" si="28"/>
        <v>262717.8</v>
      </c>
      <c r="CQ28">
        <f t="shared" si="29"/>
        <v>0</v>
      </c>
      <c r="CR28">
        <f>(((((ET28*1.25)*35))*BB28-(((EU28*1.25)*35))*BS28)+AE28*BS28)</f>
        <v>1446.7020499999999</v>
      </c>
      <c r="CS28">
        <f t="shared" si="30"/>
        <v>478.54079999999999</v>
      </c>
      <c r="CT28">
        <f t="shared" si="31"/>
        <v>11183.961599999999</v>
      </c>
      <c r="CU28">
        <f t="shared" si="32"/>
        <v>0</v>
      </c>
      <c r="CV28">
        <f t="shared" si="33"/>
        <v>40.25</v>
      </c>
      <c r="CW28">
        <f t="shared" si="34"/>
        <v>1.3125</v>
      </c>
      <c r="CX28">
        <f t="shared" si="35"/>
        <v>0</v>
      </c>
      <c r="CY28">
        <f t="shared" si="36"/>
        <v>264412.25449999998</v>
      </c>
      <c r="CZ28">
        <f t="shared" si="37"/>
        <v>117530.034225</v>
      </c>
      <c r="DC28" t="s">
        <v>3</v>
      </c>
      <c r="DD28" t="s">
        <v>44</v>
      </c>
      <c r="DE28" t="s">
        <v>53</v>
      </c>
      <c r="DF28" t="s">
        <v>53</v>
      </c>
      <c r="DG28" t="s">
        <v>54</v>
      </c>
      <c r="DH28" t="s">
        <v>3</v>
      </c>
      <c r="DI28" t="s">
        <v>54</v>
      </c>
      <c r="DJ28" t="s">
        <v>53</v>
      </c>
      <c r="DK28" t="s">
        <v>3</v>
      </c>
      <c r="DL28" t="s">
        <v>3</v>
      </c>
      <c r="DM28" t="s">
        <v>49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18</v>
      </c>
      <c r="DW28" t="s">
        <v>18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140625032</v>
      </c>
      <c r="EF28">
        <v>2</v>
      </c>
      <c r="EG28" t="s">
        <v>20</v>
      </c>
      <c r="EH28">
        <v>12</v>
      </c>
      <c r="EI28" t="s">
        <v>33</v>
      </c>
      <c r="EJ28">
        <v>1</v>
      </c>
      <c r="EK28">
        <v>12001</v>
      </c>
      <c r="EL28" t="s">
        <v>33</v>
      </c>
      <c r="EM28" t="s">
        <v>34</v>
      </c>
      <c r="EO28" t="s">
        <v>50</v>
      </c>
      <c r="EQ28">
        <v>0</v>
      </c>
      <c r="ER28">
        <v>11.3</v>
      </c>
      <c r="ES28">
        <v>0</v>
      </c>
      <c r="ET28">
        <v>2.66</v>
      </c>
      <c r="EU28">
        <v>0.34</v>
      </c>
      <c r="EV28">
        <v>8.64</v>
      </c>
      <c r="EW28">
        <v>1</v>
      </c>
      <c r="EX28">
        <v>0.03</v>
      </c>
      <c r="EY28">
        <v>0</v>
      </c>
      <c r="FQ28">
        <v>0</v>
      </c>
      <c r="FR28">
        <f t="shared" si="38"/>
        <v>0</v>
      </c>
      <c r="FS28">
        <v>0</v>
      </c>
      <c r="FX28">
        <v>109</v>
      </c>
      <c r="FY28">
        <v>48.45</v>
      </c>
      <c r="GA28" t="s">
        <v>3</v>
      </c>
      <c r="GD28">
        <v>1</v>
      </c>
      <c r="GF28">
        <v>-1693404474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 t="shared" si="39"/>
        <v>0</v>
      </c>
      <c r="GM28">
        <f t="shared" si="40"/>
        <v>644660.07999999996</v>
      </c>
      <c r="GN28">
        <f t="shared" si="41"/>
        <v>644660.07999999996</v>
      </c>
      <c r="GO28">
        <f t="shared" si="42"/>
        <v>0</v>
      </c>
      <c r="GP28">
        <f t="shared" si="43"/>
        <v>0</v>
      </c>
      <c r="GR28">
        <v>0</v>
      </c>
      <c r="GS28">
        <v>3</v>
      </c>
      <c r="GT28">
        <v>0</v>
      </c>
      <c r="GU28" t="s">
        <v>44</v>
      </c>
      <c r="GV28">
        <f>ROUND(((GT28*35)),2)</f>
        <v>0</v>
      </c>
      <c r="GW28">
        <v>1</v>
      </c>
      <c r="GX28">
        <f t="shared" si="44"/>
        <v>0</v>
      </c>
      <c r="HA28">
        <v>0</v>
      </c>
      <c r="HB28">
        <v>0</v>
      </c>
      <c r="HC28">
        <f t="shared" si="45"/>
        <v>0</v>
      </c>
      <c r="HE28" t="s">
        <v>3</v>
      </c>
      <c r="HF28" t="s">
        <v>3</v>
      </c>
      <c r="HM28" t="s">
        <v>3</v>
      </c>
      <c r="HN28" t="s">
        <v>36</v>
      </c>
      <c r="HO28" t="s">
        <v>37</v>
      </c>
      <c r="HP28" t="s">
        <v>33</v>
      </c>
      <c r="HQ28" t="s">
        <v>33</v>
      </c>
      <c r="IK28">
        <v>0</v>
      </c>
    </row>
    <row r="29" spans="1:245" x14ac:dyDescent="0.2">
      <c r="A29">
        <v>17</v>
      </c>
      <c r="B29">
        <v>1</v>
      </c>
      <c r="E29" t="s">
        <v>55</v>
      </c>
      <c r="F29" t="s">
        <v>56</v>
      </c>
      <c r="G29" t="s">
        <v>57</v>
      </c>
      <c r="H29" t="s">
        <v>58</v>
      </c>
      <c r="I29">
        <f>ROUND(ROUND(I27*5.1,2),9)</f>
        <v>106.08</v>
      </c>
      <c r="J29">
        <v>0</v>
      </c>
      <c r="K29">
        <f>ROUND(ROUND(I27*5.1,2),9)</f>
        <v>106.08</v>
      </c>
      <c r="O29">
        <f t="shared" si="14"/>
        <v>530397.26</v>
      </c>
      <c r="P29">
        <f t="shared" si="15"/>
        <v>530397.26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145016711</v>
      </c>
      <c r="AB29">
        <f t="shared" si="25"/>
        <v>556.79</v>
      </c>
      <c r="AC29">
        <f>ROUND((ES29),2)</f>
        <v>556.79</v>
      </c>
      <c r="AD29">
        <f>ROUND((((ET29)-(EU29))+AE29),2)</f>
        <v>0</v>
      </c>
      <c r="AE29">
        <f>ROUND((EU29),2)</f>
        <v>0</v>
      </c>
      <c r="AF29">
        <f>ROUND((EV29),2)</f>
        <v>0</v>
      </c>
      <c r="AG29">
        <f t="shared" si="26"/>
        <v>0</v>
      </c>
      <c r="AH29">
        <f>(EW29)</f>
        <v>0</v>
      </c>
      <c r="AI29">
        <f>(EX29)</f>
        <v>0</v>
      </c>
      <c r="AJ29">
        <f t="shared" si="27"/>
        <v>0</v>
      </c>
      <c r="AK29">
        <v>556.79</v>
      </c>
      <c r="AL29">
        <v>556.79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8.98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1</v>
      </c>
      <c r="BJ29" t="s">
        <v>3</v>
      </c>
      <c r="BM29">
        <v>1100</v>
      </c>
      <c r="BN29">
        <v>0</v>
      </c>
      <c r="BO29" t="s">
        <v>3</v>
      </c>
      <c r="BP29">
        <v>0</v>
      </c>
      <c r="BQ29">
        <v>8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530397.26</v>
      </c>
      <c r="CQ29">
        <f t="shared" si="29"/>
        <v>4999.9741999999997</v>
      </c>
      <c r="CR29">
        <f>(((ET29)*BB29-(EU29)*BS29)+AE29*BS29)</f>
        <v>0</v>
      </c>
      <c r="CS29">
        <f t="shared" si="30"/>
        <v>0</v>
      </c>
      <c r="CT29">
        <f t="shared" si="31"/>
        <v>0</v>
      </c>
      <c r="CU29">
        <f t="shared" si="32"/>
        <v>0</v>
      </c>
      <c r="CV29">
        <f t="shared" si="33"/>
        <v>0</v>
      </c>
      <c r="CW29">
        <f t="shared" si="34"/>
        <v>0</v>
      </c>
      <c r="CX29">
        <f t="shared" si="35"/>
        <v>0</v>
      </c>
      <c r="CY29">
        <f t="shared" si="36"/>
        <v>0</v>
      </c>
      <c r="CZ29">
        <f t="shared" si="37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58</v>
      </c>
      <c r="DW29" t="s">
        <v>58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140625274</v>
      </c>
      <c r="EF29">
        <v>8</v>
      </c>
      <c r="EG29" t="s">
        <v>59</v>
      </c>
      <c r="EH29">
        <v>0</v>
      </c>
      <c r="EI29" t="s">
        <v>3</v>
      </c>
      <c r="EJ29">
        <v>1</v>
      </c>
      <c r="EK29">
        <v>1100</v>
      </c>
      <c r="EL29" t="s">
        <v>60</v>
      </c>
      <c r="EM29" t="s">
        <v>61</v>
      </c>
      <c r="EO29" t="s">
        <v>3</v>
      </c>
      <c r="EQ29">
        <v>0</v>
      </c>
      <c r="ER29">
        <v>556.79</v>
      </c>
      <c r="ES29">
        <v>556.79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5</v>
      </c>
      <c r="FC29">
        <v>1</v>
      </c>
      <c r="FD29">
        <v>18</v>
      </c>
      <c r="FF29">
        <v>6000</v>
      </c>
      <c r="FQ29">
        <v>0</v>
      </c>
      <c r="FR29">
        <f t="shared" si="38"/>
        <v>0</v>
      </c>
      <c r="FS29">
        <v>0</v>
      </c>
      <c r="FX29">
        <v>0</v>
      </c>
      <c r="FY29">
        <v>0</v>
      </c>
      <c r="GA29" t="s">
        <v>62</v>
      </c>
      <c r="GD29">
        <v>1</v>
      </c>
      <c r="GF29">
        <v>114972137</v>
      </c>
      <c r="GG29">
        <v>2</v>
      </c>
      <c r="GH29">
        <v>3</v>
      </c>
      <c r="GI29">
        <v>4</v>
      </c>
      <c r="GJ29">
        <v>0</v>
      </c>
      <c r="GK29">
        <v>0</v>
      </c>
      <c r="GL29">
        <f t="shared" si="39"/>
        <v>0</v>
      </c>
      <c r="GM29">
        <f t="shared" si="40"/>
        <v>530397.26</v>
      </c>
      <c r="GN29">
        <f t="shared" si="41"/>
        <v>530397.26</v>
      </c>
      <c r="GO29">
        <f t="shared" si="42"/>
        <v>0</v>
      </c>
      <c r="GP29">
        <f t="shared" si="43"/>
        <v>0</v>
      </c>
      <c r="GR29">
        <v>1</v>
      </c>
      <c r="GS29">
        <v>1</v>
      </c>
      <c r="GT29">
        <v>0</v>
      </c>
      <c r="GU29" t="s">
        <v>3</v>
      </c>
      <c r="GV29">
        <f t="shared" ref="GV29:GV50" si="46">ROUND((GT29),2)</f>
        <v>0</v>
      </c>
      <c r="GW29">
        <v>1</v>
      </c>
      <c r="GX29">
        <f t="shared" si="44"/>
        <v>0</v>
      </c>
      <c r="HA29">
        <v>0</v>
      </c>
      <c r="HB29">
        <v>0</v>
      </c>
      <c r="HC29">
        <f t="shared" si="45"/>
        <v>0</v>
      </c>
      <c r="HE29" t="s">
        <v>63</v>
      </c>
      <c r="HF29" t="s">
        <v>63</v>
      </c>
      <c r="HM29" t="s">
        <v>3</v>
      </c>
      <c r="HN29" t="s">
        <v>3</v>
      </c>
      <c r="HO29" t="s">
        <v>3</v>
      </c>
      <c r="HP29" t="s">
        <v>3</v>
      </c>
      <c r="HQ29" t="s">
        <v>3</v>
      </c>
      <c r="IK29">
        <v>0</v>
      </c>
    </row>
    <row r="30" spans="1:245" x14ac:dyDescent="0.2">
      <c r="A30">
        <v>17</v>
      </c>
      <c r="B30">
        <v>1</v>
      </c>
      <c r="C30">
        <f>ROW(SmtRes!A34)</f>
        <v>34</v>
      </c>
      <c r="D30">
        <f>ROW(EtalonRes!A34)</f>
        <v>34</v>
      </c>
      <c r="E30" t="s">
        <v>4</v>
      </c>
      <c r="F30" t="s">
        <v>64</v>
      </c>
      <c r="G30" t="s">
        <v>65</v>
      </c>
      <c r="H30" t="s">
        <v>66</v>
      </c>
      <c r="I30">
        <f>ROUND(2080*1.75/1000,9)</f>
        <v>3.64</v>
      </c>
      <c r="J30">
        <v>0</v>
      </c>
      <c r="K30">
        <f>ROUND(2080*1.75/1000,9)</f>
        <v>3.64</v>
      </c>
      <c r="O30">
        <f t="shared" si="14"/>
        <v>24894.68</v>
      </c>
      <c r="P30">
        <f t="shared" si="15"/>
        <v>9335.4599999999991</v>
      </c>
      <c r="Q30">
        <f t="shared" si="16"/>
        <v>1722.44</v>
      </c>
      <c r="R30">
        <f t="shared" si="17"/>
        <v>636.82000000000005</v>
      </c>
      <c r="S30">
        <f t="shared" si="18"/>
        <v>13836.78</v>
      </c>
      <c r="T30">
        <f t="shared" si="19"/>
        <v>0</v>
      </c>
      <c r="U30">
        <f t="shared" si="20"/>
        <v>48.557599999999994</v>
      </c>
      <c r="V30">
        <f t="shared" si="21"/>
        <v>1.5925</v>
      </c>
      <c r="W30">
        <f t="shared" si="22"/>
        <v>0</v>
      </c>
      <c r="X30">
        <f t="shared" si="23"/>
        <v>14763.07</v>
      </c>
      <c r="Y30">
        <f t="shared" si="24"/>
        <v>7135.48</v>
      </c>
      <c r="AA30">
        <v>145016711</v>
      </c>
      <c r="AB30">
        <f t="shared" si="25"/>
        <v>441.87</v>
      </c>
      <c r="AC30">
        <f>ROUND((ES30),2)</f>
        <v>285.60000000000002</v>
      </c>
      <c r="AD30">
        <f>ROUND(((((ET30*1.25))-((EU30*1.25)))+AE30),2)</f>
        <v>38.07</v>
      </c>
      <c r="AE30">
        <f>ROUND(((EU30*1.25)),2)</f>
        <v>5.44</v>
      </c>
      <c r="AF30">
        <f>ROUND(((EV30*1.15)),2)</f>
        <v>118.2</v>
      </c>
      <c r="AG30">
        <f t="shared" si="26"/>
        <v>0</v>
      </c>
      <c r="AH30">
        <f>((EW30*1.15))</f>
        <v>13.339999999999998</v>
      </c>
      <c r="AI30">
        <f>((EX30*1.25))</f>
        <v>0.4375</v>
      </c>
      <c r="AJ30">
        <f t="shared" si="27"/>
        <v>0</v>
      </c>
      <c r="AK30">
        <v>418.83</v>
      </c>
      <c r="AL30">
        <v>285.60000000000002</v>
      </c>
      <c r="AM30">
        <v>30.45</v>
      </c>
      <c r="AN30">
        <v>4.3499999999999996</v>
      </c>
      <c r="AO30">
        <v>102.78</v>
      </c>
      <c r="AP30">
        <v>0</v>
      </c>
      <c r="AQ30">
        <v>11.6</v>
      </c>
      <c r="AR30">
        <v>0.35</v>
      </c>
      <c r="AS30">
        <v>0</v>
      </c>
      <c r="AT30">
        <v>102</v>
      </c>
      <c r="AU30">
        <v>49.3</v>
      </c>
      <c r="AV30">
        <v>1</v>
      </c>
      <c r="AW30">
        <v>1</v>
      </c>
      <c r="AZ30">
        <v>1</v>
      </c>
      <c r="BA30">
        <v>32.159999999999997</v>
      </c>
      <c r="BB30">
        <v>12.43</v>
      </c>
      <c r="BC30">
        <v>8.98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67</v>
      </c>
      <c r="BM30">
        <v>6001</v>
      </c>
      <c r="BN30">
        <v>0</v>
      </c>
      <c r="BO30" t="s">
        <v>3</v>
      </c>
      <c r="BP30">
        <v>0</v>
      </c>
      <c r="BQ30">
        <v>2</v>
      </c>
      <c r="BR30">
        <v>0</v>
      </c>
      <c r="BS30">
        <v>32.159999999999997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102</v>
      </c>
      <c r="CA30">
        <v>58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372</v>
      </c>
      <c r="CO30">
        <v>0</v>
      </c>
      <c r="CP30">
        <f t="shared" si="28"/>
        <v>24894.68</v>
      </c>
      <c r="CQ30">
        <f t="shared" si="29"/>
        <v>2564.6880000000001</v>
      </c>
      <c r="CR30">
        <f>((((ET30*1.25))*BB30-((EU30*1.25))*BS30)+AE30*BS30)</f>
        <v>473.19727500000005</v>
      </c>
      <c r="CS30">
        <f t="shared" si="30"/>
        <v>174.9504</v>
      </c>
      <c r="CT30">
        <f t="shared" si="31"/>
        <v>3801.3119999999999</v>
      </c>
      <c r="CU30">
        <f t="shared" si="32"/>
        <v>0</v>
      </c>
      <c r="CV30">
        <f t="shared" si="33"/>
        <v>13.339999999999998</v>
      </c>
      <c r="CW30">
        <f t="shared" si="34"/>
        <v>0.4375</v>
      </c>
      <c r="CX30">
        <f t="shared" si="35"/>
        <v>0</v>
      </c>
      <c r="CY30">
        <f t="shared" si="36"/>
        <v>14763.072</v>
      </c>
      <c r="CZ30">
        <f t="shared" si="37"/>
        <v>7135.4848000000002</v>
      </c>
      <c r="DC30" t="s">
        <v>3</v>
      </c>
      <c r="DD30" t="s">
        <v>3</v>
      </c>
      <c r="DE30" t="s">
        <v>47</v>
      </c>
      <c r="DF30" t="s">
        <v>47</v>
      </c>
      <c r="DG30" t="s">
        <v>48</v>
      </c>
      <c r="DH30" t="s">
        <v>3</v>
      </c>
      <c r="DI30" t="s">
        <v>48</v>
      </c>
      <c r="DJ30" t="s">
        <v>47</v>
      </c>
      <c r="DK30" t="s">
        <v>3</v>
      </c>
      <c r="DL30" t="s">
        <v>3</v>
      </c>
      <c r="DM30" t="s">
        <v>49</v>
      </c>
      <c r="DN30">
        <v>0</v>
      </c>
      <c r="DO30">
        <v>0</v>
      </c>
      <c r="DP30">
        <v>1</v>
      </c>
      <c r="DQ30">
        <v>1</v>
      </c>
      <c r="DU30">
        <v>1009</v>
      </c>
      <c r="DV30" t="s">
        <v>66</v>
      </c>
      <c r="DW30" t="s">
        <v>66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140625009</v>
      </c>
      <c r="EF30">
        <v>2</v>
      </c>
      <c r="EG30" t="s">
        <v>20</v>
      </c>
      <c r="EH30">
        <v>6</v>
      </c>
      <c r="EI30" t="s">
        <v>68</v>
      </c>
      <c r="EJ30">
        <v>1</v>
      </c>
      <c r="EK30">
        <v>6001</v>
      </c>
      <c r="EL30" t="s">
        <v>68</v>
      </c>
      <c r="EM30" t="s">
        <v>69</v>
      </c>
      <c r="EO30" t="s">
        <v>50</v>
      </c>
      <c r="EQ30">
        <v>0</v>
      </c>
      <c r="ER30">
        <v>418.83</v>
      </c>
      <c r="ES30">
        <v>285.60000000000002</v>
      </c>
      <c r="ET30">
        <v>30.45</v>
      </c>
      <c r="EU30">
        <v>4.3499999999999996</v>
      </c>
      <c r="EV30">
        <v>102.78</v>
      </c>
      <c r="EW30">
        <v>11.6</v>
      </c>
      <c r="EX30">
        <v>0.35</v>
      </c>
      <c r="EY30">
        <v>0</v>
      </c>
      <c r="FQ30">
        <v>0</v>
      </c>
      <c r="FR30">
        <f t="shared" si="38"/>
        <v>0</v>
      </c>
      <c r="FS30">
        <v>0</v>
      </c>
      <c r="FX30">
        <v>102</v>
      </c>
      <c r="FY30">
        <v>49.3</v>
      </c>
      <c r="GA30" t="s">
        <v>3</v>
      </c>
      <c r="GD30">
        <v>1</v>
      </c>
      <c r="GF30">
        <v>-1525062063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39"/>
        <v>0</v>
      </c>
      <c r="GM30">
        <f t="shared" si="40"/>
        <v>46793.23</v>
      </c>
      <c r="GN30">
        <f t="shared" si="41"/>
        <v>46793.23</v>
      </c>
      <c r="GO30">
        <f t="shared" si="42"/>
        <v>0</v>
      </c>
      <c r="GP30">
        <f t="shared" si="43"/>
        <v>0</v>
      </c>
      <c r="GR30">
        <v>0</v>
      </c>
      <c r="GS30">
        <v>3</v>
      </c>
      <c r="GT30">
        <v>0</v>
      </c>
      <c r="GU30" t="s">
        <v>3</v>
      </c>
      <c r="GV30">
        <f t="shared" si="46"/>
        <v>0</v>
      </c>
      <c r="GW30">
        <v>1</v>
      </c>
      <c r="GX30">
        <f t="shared" si="44"/>
        <v>0</v>
      </c>
      <c r="HA30">
        <v>0</v>
      </c>
      <c r="HB30">
        <v>0</v>
      </c>
      <c r="HC30">
        <f t="shared" si="45"/>
        <v>0</v>
      </c>
      <c r="HE30" t="s">
        <v>3</v>
      </c>
      <c r="HF30" t="s">
        <v>3</v>
      </c>
      <c r="HM30" t="s">
        <v>3</v>
      </c>
      <c r="HN30" t="s">
        <v>70</v>
      </c>
      <c r="HO30" t="s">
        <v>71</v>
      </c>
      <c r="HP30" t="s">
        <v>68</v>
      </c>
      <c r="HQ30" t="s">
        <v>68</v>
      </c>
      <c r="IK30">
        <v>0</v>
      </c>
    </row>
    <row r="31" spans="1:245" x14ac:dyDescent="0.2">
      <c r="A31">
        <v>17</v>
      </c>
      <c r="B31">
        <v>1</v>
      </c>
      <c r="E31" t="s">
        <v>72</v>
      </c>
      <c r="F31" t="s">
        <v>56</v>
      </c>
      <c r="G31" t="s">
        <v>73</v>
      </c>
      <c r="H31" t="s">
        <v>74</v>
      </c>
      <c r="I31">
        <f>ROUND(2080*1.05,9)</f>
        <v>2184</v>
      </c>
      <c r="J31">
        <v>0</v>
      </c>
      <c r="K31">
        <f>ROUND(2080*1.05,9)</f>
        <v>2184</v>
      </c>
      <c r="O31">
        <f t="shared" si="14"/>
        <v>253195.05</v>
      </c>
      <c r="P31">
        <f t="shared" si="15"/>
        <v>253195.05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145016711</v>
      </c>
      <c r="AB31">
        <f t="shared" si="25"/>
        <v>12.91</v>
      </c>
      <c r="AC31">
        <f>ROUND((ES31),2)</f>
        <v>12.91</v>
      </c>
      <c r="AD31">
        <f>ROUND((((ET31)-(EU31))+AE31),2)</f>
        <v>0</v>
      </c>
      <c r="AE31">
        <f>ROUND((EU31),2)</f>
        <v>0</v>
      </c>
      <c r="AF31">
        <f>ROUND((EV31),2)</f>
        <v>0</v>
      </c>
      <c r="AG31">
        <f t="shared" si="26"/>
        <v>0</v>
      </c>
      <c r="AH31">
        <f>(EW31)</f>
        <v>0</v>
      </c>
      <c r="AI31">
        <f>(EX31)</f>
        <v>0</v>
      </c>
      <c r="AJ31">
        <f t="shared" si="27"/>
        <v>0</v>
      </c>
      <c r="AK31">
        <v>12.91</v>
      </c>
      <c r="AL31">
        <v>12.91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8.98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</v>
      </c>
      <c r="BM31">
        <v>1100</v>
      </c>
      <c r="BN31">
        <v>0</v>
      </c>
      <c r="BO31" t="s">
        <v>3</v>
      </c>
      <c r="BP31">
        <v>0</v>
      </c>
      <c r="BQ31">
        <v>8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253195.05</v>
      </c>
      <c r="CQ31">
        <f t="shared" si="29"/>
        <v>115.93180000000001</v>
      </c>
      <c r="CR31">
        <f>(((ET31)*BB31-(EU31)*BS31)+AE31*BS31)</f>
        <v>0</v>
      </c>
      <c r="CS31">
        <f t="shared" si="30"/>
        <v>0</v>
      </c>
      <c r="CT31">
        <f t="shared" si="31"/>
        <v>0</v>
      </c>
      <c r="CU31">
        <f t="shared" si="32"/>
        <v>0</v>
      </c>
      <c r="CV31">
        <f t="shared" si="33"/>
        <v>0</v>
      </c>
      <c r="CW31">
        <f t="shared" si="34"/>
        <v>0</v>
      </c>
      <c r="CX31">
        <f t="shared" si="35"/>
        <v>0</v>
      </c>
      <c r="CY31">
        <f t="shared" si="36"/>
        <v>0</v>
      </c>
      <c r="CZ31">
        <f t="shared" si="37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74</v>
      </c>
      <c r="DW31" t="s">
        <v>74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140625274</v>
      </c>
      <c r="EF31">
        <v>8</v>
      </c>
      <c r="EG31" t="s">
        <v>59</v>
      </c>
      <c r="EH31">
        <v>0</v>
      </c>
      <c r="EI31" t="s">
        <v>3</v>
      </c>
      <c r="EJ31">
        <v>1</v>
      </c>
      <c r="EK31">
        <v>1100</v>
      </c>
      <c r="EL31" t="s">
        <v>60</v>
      </c>
      <c r="EM31" t="s">
        <v>61</v>
      </c>
      <c r="EO31" t="s">
        <v>3</v>
      </c>
      <c r="EQ31">
        <v>0</v>
      </c>
      <c r="ER31">
        <v>12.91</v>
      </c>
      <c r="ES31">
        <v>12.91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5</v>
      </c>
      <c r="FC31">
        <v>1</v>
      </c>
      <c r="FD31">
        <v>18</v>
      </c>
      <c r="FF31">
        <v>130</v>
      </c>
      <c r="FQ31">
        <v>0</v>
      </c>
      <c r="FR31">
        <f t="shared" si="38"/>
        <v>0</v>
      </c>
      <c r="FS31">
        <v>0</v>
      </c>
      <c r="FX31">
        <v>0</v>
      </c>
      <c r="FY31">
        <v>0</v>
      </c>
      <c r="GA31" t="s">
        <v>75</v>
      </c>
      <c r="GD31">
        <v>1</v>
      </c>
      <c r="GF31">
        <v>1506252154</v>
      </c>
      <c r="GG31">
        <v>2</v>
      </c>
      <c r="GH31">
        <v>3</v>
      </c>
      <c r="GI31">
        <v>4</v>
      </c>
      <c r="GJ31">
        <v>0</v>
      </c>
      <c r="GK31">
        <v>0</v>
      </c>
      <c r="GL31">
        <f t="shared" si="39"/>
        <v>0</v>
      </c>
      <c r="GM31">
        <f t="shared" si="40"/>
        <v>253195.05</v>
      </c>
      <c r="GN31">
        <f t="shared" si="41"/>
        <v>253195.05</v>
      </c>
      <c r="GO31">
        <f t="shared" si="42"/>
        <v>0</v>
      </c>
      <c r="GP31">
        <f t="shared" si="43"/>
        <v>0</v>
      </c>
      <c r="GR31">
        <v>1</v>
      </c>
      <c r="GS31">
        <v>1</v>
      </c>
      <c r="GT31">
        <v>0</v>
      </c>
      <c r="GU31" t="s">
        <v>3</v>
      </c>
      <c r="GV31">
        <f t="shared" si="46"/>
        <v>0</v>
      </c>
      <c r="GW31">
        <v>1</v>
      </c>
      <c r="GX31">
        <f t="shared" si="44"/>
        <v>0</v>
      </c>
      <c r="HA31">
        <v>0</v>
      </c>
      <c r="HB31">
        <v>0</v>
      </c>
      <c r="HC31">
        <f t="shared" si="45"/>
        <v>0</v>
      </c>
      <c r="HE31" t="s">
        <v>51</v>
      </c>
      <c r="HF31" t="s">
        <v>26</v>
      </c>
      <c r="HM31" t="s">
        <v>3</v>
      </c>
      <c r="HN31" t="s">
        <v>3</v>
      </c>
      <c r="HO31" t="s">
        <v>3</v>
      </c>
      <c r="HP31" t="s">
        <v>3</v>
      </c>
      <c r="HQ31" t="s">
        <v>3</v>
      </c>
      <c r="IK31">
        <v>0</v>
      </c>
    </row>
    <row r="32" spans="1:245" x14ac:dyDescent="0.2">
      <c r="A32">
        <v>17</v>
      </c>
      <c r="B32">
        <v>1</v>
      </c>
      <c r="C32">
        <f>ROW(SmtRes!A37)</f>
        <v>37</v>
      </c>
      <c r="D32">
        <f>ROW(EtalonRes!A37)</f>
        <v>37</v>
      </c>
      <c r="E32" t="s">
        <v>76</v>
      </c>
      <c r="F32" t="s">
        <v>77</v>
      </c>
      <c r="G32" t="s">
        <v>78</v>
      </c>
      <c r="H32" t="s">
        <v>79</v>
      </c>
      <c r="I32">
        <f>ROUND(535/100,9)</f>
        <v>5.35</v>
      </c>
      <c r="J32">
        <v>0</v>
      </c>
      <c r="K32">
        <f>ROUND(535/100,9)</f>
        <v>5.35</v>
      </c>
      <c r="O32">
        <f t="shared" si="14"/>
        <v>2581.09</v>
      </c>
      <c r="P32">
        <f t="shared" si="15"/>
        <v>1237.1099999999999</v>
      </c>
      <c r="Q32">
        <f t="shared" si="16"/>
        <v>1343.98</v>
      </c>
      <c r="R32">
        <f t="shared" si="17"/>
        <v>464.55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1.07</v>
      </c>
      <c r="W32">
        <f t="shared" si="22"/>
        <v>0</v>
      </c>
      <c r="X32">
        <f t="shared" si="23"/>
        <v>418.1</v>
      </c>
      <c r="Y32">
        <f t="shared" si="24"/>
        <v>213.69</v>
      </c>
      <c r="AA32">
        <v>145016711</v>
      </c>
      <c r="AB32">
        <f t="shared" si="25"/>
        <v>45.96</v>
      </c>
      <c r="AC32">
        <f>ROUND((ES32),2)</f>
        <v>25.75</v>
      </c>
      <c r="AD32">
        <f>ROUND((((ET32)-(EU32))+AE32),2)</f>
        <v>20.21</v>
      </c>
      <c r="AE32">
        <f>ROUND((EU32),2)</f>
        <v>2.7</v>
      </c>
      <c r="AF32">
        <f>ROUND((EV32),2)</f>
        <v>0</v>
      </c>
      <c r="AG32">
        <f t="shared" si="26"/>
        <v>0</v>
      </c>
      <c r="AH32">
        <f>(EW32)</f>
        <v>0</v>
      </c>
      <c r="AI32">
        <f>(EX32)</f>
        <v>0.2</v>
      </c>
      <c r="AJ32">
        <f t="shared" si="27"/>
        <v>0</v>
      </c>
      <c r="AK32">
        <v>45.96</v>
      </c>
      <c r="AL32">
        <v>25.75</v>
      </c>
      <c r="AM32">
        <v>20.21</v>
      </c>
      <c r="AN32">
        <v>2.7</v>
      </c>
      <c r="AO32">
        <v>0</v>
      </c>
      <c r="AP32">
        <v>0</v>
      </c>
      <c r="AQ32">
        <v>0</v>
      </c>
      <c r="AR32">
        <v>0.2</v>
      </c>
      <c r="AS32">
        <v>0</v>
      </c>
      <c r="AT32">
        <v>90</v>
      </c>
      <c r="AU32">
        <v>46</v>
      </c>
      <c r="AV32">
        <v>1</v>
      </c>
      <c r="AW32">
        <v>1</v>
      </c>
      <c r="AZ32">
        <v>1</v>
      </c>
      <c r="BA32">
        <v>32.159999999999997</v>
      </c>
      <c r="BB32">
        <v>12.43</v>
      </c>
      <c r="BC32">
        <v>8.98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80</v>
      </c>
      <c r="BM32">
        <v>58001</v>
      </c>
      <c r="BN32">
        <v>0</v>
      </c>
      <c r="BO32" t="s">
        <v>3</v>
      </c>
      <c r="BP32">
        <v>0</v>
      </c>
      <c r="BQ32">
        <v>6</v>
      </c>
      <c r="BR32">
        <v>0</v>
      </c>
      <c r="BS32">
        <v>32.159999999999997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90</v>
      </c>
      <c r="CA32">
        <v>46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28"/>
        <v>2581.09</v>
      </c>
      <c r="CQ32">
        <f t="shared" si="29"/>
        <v>231.23500000000001</v>
      </c>
      <c r="CR32">
        <f>(((ET32)*BB32-(EU32)*BS32)+AE32*BS32)</f>
        <v>251.21030000000002</v>
      </c>
      <c r="CS32">
        <f t="shared" si="30"/>
        <v>86.831999999999994</v>
      </c>
      <c r="CT32">
        <f t="shared" si="31"/>
        <v>0</v>
      </c>
      <c r="CU32">
        <f t="shared" si="32"/>
        <v>0</v>
      </c>
      <c r="CV32">
        <f t="shared" si="33"/>
        <v>0</v>
      </c>
      <c r="CW32">
        <f t="shared" si="34"/>
        <v>0.2</v>
      </c>
      <c r="CX32">
        <f t="shared" si="35"/>
        <v>0</v>
      </c>
      <c r="CY32">
        <f t="shared" si="36"/>
        <v>418.09500000000003</v>
      </c>
      <c r="CZ32">
        <f t="shared" si="37"/>
        <v>213.69299999999998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1003</v>
      </c>
      <c r="DV32" t="s">
        <v>79</v>
      </c>
      <c r="DW32" t="s">
        <v>79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140625154</v>
      </c>
      <c r="EF32">
        <v>6</v>
      </c>
      <c r="EG32" t="s">
        <v>81</v>
      </c>
      <c r="EH32">
        <v>92</v>
      </c>
      <c r="EI32" t="s">
        <v>82</v>
      </c>
      <c r="EJ32">
        <v>1</v>
      </c>
      <c r="EK32">
        <v>58001</v>
      </c>
      <c r="EL32" t="s">
        <v>82</v>
      </c>
      <c r="EM32" t="s">
        <v>83</v>
      </c>
      <c r="EO32" t="s">
        <v>3</v>
      </c>
      <c r="EQ32">
        <v>0</v>
      </c>
      <c r="ER32">
        <v>45.96</v>
      </c>
      <c r="ES32">
        <v>25.75</v>
      </c>
      <c r="ET32">
        <v>20.21</v>
      </c>
      <c r="EU32">
        <v>2.7</v>
      </c>
      <c r="EV32">
        <v>0</v>
      </c>
      <c r="EW32">
        <v>0</v>
      </c>
      <c r="EX32">
        <v>0.2</v>
      </c>
      <c r="EY32">
        <v>0</v>
      </c>
      <c r="FQ32">
        <v>0</v>
      </c>
      <c r="FR32">
        <f t="shared" si="38"/>
        <v>0</v>
      </c>
      <c r="FS32">
        <v>0</v>
      </c>
      <c r="FX32">
        <v>90</v>
      </c>
      <c r="FY32">
        <v>46</v>
      </c>
      <c r="GA32" t="s">
        <v>3</v>
      </c>
      <c r="GD32">
        <v>1</v>
      </c>
      <c r="GF32">
        <v>-636839222</v>
      </c>
      <c r="GG32">
        <v>2</v>
      </c>
      <c r="GH32">
        <v>1</v>
      </c>
      <c r="GI32">
        <v>4</v>
      </c>
      <c r="GJ32">
        <v>0</v>
      </c>
      <c r="GK32">
        <v>0</v>
      </c>
      <c r="GL32">
        <f t="shared" si="39"/>
        <v>0</v>
      </c>
      <c r="GM32">
        <f t="shared" si="40"/>
        <v>3212.88</v>
      </c>
      <c r="GN32">
        <f t="shared" si="41"/>
        <v>3212.88</v>
      </c>
      <c r="GO32">
        <f t="shared" si="42"/>
        <v>0</v>
      </c>
      <c r="GP32">
        <f t="shared" si="43"/>
        <v>0</v>
      </c>
      <c r="GR32">
        <v>0</v>
      </c>
      <c r="GS32">
        <v>3</v>
      </c>
      <c r="GT32">
        <v>0</v>
      </c>
      <c r="GU32" t="s">
        <v>3</v>
      </c>
      <c r="GV32">
        <f t="shared" si="46"/>
        <v>0</v>
      </c>
      <c r="GW32">
        <v>1</v>
      </c>
      <c r="GX32">
        <f t="shared" si="44"/>
        <v>0</v>
      </c>
      <c r="HA32">
        <v>0</v>
      </c>
      <c r="HB32">
        <v>0</v>
      </c>
      <c r="HC32">
        <f t="shared" si="45"/>
        <v>0</v>
      </c>
      <c r="HE32" t="s">
        <v>3</v>
      </c>
      <c r="HF32" t="s">
        <v>3</v>
      </c>
      <c r="HM32" t="s">
        <v>3</v>
      </c>
      <c r="HN32" t="s">
        <v>84</v>
      </c>
      <c r="HO32" t="s">
        <v>85</v>
      </c>
      <c r="HP32" t="s">
        <v>86</v>
      </c>
      <c r="HQ32" t="s">
        <v>86</v>
      </c>
      <c r="IK32">
        <v>0</v>
      </c>
    </row>
    <row r="33" spans="1:245" x14ac:dyDescent="0.2">
      <c r="A33">
        <v>17</v>
      </c>
      <c r="B33">
        <v>1</v>
      </c>
      <c r="C33">
        <f>ROW(SmtRes!A46)</f>
        <v>46</v>
      </c>
      <c r="D33">
        <f>ROW(EtalonRes!A46)</f>
        <v>46</v>
      </c>
      <c r="E33" t="s">
        <v>87</v>
      </c>
      <c r="F33" t="s">
        <v>88</v>
      </c>
      <c r="G33" t="s">
        <v>89</v>
      </c>
      <c r="H33" t="s">
        <v>79</v>
      </c>
      <c r="I33">
        <f>ROUND(535/100,9)</f>
        <v>5.35</v>
      </c>
      <c r="J33">
        <v>0</v>
      </c>
      <c r="K33">
        <f>ROUND(535/100,9)</f>
        <v>5.35</v>
      </c>
      <c r="O33">
        <f t="shared" si="14"/>
        <v>139234.42000000001</v>
      </c>
      <c r="P33">
        <f t="shared" si="15"/>
        <v>0</v>
      </c>
      <c r="Q33">
        <f t="shared" si="16"/>
        <v>27293.07</v>
      </c>
      <c r="R33">
        <f t="shared" si="17"/>
        <v>1039.22</v>
      </c>
      <c r="S33">
        <f t="shared" si="18"/>
        <v>111941.35</v>
      </c>
      <c r="T33">
        <f t="shared" si="19"/>
        <v>0</v>
      </c>
      <c r="U33">
        <f t="shared" si="20"/>
        <v>402.86569999999995</v>
      </c>
      <c r="V33">
        <f t="shared" si="21"/>
        <v>2.6081250000000002</v>
      </c>
      <c r="W33">
        <f t="shared" si="22"/>
        <v>0</v>
      </c>
      <c r="X33">
        <f t="shared" si="23"/>
        <v>115240.18</v>
      </c>
      <c r="Y33">
        <f t="shared" si="24"/>
        <v>55699.42</v>
      </c>
      <c r="AA33">
        <v>145016711</v>
      </c>
      <c r="AB33">
        <f t="shared" si="25"/>
        <v>1061.03</v>
      </c>
      <c r="AC33">
        <f>ROUND(((ES33*0)),2)</f>
        <v>0</v>
      </c>
      <c r="AD33">
        <f>ROUND(((((ET33*1.25))-((EU33*1.25)))+AE33),2)</f>
        <v>410.42</v>
      </c>
      <c r="AE33">
        <f>ROUND(((EU33*1.25)),2)</f>
        <v>6.04</v>
      </c>
      <c r="AF33">
        <f>ROUND(((EV33*1.15)),2)</f>
        <v>650.61</v>
      </c>
      <c r="AG33">
        <f t="shared" si="26"/>
        <v>0</v>
      </c>
      <c r="AH33">
        <f>((EW33*1.15))</f>
        <v>75.301999999999992</v>
      </c>
      <c r="AI33">
        <f>((EX33*1.25))</f>
        <v>0.48750000000000004</v>
      </c>
      <c r="AJ33">
        <f t="shared" si="27"/>
        <v>0</v>
      </c>
      <c r="AK33">
        <v>2419.96</v>
      </c>
      <c r="AL33">
        <v>1525.88</v>
      </c>
      <c r="AM33">
        <v>328.33</v>
      </c>
      <c r="AN33">
        <v>4.83</v>
      </c>
      <c r="AO33">
        <v>565.75</v>
      </c>
      <c r="AP33">
        <v>0</v>
      </c>
      <c r="AQ33">
        <v>65.48</v>
      </c>
      <c r="AR33">
        <v>0.39</v>
      </c>
      <c r="AS33">
        <v>0</v>
      </c>
      <c r="AT33">
        <v>102</v>
      </c>
      <c r="AU33">
        <v>49.3</v>
      </c>
      <c r="AV33">
        <v>1</v>
      </c>
      <c r="AW33">
        <v>1</v>
      </c>
      <c r="AZ33">
        <v>1</v>
      </c>
      <c r="BA33">
        <v>32.159999999999997</v>
      </c>
      <c r="BB33">
        <v>12.43</v>
      </c>
      <c r="BC33">
        <v>8.98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90</v>
      </c>
      <c r="BM33">
        <v>6001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32.159999999999997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102</v>
      </c>
      <c r="CA33">
        <v>58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372</v>
      </c>
      <c r="CO33">
        <v>0</v>
      </c>
      <c r="CP33">
        <f t="shared" si="28"/>
        <v>139234.42000000001</v>
      </c>
      <c r="CQ33">
        <f t="shared" si="29"/>
        <v>0</v>
      </c>
      <c r="CR33">
        <f>((((ET33*1.25))*BB33-((EU33*1.25))*BS33)+AE33*BS33)</f>
        <v>5101.5077749999991</v>
      </c>
      <c r="CS33">
        <f t="shared" si="30"/>
        <v>194.24639999999999</v>
      </c>
      <c r="CT33">
        <f t="shared" si="31"/>
        <v>20923.617599999998</v>
      </c>
      <c r="CU33">
        <f t="shared" si="32"/>
        <v>0</v>
      </c>
      <c r="CV33">
        <f t="shared" si="33"/>
        <v>75.301999999999992</v>
      </c>
      <c r="CW33">
        <f t="shared" si="34"/>
        <v>0.48750000000000004</v>
      </c>
      <c r="CX33">
        <f t="shared" si="35"/>
        <v>0</v>
      </c>
      <c r="CY33">
        <f t="shared" si="36"/>
        <v>115240.1814</v>
      </c>
      <c r="CZ33">
        <f t="shared" si="37"/>
        <v>55699.421009999998</v>
      </c>
      <c r="DC33" t="s">
        <v>3</v>
      </c>
      <c r="DD33" t="s">
        <v>91</v>
      </c>
      <c r="DE33" t="s">
        <v>47</v>
      </c>
      <c r="DF33" t="s">
        <v>47</v>
      </c>
      <c r="DG33" t="s">
        <v>48</v>
      </c>
      <c r="DH33" t="s">
        <v>3</v>
      </c>
      <c r="DI33" t="s">
        <v>48</v>
      </c>
      <c r="DJ33" t="s">
        <v>47</v>
      </c>
      <c r="DK33" t="s">
        <v>3</v>
      </c>
      <c r="DL33" t="s">
        <v>3</v>
      </c>
      <c r="DM33" t="s">
        <v>49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79</v>
      </c>
      <c r="DW33" t="s">
        <v>79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140625009</v>
      </c>
      <c r="EF33">
        <v>2</v>
      </c>
      <c r="EG33" t="s">
        <v>20</v>
      </c>
      <c r="EH33">
        <v>6</v>
      </c>
      <c r="EI33" t="s">
        <v>68</v>
      </c>
      <c r="EJ33">
        <v>1</v>
      </c>
      <c r="EK33">
        <v>6001</v>
      </c>
      <c r="EL33" t="s">
        <v>68</v>
      </c>
      <c r="EM33" t="s">
        <v>69</v>
      </c>
      <c r="EO33" t="s">
        <v>50</v>
      </c>
      <c r="EQ33">
        <v>0</v>
      </c>
      <c r="ER33">
        <v>2419.96</v>
      </c>
      <c r="ES33">
        <v>1525.88</v>
      </c>
      <c r="ET33">
        <v>328.33</v>
      </c>
      <c r="EU33">
        <v>4.83</v>
      </c>
      <c r="EV33">
        <v>565.75</v>
      </c>
      <c r="EW33">
        <v>65.48</v>
      </c>
      <c r="EX33">
        <v>0.39</v>
      </c>
      <c r="EY33">
        <v>0</v>
      </c>
      <c r="FQ33">
        <v>0</v>
      </c>
      <c r="FR33">
        <f t="shared" si="38"/>
        <v>0</v>
      </c>
      <c r="FS33">
        <v>0</v>
      </c>
      <c r="FX33">
        <v>102</v>
      </c>
      <c r="FY33">
        <v>49.3</v>
      </c>
      <c r="GA33" t="s">
        <v>3</v>
      </c>
      <c r="GD33">
        <v>1</v>
      </c>
      <c r="GF33">
        <v>-485745605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39"/>
        <v>0</v>
      </c>
      <c r="GM33">
        <f t="shared" si="40"/>
        <v>310174.02</v>
      </c>
      <c r="GN33">
        <f t="shared" si="41"/>
        <v>310174.02</v>
      </c>
      <c r="GO33">
        <f t="shared" si="42"/>
        <v>0</v>
      </c>
      <c r="GP33">
        <f t="shared" si="43"/>
        <v>0</v>
      </c>
      <c r="GR33">
        <v>0</v>
      </c>
      <c r="GS33">
        <v>3</v>
      </c>
      <c r="GT33">
        <v>0</v>
      </c>
      <c r="GU33" t="s">
        <v>3</v>
      </c>
      <c r="GV33">
        <f t="shared" si="46"/>
        <v>0</v>
      </c>
      <c r="GW33">
        <v>1</v>
      </c>
      <c r="GX33">
        <f t="shared" si="44"/>
        <v>0</v>
      </c>
      <c r="HA33">
        <v>0</v>
      </c>
      <c r="HB33">
        <v>0</v>
      </c>
      <c r="HC33">
        <f t="shared" si="45"/>
        <v>0</v>
      </c>
      <c r="HE33" t="s">
        <v>3</v>
      </c>
      <c r="HF33" t="s">
        <v>3</v>
      </c>
      <c r="HM33" t="s">
        <v>3</v>
      </c>
      <c r="HN33" t="s">
        <v>70</v>
      </c>
      <c r="HO33" t="s">
        <v>71</v>
      </c>
      <c r="HP33" t="s">
        <v>68</v>
      </c>
      <c r="HQ33" t="s">
        <v>68</v>
      </c>
      <c r="IK33">
        <v>0</v>
      </c>
    </row>
    <row r="34" spans="1:245" x14ac:dyDescent="0.2">
      <c r="A34">
        <v>17</v>
      </c>
      <c r="B34">
        <v>1</v>
      </c>
      <c r="E34" t="s">
        <v>92</v>
      </c>
      <c r="F34" t="s">
        <v>56</v>
      </c>
      <c r="G34" t="s">
        <v>93</v>
      </c>
      <c r="H34" t="s">
        <v>94</v>
      </c>
      <c r="I34">
        <f>ROUND(I33*8,9)</f>
        <v>42.8</v>
      </c>
      <c r="J34">
        <v>0</v>
      </c>
      <c r="K34">
        <f>ROUND(I33*8,9)</f>
        <v>42.8</v>
      </c>
      <c r="O34">
        <f t="shared" si="14"/>
        <v>9047.4599999999991</v>
      </c>
      <c r="P34">
        <f t="shared" si="15"/>
        <v>9047.4599999999991</v>
      </c>
      <c r="Q34">
        <f t="shared" si="16"/>
        <v>0</v>
      </c>
      <c r="R34">
        <f t="shared" si="17"/>
        <v>0</v>
      </c>
      <c r="S34">
        <f t="shared" si="18"/>
        <v>0</v>
      </c>
      <c r="T34">
        <f t="shared" si="19"/>
        <v>0</v>
      </c>
      <c r="U34">
        <f t="shared" si="20"/>
        <v>0</v>
      </c>
      <c r="V34">
        <f t="shared" si="21"/>
        <v>0</v>
      </c>
      <c r="W34">
        <f t="shared" si="22"/>
        <v>0</v>
      </c>
      <c r="X34">
        <f t="shared" si="23"/>
        <v>0</v>
      </c>
      <c r="Y34">
        <f t="shared" si="24"/>
        <v>0</v>
      </c>
      <c r="AA34">
        <v>145016711</v>
      </c>
      <c r="AB34">
        <f t="shared" si="25"/>
        <v>23.54</v>
      </c>
      <c r="AC34">
        <f t="shared" ref="AC34:AC50" si="47">ROUND((ES34),2)</f>
        <v>23.54</v>
      </c>
      <c r="AD34">
        <f>ROUND((((ET34)-(EU34))+AE34),2)</f>
        <v>0</v>
      </c>
      <c r="AE34">
        <f>ROUND((EU34),2)</f>
        <v>0</v>
      </c>
      <c r="AF34">
        <f>ROUND((EV34),2)</f>
        <v>0</v>
      </c>
      <c r="AG34">
        <f t="shared" si="26"/>
        <v>0</v>
      </c>
      <c r="AH34">
        <f>(EW34)</f>
        <v>0</v>
      </c>
      <c r="AI34">
        <f>(EX34)</f>
        <v>0</v>
      </c>
      <c r="AJ34">
        <f t="shared" si="27"/>
        <v>0</v>
      </c>
      <c r="AK34">
        <v>23.540000000000003</v>
      </c>
      <c r="AL34">
        <v>23.540000000000003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8.98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1</v>
      </c>
      <c r="BJ34" t="s">
        <v>3</v>
      </c>
      <c r="BM34">
        <v>1100</v>
      </c>
      <c r="BN34">
        <v>0</v>
      </c>
      <c r="BO34" t="s">
        <v>3</v>
      </c>
      <c r="BP34">
        <v>0</v>
      </c>
      <c r="BQ34">
        <v>8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28"/>
        <v>9047.4599999999991</v>
      </c>
      <c r="CQ34">
        <f t="shared" si="29"/>
        <v>211.38919999999999</v>
      </c>
      <c r="CR34">
        <f>(((ET34)*BB34-(EU34)*BS34)+AE34*BS34)</f>
        <v>0</v>
      </c>
      <c r="CS34">
        <f t="shared" si="30"/>
        <v>0</v>
      </c>
      <c r="CT34">
        <f t="shared" si="31"/>
        <v>0</v>
      </c>
      <c r="CU34">
        <f t="shared" si="32"/>
        <v>0</v>
      </c>
      <c r="CV34">
        <f t="shared" si="33"/>
        <v>0</v>
      </c>
      <c r="CW34">
        <f t="shared" si="34"/>
        <v>0</v>
      </c>
      <c r="CX34">
        <f t="shared" si="35"/>
        <v>0</v>
      </c>
      <c r="CY34">
        <f t="shared" si="36"/>
        <v>0</v>
      </c>
      <c r="CZ34">
        <f t="shared" si="37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1009</v>
      </c>
      <c r="DV34" t="s">
        <v>94</v>
      </c>
      <c r="DW34" t="s">
        <v>94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140625274</v>
      </c>
      <c r="EF34">
        <v>8</v>
      </c>
      <c r="EG34" t="s">
        <v>59</v>
      </c>
      <c r="EH34">
        <v>0</v>
      </c>
      <c r="EI34" t="s">
        <v>3</v>
      </c>
      <c r="EJ34">
        <v>1</v>
      </c>
      <c r="EK34">
        <v>1100</v>
      </c>
      <c r="EL34" t="s">
        <v>60</v>
      </c>
      <c r="EM34" t="s">
        <v>61</v>
      </c>
      <c r="EO34" t="s">
        <v>3</v>
      </c>
      <c r="EQ34">
        <v>0</v>
      </c>
      <c r="ER34">
        <v>23.540000000000003</v>
      </c>
      <c r="ES34">
        <v>23.540000000000003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5</v>
      </c>
      <c r="FC34">
        <v>1</v>
      </c>
      <c r="FD34">
        <v>18</v>
      </c>
      <c r="FF34">
        <v>236.88</v>
      </c>
      <c r="FQ34">
        <v>0</v>
      </c>
      <c r="FR34">
        <f t="shared" si="38"/>
        <v>0</v>
      </c>
      <c r="FS34">
        <v>0</v>
      </c>
      <c r="FX34">
        <v>0</v>
      </c>
      <c r="FY34">
        <v>0</v>
      </c>
      <c r="GA34" t="s">
        <v>95</v>
      </c>
      <c r="GD34">
        <v>1</v>
      </c>
      <c r="GF34">
        <v>-549600548</v>
      </c>
      <c r="GG34">
        <v>2</v>
      </c>
      <c r="GH34">
        <v>3</v>
      </c>
      <c r="GI34">
        <v>4</v>
      </c>
      <c r="GJ34">
        <v>0</v>
      </c>
      <c r="GK34">
        <v>0</v>
      </c>
      <c r="GL34">
        <f t="shared" si="39"/>
        <v>0</v>
      </c>
      <c r="GM34">
        <f t="shared" si="40"/>
        <v>9047.4599999999991</v>
      </c>
      <c r="GN34">
        <f t="shared" si="41"/>
        <v>9047.4599999999991</v>
      </c>
      <c r="GO34">
        <f t="shared" si="42"/>
        <v>0</v>
      </c>
      <c r="GP34">
        <f t="shared" si="43"/>
        <v>0</v>
      </c>
      <c r="GR34">
        <v>1</v>
      </c>
      <c r="GS34">
        <v>1</v>
      </c>
      <c r="GT34">
        <v>0</v>
      </c>
      <c r="GU34" t="s">
        <v>3</v>
      </c>
      <c r="GV34">
        <f t="shared" si="46"/>
        <v>0</v>
      </c>
      <c r="GW34">
        <v>1</v>
      </c>
      <c r="GX34">
        <f t="shared" si="44"/>
        <v>0</v>
      </c>
      <c r="HA34">
        <v>0</v>
      </c>
      <c r="HB34">
        <v>0</v>
      </c>
      <c r="HC34">
        <f t="shared" si="45"/>
        <v>0</v>
      </c>
      <c r="HE34" t="s">
        <v>51</v>
      </c>
      <c r="HF34" t="s">
        <v>26</v>
      </c>
      <c r="HM34" t="s">
        <v>3</v>
      </c>
      <c r="HN34" t="s">
        <v>3</v>
      </c>
      <c r="HO34" t="s">
        <v>3</v>
      </c>
      <c r="HP34" t="s">
        <v>3</v>
      </c>
      <c r="HQ34" t="s">
        <v>3</v>
      </c>
      <c r="IK34">
        <v>0</v>
      </c>
    </row>
    <row r="35" spans="1:245" x14ac:dyDescent="0.2">
      <c r="A35">
        <v>17</v>
      </c>
      <c r="B35">
        <v>1</v>
      </c>
      <c r="C35">
        <f>ROW(SmtRes!A53)</f>
        <v>53</v>
      </c>
      <c r="D35">
        <f>ROW(EtalonRes!A53)</f>
        <v>53</v>
      </c>
      <c r="E35" t="s">
        <v>96</v>
      </c>
      <c r="F35" t="s">
        <v>97</v>
      </c>
      <c r="G35" t="s">
        <v>98</v>
      </c>
      <c r="H35" t="s">
        <v>79</v>
      </c>
      <c r="I35">
        <f>ROUND(535/100,9)</f>
        <v>5.35</v>
      </c>
      <c r="J35">
        <v>0</v>
      </c>
      <c r="K35">
        <f>ROUND(535/100,9)</f>
        <v>5.35</v>
      </c>
      <c r="O35">
        <f t="shared" si="14"/>
        <v>24948.05</v>
      </c>
      <c r="P35">
        <f t="shared" si="15"/>
        <v>6729.38</v>
      </c>
      <c r="Q35">
        <f t="shared" si="16"/>
        <v>1833.78</v>
      </c>
      <c r="R35">
        <f t="shared" si="17"/>
        <v>719.19</v>
      </c>
      <c r="S35">
        <f t="shared" si="18"/>
        <v>16384.89</v>
      </c>
      <c r="T35">
        <f t="shared" si="19"/>
        <v>0</v>
      </c>
      <c r="U35">
        <f t="shared" si="20"/>
        <v>54.203524999999992</v>
      </c>
      <c r="V35">
        <f t="shared" si="21"/>
        <v>1.73875</v>
      </c>
      <c r="W35">
        <f t="shared" si="22"/>
        <v>0</v>
      </c>
      <c r="X35">
        <f t="shared" si="23"/>
        <v>18643.45</v>
      </c>
      <c r="Y35">
        <f t="shared" si="24"/>
        <v>8286.93</v>
      </c>
      <c r="AA35">
        <v>145016711</v>
      </c>
      <c r="AB35">
        <f t="shared" si="25"/>
        <v>262.87</v>
      </c>
      <c r="AC35">
        <f t="shared" si="47"/>
        <v>140.07</v>
      </c>
      <c r="AD35">
        <f>ROUND(((((ET35*1.25))-((EU35*1.25)))+AE35),2)</f>
        <v>27.57</v>
      </c>
      <c r="AE35">
        <f>ROUND(((EU35*1.25)),2)</f>
        <v>4.18</v>
      </c>
      <c r="AF35">
        <f>ROUND(((EV35*1.15)),2)</f>
        <v>95.23</v>
      </c>
      <c r="AG35">
        <f t="shared" si="26"/>
        <v>0</v>
      </c>
      <c r="AH35">
        <f>((EW35*1.15))</f>
        <v>10.131499999999999</v>
      </c>
      <c r="AI35">
        <f>((EX35*1.25))</f>
        <v>0.32500000000000001</v>
      </c>
      <c r="AJ35">
        <f t="shared" si="27"/>
        <v>0</v>
      </c>
      <c r="AK35">
        <v>244.93</v>
      </c>
      <c r="AL35">
        <v>140.07</v>
      </c>
      <c r="AM35">
        <v>22.05</v>
      </c>
      <c r="AN35">
        <v>3.34</v>
      </c>
      <c r="AO35">
        <v>82.81</v>
      </c>
      <c r="AP35">
        <v>0</v>
      </c>
      <c r="AQ35">
        <v>8.81</v>
      </c>
      <c r="AR35">
        <v>0.26</v>
      </c>
      <c r="AS35">
        <v>0</v>
      </c>
      <c r="AT35">
        <v>109</v>
      </c>
      <c r="AU35">
        <v>48.45</v>
      </c>
      <c r="AV35">
        <v>1</v>
      </c>
      <c r="AW35">
        <v>1</v>
      </c>
      <c r="AZ35">
        <v>1</v>
      </c>
      <c r="BA35">
        <v>32.159999999999997</v>
      </c>
      <c r="BB35">
        <v>12.43</v>
      </c>
      <c r="BC35">
        <v>8.98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99</v>
      </c>
      <c r="BM35">
        <v>12001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v>32.159999999999997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109</v>
      </c>
      <c r="CA35">
        <v>57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372</v>
      </c>
      <c r="CO35">
        <v>0</v>
      </c>
      <c r="CP35">
        <f t="shared" si="28"/>
        <v>24948.05</v>
      </c>
      <c r="CQ35">
        <f t="shared" si="29"/>
        <v>1257.8286000000001</v>
      </c>
      <c r="CR35">
        <f>((((ET35*1.25))*BB35-((EU35*1.25))*BS35)+AE35*BS35)</f>
        <v>342.762675</v>
      </c>
      <c r="CS35">
        <f t="shared" si="30"/>
        <v>134.42879999999997</v>
      </c>
      <c r="CT35">
        <f t="shared" si="31"/>
        <v>3062.5967999999998</v>
      </c>
      <c r="CU35">
        <f t="shared" si="32"/>
        <v>0</v>
      </c>
      <c r="CV35">
        <f t="shared" si="33"/>
        <v>10.131499999999999</v>
      </c>
      <c r="CW35">
        <f t="shared" si="34"/>
        <v>0.32500000000000001</v>
      </c>
      <c r="CX35">
        <f t="shared" si="35"/>
        <v>0</v>
      </c>
      <c r="CY35">
        <f t="shared" si="36"/>
        <v>18643.447199999999</v>
      </c>
      <c r="CZ35">
        <f t="shared" si="37"/>
        <v>8286.9267600000003</v>
      </c>
      <c r="DC35" t="s">
        <v>3</v>
      </c>
      <c r="DD35" t="s">
        <v>3</v>
      </c>
      <c r="DE35" t="s">
        <v>47</v>
      </c>
      <c r="DF35" t="s">
        <v>47</v>
      </c>
      <c r="DG35" t="s">
        <v>48</v>
      </c>
      <c r="DH35" t="s">
        <v>3</v>
      </c>
      <c r="DI35" t="s">
        <v>48</v>
      </c>
      <c r="DJ35" t="s">
        <v>47</v>
      </c>
      <c r="DK35" t="s">
        <v>3</v>
      </c>
      <c r="DL35" t="s">
        <v>3</v>
      </c>
      <c r="DM35" t="s">
        <v>49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79</v>
      </c>
      <c r="DW35" t="s">
        <v>79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140625032</v>
      </c>
      <c r="EF35">
        <v>2</v>
      </c>
      <c r="EG35" t="s">
        <v>20</v>
      </c>
      <c r="EH35">
        <v>12</v>
      </c>
      <c r="EI35" t="s">
        <v>33</v>
      </c>
      <c r="EJ35">
        <v>1</v>
      </c>
      <c r="EK35">
        <v>12001</v>
      </c>
      <c r="EL35" t="s">
        <v>33</v>
      </c>
      <c r="EM35" t="s">
        <v>34</v>
      </c>
      <c r="EO35" t="s">
        <v>50</v>
      </c>
      <c r="EQ35">
        <v>0</v>
      </c>
      <c r="ER35">
        <v>244.93</v>
      </c>
      <c r="ES35">
        <v>140.07</v>
      </c>
      <c r="ET35">
        <v>22.05</v>
      </c>
      <c r="EU35">
        <v>3.34</v>
      </c>
      <c r="EV35">
        <v>82.81</v>
      </c>
      <c r="EW35">
        <v>8.81</v>
      </c>
      <c r="EX35">
        <v>0.26</v>
      </c>
      <c r="EY35">
        <v>0</v>
      </c>
      <c r="FQ35">
        <v>0</v>
      </c>
      <c r="FR35">
        <f t="shared" si="38"/>
        <v>0</v>
      </c>
      <c r="FS35">
        <v>0</v>
      </c>
      <c r="FX35">
        <v>109</v>
      </c>
      <c r="FY35">
        <v>48.45</v>
      </c>
      <c r="GA35" t="s">
        <v>3</v>
      </c>
      <c r="GD35">
        <v>1</v>
      </c>
      <c r="GF35">
        <v>-1496749456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39"/>
        <v>0</v>
      </c>
      <c r="GM35">
        <f t="shared" si="40"/>
        <v>51878.43</v>
      </c>
      <c r="GN35">
        <f t="shared" si="41"/>
        <v>51878.43</v>
      </c>
      <c r="GO35">
        <f t="shared" si="42"/>
        <v>0</v>
      </c>
      <c r="GP35">
        <f t="shared" si="43"/>
        <v>0</v>
      </c>
      <c r="GR35">
        <v>0</v>
      </c>
      <c r="GS35">
        <v>3</v>
      </c>
      <c r="GT35">
        <v>0</v>
      </c>
      <c r="GU35" t="s">
        <v>3</v>
      </c>
      <c r="GV35">
        <f t="shared" si="46"/>
        <v>0</v>
      </c>
      <c r="GW35">
        <v>1</v>
      </c>
      <c r="GX35">
        <f t="shared" si="44"/>
        <v>0</v>
      </c>
      <c r="HA35">
        <v>0</v>
      </c>
      <c r="HB35">
        <v>0</v>
      </c>
      <c r="HC35">
        <f t="shared" si="45"/>
        <v>0</v>
      </c>
      <c r="HE35" t="s">
        <v>3</v>
      </c>
      <c r="HF35" t="s">
        <v>3</v>
      </c>
      <c r="HM35" t="s">
        <v>3</v>
      </c>
      <c r="HN35" t="s">
        <v>36</v>
      </c>
      <c r="HO35" t="s">
        <v>37</v>
      </c>
      <c r="HP35" t="s">
        <v>33</v>
      </c>
      <c r="HQ35" t="s">
        <v>33</v>
      </c>
      <c r="IK35">
        <v>0</v>
      </c>
    </row>
    <row r="36" spans="1:245" x14ac:dyDescent="0.2">
      <c r="A36">
        <v>17</v>
      </c>
      <c r="B36">
        <v>1</v>
      </c>
      <c r="E36" t="s">
        <v>100</v>
      </c>
      <c r="F36" t="s">
        <v>101</v>
      </c>
      <c r="G36" t="s">
        <v>102</v>
      </c>
      <c r="H36" t="s">
        <v>74</v>
      </c>
      <c r="I36">
        <f>ROUND(I35*17.3,9)</f>
        <v>92.555000000000007</v>
      </c>
      <c r="J36">
        <v>0</v>
      </c>
      <c r="K36">
        <f>ROUND(I35*17.3,9)</f>
        <v>92.555000000000007</v>
      </c>
      <c r="O36">
        <f t="shared" si="14"/>
        <v>0</v>
      </c>
      <c r="P36">
        <f t="shared" si="15"/>
        <v>0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  <c r="U36">
        <f t="shared" si="20"/>
        <v>0</v>
      </c>
      <c r="V36">
        <f t="shared" si="21"/>
        <v>0</v>
      </c>
      <c r="W36">
        <f t="shared" si="22"/>
        <v>0</v>
      </c>
      <c r="X36">
        <f t="shared" si="23"/>
        <v>0</v>
      </c>
      <c r="Y36">
        <f t="shared" si="24"/>
        <v>0</v>
      </c>
      <c r="AA36">
        <v>145016711</v>
      </c>
      <c r="AB36">
        <f t="shared" si="25"/>
        <v>0</v>
      </c>
      <c r="AC36">
        <f t="shared" si="47"/>
        <v>0</v>
      </c>
      <c r="AD36">
        <f>ROUND((((ET36)-(EU36))+AE36),2)</f>
        <v>0</v>
      </c>
      <c r="AE36">
        <f>ROUND((EU36),2)</f>
        <v>0</v>
      </c>
      <c r="AF36">
        <f>ROUND((EV36),2)</f>
        <v>0</v>
      </c>
      <c r="AG36">
        <f t="shared" si="26"/>
        <v>0</v>
      </c>
      <c r="AH36">
        <f>(EW36)</f>
        <v>0</v>
      </c>
      <c r="AI36">
        <f>(EX36)</f>
        <v>0</v>
      </c>
      <c r="AJ36">
        <f t="shared" si="27"/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8.98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1</v>
      </c>
      <c r="BJ36" t="s">
        <v>3</v>
      </c>
      <c r="BM36">
        <v>1100</v>
      </c>
      <c r="BN36">
        <v>0</v>
      </c>
      <c r="BO36" t="s">
        <v>3</v>
      </c>
      <c r="BP36">
        <v>0</v>
      </c>
      <c r="BQ36">
        <v>8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28"/>
        <v>0</v>
      </c>
      <c r="CQ36">
        <f t="shared" si="29"/>
        <v>0</v>
      </c>
      <c r="CR36">
        <f>(((ET36)*BB36-(EU36)*BS36)+AE36*BS36)</f>
        <v>0</v>
      </c>
      <c r="CS36">
        <f t="shared" si="30"/>
        <v>0</v>
      </c>
      <c r="CT36">
        <f t="shared" si="31"/>
        <v>0</v>
      </c>
      <c r="CU36">
        <f t="shared" si="32"/>
        <v>0</v>
      </c>
      <c r="CV36">
        <f t="shared" si="33"/>
        <v>0</v>
      </c>
      <c r="CW36">
        <f t="shared" si="34"/>
        <v>0</v>
      </c>
      <c r="CX36">
        <f t="shared" si="35"/>
        <v>0</v>
      </c>
      <c r="CY36">
        <f t="shared" si="36"/>
        <v>0</v>
      </c>
      <c r="CZ36">
        <f t="shared" si="37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74</v>
      </c>
      <c r="DW36" t="s">
        <v>74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140625274</v>
      </c>
      <c r="EF36">
        <v>8</v>
      </c>
      <c r="EG36" t="s">
        <v>59</v>
      </c>
      <c r="EH36">
        <v>0</v>
      </c>
      <c r="EI36" t="s">
        <v>3</v>
      </c>
      <c r="EJ36">
        <v>1</v>
      </c>
      <c r="EK36">
        <v>1100</v>
      </c>
      <c r="EL36" t="s">
        <v>60</v>
      </c>
      <c r="EM36" t="s">
        <v>61</v>
      </c>
      <c r="EO36" t="s">
        <v>3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FQ36">
        <v>0</v>
      </c>
      <c r="FR36">
        <f t="shared" si="38"/>
        <v>0</v>
      </c>
      <c r="FS36">
        <v>0</v>
      </c>
      <c r="FX36">
        <v>0</v>
      </c>
      <c r="FY36">
        <v>0</v>
      </c>
      <c r="GA36" t="s">
        <v>103</v>
      </c>
      <c r="GD36">
        <v>1</v>
      </c>
      <c r="GF36">
        <v>765245708</v>
      </c>
      <c r="GG36">
        <v>2</v>
      </c>
      <c r="GH36">
        <v>0</v>
      </c>
      <c r="GI36">
        <v>4</v>
      </c>
      <c r="GJ36">
        <v>0</v>
      </c>
      <c r="GK36">
        <v>0</v>
      </c>
      <c r="GL36">
        <f t="shared" si="39"/>
        <v>0</v>
      </c>
      <c r="GM36">
        <f t="shared" si="40"/>
        <v>0</v>
      </c>
      <c r="GN36">
        <f t="shared" si="41"/>
        <v>0</v>
      </c>
      <c r="GO36">
        <f t="shared" si="42"/>
        <v>0</v>
      </c>
      <c r="GP36">
        <f t="shared" si="43"/>
        <v>0</v>
      </c>
      <c r="GR36">
        <v>0</v>
      </c>
      <c r="GS36">
        <v>4</v>
      </c>
      <c r="GT36">
        <v>0</v>
      </c>
      <c r="GU36" t="s">
        <v>3</v>
      </c>
      <c r="GV36">
        <f t="shared" si="46"/>
        <v>0</v>
      </c>
      <c r="GW36">
        <v>1</v>
      </c>
      <c r="GX36">
        <f t="shared" si="44"/>
        <v>0</v>
      </c>
      <c r="HA36">
        <v>0</v>
      </c>
      <c r="HB36">
        <v>0</v>
      </c>
      <c r="HC36">
        <f t="shared" si="45"/>
        <v>0</v>
      </c>
      <c r="HE36" t="s">
        <v>3</v>
      </c>
      <c r="HF36" t="s">
        <v>3</v>
      </c>
      <c r="HM36" t="s">
        <v>3</v>
      </c>
      <c r="HN36" t="s">
        <v>3</v>
      </c>
      <c r="HO36" t="s">
        <v>3</v>
      </c>
      <c r="HP36" t="s">
        <v>3</v>
      </c>
      <c r="HQ36" t="s">
        <v>3</v>
      </c>
      <c r="IK36">
        <v>0</v>
      </c>
    </row>
    <row r="37" spans="1:245" x14ac:dyDescent="0.2">
      <c r="A37">
        <v>17</v>
      </c>
      <c r="B37">
        <v>1</v>
      </c>
      <c r="C37">
        <f>ROW(SmtRes!A57)</f>
        <v>57</v>
      </c>
      <c r="D37">
        <f>ROW(EtalonRes!A57)</f>
        <v>57</v>
      </c>
      <c r="E37" t="s">
        <v>104</v>
      </c>
      <c r="F37" t="s">
        <v>105</v>
      </c>
      <c r="G37" t="s">
        <v>106</v>
      </c>
      <c r="H37" t="s">
        <v>18</v>
      </c>
      <c r="I37">
        <f>ROUND((2080+75*0.6)/100,9)</f>
        <v>21.25</v>
      </c>
      <c r="J37">
        <v>0</v>
      </c>
      <c r="K37">
        <f>ROUND((2080+75*0.6)/100,9)</f>
        <v>21.25</v>
      </c>
      <c r="O37">
        <f t="shared" si="14"/>
        <v>37276.9</v>
      </c>
      <c r="P37">
        <f t="shared" si="15"/>
        <v>17174.25</v>
      </c>
      <c r="Q37">
        <f t="shared" si="16"/>
        <v>871.77</v>
      </c>
      <c r="R37">
        <f t="shared" si="17"/>
        <v>396.37</v>
      </c>
      <c r="S37">
        <f t="shared" si="18"/>
        <v>19230.88</v>
      </c>
      <c r="T37">
        <f t="shared" si="19"/>
        <v>0</v>
      </c>
      <c r="U37">
        <f t="shared" si="20"/>
        <v>68.424999999999997</v>
      </c>
      <c r="V37">
        <f t="shared" si="21"/>
        <v>1.0625</v>
      </c>
      <c r="W37">
        <f t="shared" si="22"/>
        <v>0</v>
      </c>
      <c r="X37">
        <f t="shared" si="23"/>
        <v>21393.7</v>
      </c>
      <c r="Y37">
        <f t="shared" si="24"/>
        <v>9509.4</v>
      </c>
      <c r="AA37">
        <v>145016711</v>
      </c>
      <c r="AB37">
        <f t="shared" si="25"/>
        <v>121.43</v>
      </c>
      <c r="AC37">
        <f t="shared" si="47"/>
        <v>90</v>
      </c>
      <c r="AD37">
        <f>ROUND(((((ET37*1.25))-((EU37*1.25)))+AE37),2)</f>
        <v>3.29</v>
      </c>
      <c r="AE37">
        <f>ROUND(((EU37*1.25)),2)</f>
        <v>0.57999999999999996</v>
      </c>
      <c r="AF37">
        <f>ROUND(((EV37*1.15)),2)</f>
        <v>28.14</v>
      </c>
      <c r="AG37">
        <f t="shared" si="26"/>
        <v>0</v>
      </c>
      <c r="AH37">
        <f>((EW37*1.15))</f>
        <v>3.2199999999999998</v>
      </c>
      <c r="AI37">
        <f>((EX37*1.25))</f>
        <v>0.05</v>
      </c>
      <c r="AJ37">
        <f t="shared" si="27"/>
        <v>0</v>
      </c>
      <c r="AK37">
        <v>117.1</v>
      </c>
      <c r="AL37">
        <v>90</v>
      </c>
      <c r="AM37">
        <v>2.63</v>
      </c>
      <c r="AN37">
        <v>0.46</v>
      </c>
      <c r="AO37">
        <v>24.47</v>
      </c>
      <c r="AP37">
        <v>0</v>
      </c>
      <c r="AQ37">
        <v>2.8</v>
      </c>
      <c r="AR37">
        <v>0.04</v>
      </c>
      <c r="AS37">
        <v>0</v>
      </c>
      <c r="AT37">
        <v>109</v>
      </c>
      <c r="AU37">
        <v>48.45</v>
      </c>
      <c r="AV37">
        <v>1</v>
      </c>
      <c r="AW37">
        <v>1</v>
      </c>
      <c r="AZ37">
        <v>1</v>
      </c>
      <c r="BA37">
        <v>32.159999999999997</v>
      </c>
      <c r="BB37">
        <v>12.43</v>
      </c>
      <c r="BC37">
        <v>8.98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107</v>
      </c>
      <c r="BM37">
        <v>12001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v>32.159999999999997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109</v>
      </c>
      <c r="CA37">
        <v>57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372</v>
      </c>
      <c r="CO37">
        <v>0</v>
      </c>
      <c r="CP37">
        <f t="shared" si="28"/>
        <v>37276.9</v>
      </c>
      <c r="CQ37">
        <f t="shared" si="29"/>
        <v>808.2</v>
      </c>
      <c r="CR37">
        <f>((((ET37*1.25))*BB37-((EU37*1.25))*BS37)+AE37*BS37)</f>
        <v>41.024424999999987</v>
      </c>
      <c r="CS37">
        <f t="shared" si="30"/>
        <v>18.652799999999996</v>
      </c>
      <c r="CT37">
        <f t="shared" si="31"/>
        <v>904.98239999999987</v>
      </c>
      <c r="CU37">
        <f t="shared" si="32"/>
        <v>0</v>
      </c>
      <c r="CV37">
        <f t="shared" si="33"/>
        <v>3.2199999999999998</v>
      </c>
      <c r="CW37">
        <f t="shared" si="34"/>
        <v>0.05</v>
      </c>
      <c r="CX37">
        <f t="shared" si="35"/>
        <v>0</v>
      </c>
      <c r="CY37">
        <f t="shared" si="36"/>
        <v>21393.702499999999</v>
      </c>
      <c r="CZ37">
        <f t="shared" si="37"/>
        <v>9509.4026250000006</v>
      </c>
      <c r="DC37" t="s">
        <v>3</v>
      </c>
      <c r="DD37" t="s">
        <v>3</v>
      </c>
      <c r="DE37" t="s">
        <v>47</v>
      </c>
      <c r="DF37" t="s">
        <v>47</v>
      </c>
      <c r="DG37" t="s">
        <v>48</v>
      </c>
      <c r="DH37" t="s">
        <v>3</v>
      </c>
      <c r="DI37" t="s">
        <v>48</v>
      </c>
      <c r="DJ37" t="s">
        <v>47</v>
      </c>
      <c r="DK37" t="s">
        <v>3</v>
      </c>
      <c r="DL37" t="s">
        <v>3</v>
      </c>
      <c r="DM37" t="s">
        <v>49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18</v>
      </c>
      <c r="DW37" t="s">
        <v>18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140625032</v>
      </c>
      <c r="EF37">
        <v>2</v>
      </c>
      <c r="EG37" t="s">
        <v>20</v>
      </c>
      <c r="EH37">
        <v>12</v>
      </c>
      <c r="EI37" t="s">
        <v>33</v>
      </c>
      <c r="EJ37">
        <v>1</v>
      </c>
      <c r="EK37">
        <v>12001</v>
      </c>
      <c r="EL37" t="s">
        <v>33</v>
      </c>
      <c r="EM37" t="s">
        <v>34</v>
      </c>
      <c r="EO37" t="s">
        <v>50</v>
      </c>
      <c r="EQ37">
        <v>0</v>
      </c>
      <c r="ER37">
        <v>117.1</v>
      </c>
      <c r="ES37">
        <v>90</v>
      </c>
      <c r="ET37">
        <v>2.63</v>
      </c>
      <c r="EU37">
        <v>0.46</v>
      </c>
      <c r="EV37">
        <v>24.47</v>
      </c>
      <c r="EW37">
        <v>2.8</v>
      </c>
      <c r="EX37">
        <v>0.04</v>
      </c>
      <c r="EY37">
        <v>0</v>
      </c>
      <c r="FQ37">
        <v>0</v>
      </c>
      <c r="FR37">
        <f t="shared" si="38"/>
        <v>0</v>
      </c>
      <c r="FS37">
        <v>0</v>
      </c>
      <c r="FX37">
        <v>109</v>
      </c>
      <c r="FY37">
        <v>48.45</v>
      </c>
      <c r="GA37" t="s">
        <v>3</v>
      </c>
      <c r="GD37">
        <v>1</v>
      </c>
      <c r="GF37">
        <v>376525292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39"/>
        <v>0</v>
      </c>
      <c r="GM37">
        <f t="shared" si="40"/>
        <v>68180</v>
      </c>
      <c r="GN37">
        <f t="shared" si="41"/>
        <v>68180</v>
      </c>
      <c r="GO37">
        <f t="shared" si="42"/>
        <v>0</v>
      </c>
      <c r="GP37">
        <f t="shared" si="43"/>
        <v>0</v>
      </c>
      <c r="GR37">
        <v>0</v>
      </c>
      <c r="GS37">
        <v>3</v>
      </c>
      <c r="GT37">
        <v>0</v>
      </c>
      <c r="GU37" t="s">
        <v>3</v>
      </c>
      <c r="GV37">
        <f t="shared" si="46"/>
        <v>0</v>
      </c>
      <c r="GW37">
        <v>1</v>
      </c>
      <c r="GX37">
        <f t="shared" si="44"/>
        <v>0</v>
      </c>
      <c r="HA37">
        <v>0</v>
      </c>
      <c r="HB37">
        <v>0</v>
      </c>
      <c r="HC37">
        <f t="shared" si="45"/>
        <v>0</v>
      </c>
      <c r="HE37" t="s">
        <v>3</v>
      </c>
      <c r="HF37" t="s">
        <v>3</v>
      </c>
      <c r="HM37" t="s">
        <v>3</v>
      </c>
      <c r="HN37" t="s">
        <v>36</v>
      </c>
      <c r="HO37" t="s">
        <v>37</v>
      </c>
      <c r="HP37" t="s">
        <v>33</v>
      </c>
      <c r="HQ37" t="s">
        <v>33</v>
      </c>
      <c r="IK37">
        <v>0</v>
      </c>
    </row>
    <row r="38" spans="1:245" x14ac:dyDescent="0.2">
      <c r="A38">
        <v>18</v>
      </c>
      <c r="B38">
        <v>1</v>
      </c>
      <c r="C38">
        <v>57</v>
      </c>
      <c r="E38" t="s">
        <v>108</v>
      </c>
      <c r="F38" t="s">
        <v>109</v>
      </c>
      <c r="G38" t="s">
        <v>110</v>
      </c>
      <c r="H38" t="s">
        <v>66</v>
      </c>
      <c r="I38">
        <f>I37*J38</f>
        <v>-0.95625000000000016</v>
      </c>
      <c r="J38">
        <v>-4.5000000000000005E-2</v>
      </c>
      <c r="K38">
        <v>-4.4999999999999998E-2</v>
      </c>
      <c r="O38">
        <f t="shared" si="14"/>
        <v>-17174.25</v>
      </c>
      <c r="P38">
        <f t="shared" si="15"/>
        <v>-17174.25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145016711</v>
      </c>
      <c r="AB38">
        <f t="shared" si="25"/>
        <v>2000</v>
      </c>
      <c r="AC38">
        <f t="shared" si="47"/>
        <v>2000</v>
      </c>
      <c r="AD38">
        <f>ROUND((((ET38)-(EU38))+AE38),2)</f>
        <v>0</v>
      </c>
      <c r="AE38">
        <f>ROUND((EU38),2)</f>
        <v>0</v>
      </c>
      <c r="AF38">
        <f>ROUND((EV38),2)</f>
        <v>0</v>
      </c>
      <c r="AG38">
        <f t="shared" si="26"/>
        <v>0</v>
      </c>
      <c r="AH38">
        <f>(EW38)</f>
        <v>0</v>
      </c>
      <c r="AI38">
        <f>(EX38)</f>
        <v>0</v>
      </c>
      <c r="AJ38">
        <f t="shared" si="27"/>
        <v>0</v>
      </c>
      <c r="AK38">
        <v>2000</v>
      </c>
      <c r="AL38">
        <v>2000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109</v>
      </c>
      <c r="AU38">
        <v>57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8.98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111</v>
      </c>
      <c r="BM38">
        <v>12001</v>
      </c>
      <c r="BN38">
        <v>0</v>
      </c>
      <c r="BO38" t="s">
        <v>3</v>
      </c>
      <c r="BP38">
        <v>0</v>
      </c>
      <c r="BQ38">
        <v>2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109</v>
      </c>
      <c r="CA38">
        <v>57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28"/>
        <v>-17174.25</v>
      </c>
      <c r="CQ38">
        <f t="shared" si="29"/>
        <v>17960</v>
      </c>
      <c r="CR38">
        <f>(((ET38)*BB38-(EU38)*BS38)+AE38*BS38)</f>
        <v>0</v>
      </c>
      <c r="CS38">
        <f t="shared" si="30"/>
        <v>0</v>
      </c>
      <c r="CT38">
        <f t="shared" si="31"/>
        <v>0</v>
      </c>
      <c r="CU38">
        <f t="shared" si="32"/>
        <v>0</v>
      </c>
      <c r="CV38">
        <f t="shared" si="33"/>
        <v>0</v>
      </c>
      <c r="CW38">
        <f t="shared" si="34"/>
        <v>0</v>
      </c>
      <c r="CX38">
        <f t="shared" si="35"/>
        <v>0</v>
      </c>
      <c r="CY38">
        <f t="shared" si="36"/>
        <v>0</v>
      </c>
      <c r="CZ38">
        <f t="shared" si="37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66</v>
      </c>
      <c r="DW38" t="s">
        <v>66</v>
      </c>
      <c r="DX38">
        <v>1000</v>
      </c>
      <c r="DZ38" t="s">
        <v>3</v>
      </c>
      <c r="EA38" t="s">
        <v>3</v>
      </c>
      <c r="EB38" t="s">
        <v>3</v>
      </c>
      <c r="EC38" t="s">
        <v>3</v>
      </c>
      <c r="EE38">
        <v>140625032</v>
      </c>
      <c r="EF38">
        <v>2</v>
      </c>
      <c r="EG38" t="s">
        <v>20</v>
      </c>
      <c r="EH38">
        <v>12</v>
      </c>
      <c r="EI38" t="s">
        <v>33</v>
      </c>
      <c r="EJ38">
        <v>1</v>
      </c>
      <c r="EK38">
        <v>12001</v>
      </c>
      <c r="EL38" t="s">
        <v>33</v>
      </c>
      <c r="EM38" t="s">
        <v>34</v>
      </c>
      <c r="EO38" t="s">
        <v>3</v>
      </c>
      <c r="EQ38">
        <v>0</v>
      </c>
      <c r="ER38">
        <v>2000</v>
      </c>
      <c r="ES38">
        <v>2000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38"/>
        <v>0</v>
      </c>
      <c r="FS38">
        <v>0</v>
      </c>
      <c r="FX38">
        <v>109</v>
      </c>
      <c r="FY38">
        <v>57</v>
      </c>
      <c r="GA38" t="s">
        <v>3</v>
      </c>
      <c r="GD38">
        <v>1</v>
      </c>
      <c r="GF38">
        <v>-2105186236</v>
      </c>
      <c r="GG38">
        <v>2</v>
      </c>
      <c r="GH38">
        <v>1</v>
      </c>
      <c r="GI38">
        <v>4</v>
      </c>
      <c r="GJ38">
        <v>0</v>
      </c>
      <c r="GK38">
        <v>0</v>
      </c>
      <c r="GL38">
        <f t="shared" si="39"/>
        <v>0</v>
      </c>
      <c r="GM38">
        <f t="shared" si="40"/>
        <v>-17174.25</v>
      </c>
      <c r="GN38">
        <f t="shared" si="41"/>
        <v>-17174.25</v>
      </c>
      <c r="GO38">
        <f t="shared" si="42"/>
        <v>0</v>
      </c>
      <c r="GP38">
        <f t="shared" si="43"/>
        <v>0</v>
      </c>
      <c r="GR38">
        <v>0</v>
      </c>
      <c r="GS38">
        <v>3</v>
      </c>
      <c r="GT38">
        <v>0</v>
      </c>
      <c r="GU38" t="s">
        <v>3</v>
      </c>
      <c r="GV38">
        <f t="shared" si="46"/>
        <v>0</v>
      </c>
      <c r="GW38">
        <v>1</v>
      </c>
      <c r="GX38">
        <f t="shared" si="44"/>
        <v>0</v>
      </c>
      <c r="HA38">
        <v>0</v>
      </c>
      <c r="HB38">
        <v>0</v>
      </c>
      <c r="HC38">
        <f t="shared" si="45"/>
        <v>0</v>
      </c>
      <c r="HE38" t="s">
        <v>3</v>
      </c>
      <c r="HF38" t="s">
        <v>3</v>
      </c>
      <c r="HM38" t="s">
        <v>3</v>
      </c>
      <c r="HN38" t="s">
        <v>36</v>
      </c>
      <c r="HO38" t="s">
        <v>37</v>
      </c>
      <c r="HP38" t="s">
        <v>33</v>
      </c>
      <c r="HQ38" t="s">
        <v>33</v>
      </c>
      <c r="IK38">
        <v>0</v>
      </c>
    </row>
    <row r="39" spans="1:245" x14ac:dyDescent="0.2">
      <c r="A39">
        <v>17</v>
      </c>
      <c r="B39">
        <v>1</v>
      </c>
      <c r="E39" t="s">
        <v>112</v>
      </c>
      <c r="F39" t="s">
        <v>56</v>
      </c>
      <c r="G39" t="s">
        <v>113</v>
      </c>
      <c r="H39" t="s">
        <v>94</v>
      </c>
      <c r="I39">
        <f>ROUND(I37*30,9)</f>
        <v>637.5</v>
      </c>
      <c r="J39">
        <v>0</v>
      </c>
      <c r="K39">
        <f>ROUND(I37*30,9)</f>
        <v>637.5</v>
      </c>
      <c r="O39">
        <f t="shared" si="14"/>
        <v>134760.62</v>
      </c>
      <c r="P39">
        <f t="shared" si="15"/>
        <v>134760.62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145016711</v>
      </c>
      <c r="AB39">
        <f t="shared" si="25"/>
        <v>23.54</v>
      </c>
      <c r="AC39">
        <f t="shared" si="47"/>
        <v>23.54</v>
      </c>
      <c r="AD39">
        <f>ROUND((((ET39)-(EU39))+AE39),2)</f>
        <v>0</v>
      </c>
      <c r="AE39">
        <f>ROUND((EU39),2)</f>
        <v>0</v>
      </c>
      <c r="AF39">
        <f>ROUND((EV39),2)</f>
        <v>0</v>
      </c>
      <c r="AG39">
        <f t="shared" si="26"/>
        <v>0</v>
      </c>
      <c r="AH39">
        <f>(EW39)</f>
        <v>0</v>
      </c>
      <c r="AI39">
        <f>(EX39)</f>
        <v>0</v>
      </c>
      <c r="AJ39">
        <f t="shared" si="27"/>
        <v>0</v>
      </c>
      <c r="AK39">
        <v>23.540000000000003</v>
      </c>
      <c r="AL39">
        <v>23.540000000000003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8.98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8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B39" t="s">
        <v>3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134760.62</v>
      </c>
      <c r="CQ39">
        <f t="shared" si="29"/>
        <v>211.38919999999999</v>
      </c>
      <c r="CR39">
        <f>(((ET39)*BB39-(EU39)*BS39)+AE39*BS39)</f>
        <v>0</v>
      </c>
      <c r="CS39">
        <f t="shared" si="30"/>
        <v>0</v>
      </c>
      <c r="CT39">
        <f t="shared" si="31"/>
        <v>0</v>
      </c>
      <c r="CU39">
        <f t="shared" si="32"/>
        <v>0</v>
      </c>
      <c r="CV39">
        <f t="shared" si="33"/>
        <v>0</v>
      </c>
      <c r="CW39">
        <f t="shared" si="34"/>
        <v>0</v>
      </c>
      <c r="CX39">
        <f t="shared" si="35"/>
        <v>0</v>
      </c>
      <c r="CY39">
        <f t="shared" si="36"/>
        <v>0</v>
      </c>
      <c r="CZ39">
        <f t="shared" si="37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94</v>
      </c>
      <c r="DW39" t="s">
        <v>94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140625274</v>
      </c>
      <c r="EF39">
        <v>8</v>
      </c>
      <c r="EG39" t="s">
        <v>59</v>
      </c>
      <c r="EH39">
        <v>0</v>
      </c>
      <c r="EI39" t="s">
        <v>3</v>
      </c>
      <c r="EJ39">
        <v>1</v>
      </c>
      <c r="EK39">
        <v>1100</v>
      </c>
      <c r="EL39" t="s">
        <v>60</v>
      </c>
      <c r="EM39" t="s">
        <v>61</v>
      </c>
      <c r="EO39" t="s">
        <v>3</v>
      </c>
      <c r="EQ39">
        <v>0</v>
      </c>
      <c r="ER39">
        <v>23.540000000000003</v>
      </c>
      <c r="ES39">
        <v>23.540000000000003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1</v>
      </c>
      <c r="FD39">
        <v>18</v>
      </c>
      <c r="FF39">
        <v>236.88</v>
      </c>
      <c r="FQ39">
        <v>0</v>
      </c>
      <c r="FR39">
        <f t="shared" si="38"/>
        <v>0</v>
      </c>
      <c r="FS39">
        <v>0</v>
      </c>
      <c r="FX39">
        <v>0</v>
      </c>
      <c r="FY39">
        <v>0</v>
      </c>
      <c r="GA39" t="s">
        <v>95</v>
      </c>
      <c r="GD39">
        <v>1</v>
      </c>
      <c r="GF39">
        <v>1864272551</v>
      </c>
      <c r="GG39">
        <v>2</v>
      </c>
      <c r="GH39">
        <v>3</v>
      </c>
      <c r="GI39">
        <v>4</v>
      </c>
      <c r="GJ39">
        <v>0</v>
      </c>
      <c r="GK39">
        <v>0</v>
      </c>
      <c r="GL39">
        <f t="shared" si="39"/>
        <v>0</v>
      </c>
      <c r="GM39">
        <f t="shared" si="40"/>
        <v>134760.62</v>
      </c>
      <c r="GN39">
        <f t="shared" si="41"/>
        <v>134760.62</v>
      </c>
      <c r="GO39">
        <f t="shared" si="42"/>
        <v>0</v>
      </c>
      <c r="GP39">
        <f t="shared" si="43"/>
        <v>0</v>
      </c>
      <c r="GR39">
        <v>1</v>
      </c>
      <c r="GS39">
        <v>1</v>
      </c>
      <c r="GT39">
        <v>0</v>
      </c>
      <c r="GU39" t="s">
        <v>3</v>
      </c>
      <c r="GV39">
        <f t="shared" si="46"/>
        <v>0</v>
      </c>
      <c r="GW39">
        <v>1</v>
      </c>
      <c r="GX39">
        <f t="shared" si="44"/>
        <v>0</v>
      </c>
      <c r="HA39">
        <v>0</v>
      </c>
      <c r="HB39">
        <v>0</v>
      </c>
      <c r="HC39">
        <f t="shared" si="45"/>
        <v>0</v>
      </c>
      <c r="HE39" t="s">
        <v>51</v>
      </c>
      <c r="HF39" t="s">
        <v>26</v>
      </c>
      <c r="HM39" t="s">
        <v>3</v>
      </c>
      <c r="HN39" t="s">
        <v>3</v>
      </c>
      <c r="HO39" t="s">
        <v>3</v>
      </c>
      <c r="HP39" t="s">
        <v>3</v>
      </c>
      <c r="HQ39" t="s">
        <v>3</v>
      </c>
      <c r="IK39">
        <v>0</v>
      </c>
    </row>
    <row r="40" spans="1:245" x14ac:dyDescent="0.2">
      <c r="A40">
        <v>17</v>
      </c>
      <c r="B40">
        <v>1</v>
      </c>
      <c r="C40">
        <f>ROW(SmtRes!A65)</f>
        <v>65</v>
      </c>
      <c r="D40">
        <f>ROW(EtalonRes!A65)</f>
        <v>65</v>
      </c>
      <c r="E40" t="s">
        <v>114</v>
      </c>
      <c r="F40" t="s">
        <v>115</v>
      </c>
      <c r="G40" t="s">
        <v>116</v>
      </c>
      <c r="H40" t="s">
        <v>18</v>
      </c>
      <c r="I40">
        <f>ROUND(2080/100,9)</f>
        <v>20.8</v>
      </c>
      <c r="J40">
        <v>0</v>
      </c>
      <c r="K40">
        <f>ROUND(2080/100,9)</f>
        <v>20.8</v>
      </c>
      <c r="O40">
        <f t="shared" si="14"/>
        <v>145858.85</v>
      </c>
      <c r="P40">
        <f t="shared" si="15"/>
        <v>34056.33</v>
      </c>
      <c r="Q40">
        <f t="shared" si="16"/>
        <v>7964.83</v>
      </c>
      <c r="R40">
        <f t="shared" si="17"/>
        <v>3137.27</v>
      </c>
      <c r="S40">
        <f t="shared" si="18"/>
        <v>103837.69</v>
      </c>
      <c r="T40">
        <f t="shared" si="19"/>
        <v>0</v>
      </c>
      <c r="U40">
        <f t="shared" si="20"/>
        <v>343.49119999999999</v>
      </c>
      <c r="V40">
        <f t="shared" si="21"/>
        <v>7.54</v>
      </c>
      <c r="W40">
        <f t="shared" si="22"/>
        <v>0</v>
      </c>
      <c r="X40">
        <f t="shared" si="23"/>
        <v>116602.71</v>
      </c>
      <c r="Y40">
        <f t="shared" si="24"/>
        <v>51829.37</v>
      </c>
      <c r="AA40">
        <v>145016711</v>
      </c>
      <c r="AB40">
        <f t="shared" si="25"/>
        <v>368.36</v>
      </c>
      <c r="AC40">
        <f t="shared" si="47"/>
        <v>182.33</v>
      </c>
      <c r="AD40">
        <f>ROUND(((((ET40*1.25))-((EU40*1.25)))+AE40),2)</f>
        <v>30.8</v>
      </c>
      <c r="AE40">
        <f>ROUND(((EU40*1.25)),2)</f>
        <v>4.6900000000000004</v>
      </c>
      <c r="AF40">
        <f>ROUND(((EV40*1.15)),2)</f>
        <v>155.22999999999999</v>
      </c>
      <c r="AG40">
        <f t="shared" si="26"/>
        <v>0</v>
      </c>
      <c r="AH40">
        <f>((EW40*1.15))</f>
        <v>16.513999999999999</v>
      </c>
      <c r="AI40">
        <f>((EX40*1.25))</f>
        <v>0.36249999999999999</v>
      </c>
      <c r="AJ40">
        <f t="shared" si="27"/>
        <v>0</v>
      </c>
      <c r="AK40">
        <v>341.95</v>
      </c>
      <c r="AL40">
        <v>182.33</v>
      </c>
      <c r="AM40">
        <v>24.64</v>
      </c>
      <c r="AN40">
        <v>3.75</v>
      </c>
      <c r="AO40">
        <v>134.97999999999999</v>
      </c>
      <c r="AP40">
        <v>0</v>
      </c>
      <c r="AQ40">
        <v>14.36</v>
      </c>
      <c r="AR40">
        <v>0.28999999999999998</v>
      </c>
      <c r="AS40">
        <v>0</v>
      </c>
      <c r="AT40">
        <v>109</v>
      </c>
      <c r="AU40">
        <v>48.45</v>
      </c>
      <c r="AV40">
        <v>1</v>
      </c>
      <c r="AW40">
        <v>1</v>
      </c>
      <c r="AZ40">
        <v>1</v>
      </c>
      <c r="BA40">
        <v>32.159999999999997</v>
      </c>
      <c r="BB40">
        <v>12.43</v>
      </c>
      <c r="BC40">
        <v>8.98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1</v>
      </c>
      <c r="BJ40" t="s">
        <v>117</v>
      </c>
      <c r="BM40">
        <v>12001</v>
      </c>
      <c r="BN40">
        <v>0</v>
      </c>
      <c r="BO40" t="s">
        <v>3</v>
      </c>
      <c r="BP40">
        <v>0</v>
      </c>
      <c r="BQ40">
        <v>2</v>
      </c>
      <c r="BR40">
        <v>0</v>
      </c>
      <c r="BS40">
        <v>32.159999999999997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109</v>
      </c>
      <c r="CA40">
        <v>57</v>
      </c>
      <c r="CB40" t="s">
        <v>3</v>
      </c>
      <c r="CE40">
        <v>0</v>
      </c>
      <c r="CF40">
        <v>0</v>
      </c>
      <c r="CG40">
        <v>0</v>
      </c>
      <c r="CM40">
        <v>0</v>
      </c>
      <c r="CN40" t="s">
        <v>372</v>
      </c>
      <c r="CO40">
        <v>0</v>
      </c>
      <c r="CP40">
        <f t="shared" si="28"/>
        <v>145858.85</v>
      </c>
      <c r="CQ40">
        <f t="shared" si="29"/>
        <v>1637.3234000000002</v>
      </c>
      <c r="CR40">
        <f>((((ET40*1.25))*BB40-((EU40*1.25))*BS40)+AE40*BS40)</f>
        <v>382.92439999999999</v>
      </c>
      <c r="CS40">
        <f t="shared" si="30"/>
        <v>150.8304</v>
      </c>
      <c r="CT40">
        <f t="shared" si="31"/>
        <v>4992.1967999999988</v>
      </c>
      <c r="CU40">
        <f t="shared" si="32"/>
        <v>0</v>
      </c>
      <c r="CV40">
        <f t="shared" si="33"/>
        <v>16.513999999999999</v>
      </c>
      <c r="CW40">
        <f t="shared" si="34"/>
        <v>0.36249999999999999</v>
      </c>
      <c r="CX40">
        <f t="shared" si="35"/>
        <v>0</v>
      </c>
      <c r="CY40">
        <f t="shared" si="36"/>
        <v>116602.70640000001</v>
      </c>
      <c r="CZ40">
        <f t="shared" si="37"/>
        <v>51829.368120000006</v>
      </c>
      <c r="DC40" t="s">
        <v>3</v>
      </c>
      <c r="DD40" t="s">
        <v>3</v>
      </c>
      <c r="DE40" t="s">
        <v>47</v>
      </c>
      <c r="DF40" t="s">
        <v>47</v>
      </c>
      <c r="DG40" t="s">
        <v>48</v>
      </c>
      <c r="DH40" t="s">
        <v>3</v>
      </c>
      <c r="DI40" t="s">
        <v>48</v>
      </c>
      <c r="DJ40" t="s">
        <v>47</v>
      </c>
      <c r="DK40" t="s">
        <v>3</v>
      </c>
      <c r="DL40" t="s">
        <v>3</v>
      </c>
      <c r="DM40" t="s">
        <v>49</v>
      </c>
      <c r="DN40">
        <v>0</v>
      </c>
      <c r="DO40">
        <v>0</v>
      </c>
      <c r="DP40">
        <v>1</v>
      </c>
      <c r="DQ40">
        <v>1</v>
      </c>
      <c r="DU40">
        <v>1005</v>
      </c>
      <c r="DV40" t="s">
        <v>18</v>
      </c>
      <c r="DW40" t="s">
        <v>18</v>
      </c>
      <c r="DX40">
        <v>100</v>
      </c>
      <c r="DZ40" t="s">
        <v>3</v>
      </c>
      <c r="EA40" t="s">
        <v>3</v>
      </c>
      <c r="EB40" t="s">
        <v>3</v>
      </c>
      <c r="EC40" t="s">
        <v>3</v>
      </c>
      <c r="EE40">
        <v>140625032</v>
      </c>
      <c r="EF40">
        <v>2</v>
      </c>
      <c r="EG40" t="s">
        <v>20</v>
      </c>
      <c r="EH40">
        <v>12</v>
      </c>
      <c r="EI40" t="s">
        <v>33</v>
      </c>
      <c r="EJ40">
        <v>1</v>
      </c>
      <c r="EK40">
        <v>12001</v>
      </c>
      <c r="EL40" t="s">
        <v>33</v>
      </c>
      <c r="EM40" t="s">
        <v>34</v>
      </c>
      <c r="EO40" t="s">
        <v>50</v>
      </c>
      <c r="EQ40">
        <v>0</v>
      </c>
      <c r="ER40">
        <v>341.95</v>
      </c>
      <c r="ES40">
        <v>182.33</v>
      </c>
      <c r="ET40">
        <v>24.64</v>
      </c>
      <c r="EU40">
        <v>3.75</v>
      </c>
      <c r="EV40">
        <v>134.97999999999999</v>
      </c>
      <c r="EW40">
        <v>14.36</v>
      </c>
      <c r="EX40">
        <v>0.28999999999999998</v>
      </c>
      <c r="EY40">
        <v>0</v>
      </c>
      <c r="FQ40">
        <v>0</v>
      </c>
      <c r="FR40">
        <f t="shared" si="38"/>
        <v>0</v>
      </c>
      <c r="FS40">
        <v>0</v>
      </c>
      <c r="FX40">
        <v>109</v>
      </c>
      <c r="FY40">
        <v>48.45</v>
      </c>
      <c r="GA40" t="s">
        <v>3</v>
      </c>
      <c r="GD40">
        <v>1</v>
      </c>
      <c r="GF40">
        <v>1634706126</v>
      </c>
      <c r="GG40">
        <v>2</v>
      </c>
      <c r="GH40">
        <v>1</v>
      </c>
      <c r="GI40">
        <v>4</v>
      </c>
      <c r="GJ40">
        <v>0</v>
      </c>
      <c r="GK40">
        <v>0</v>
      </c>
      <c r="GL40">
        <f t="shared" si="39"/>
        <v>0</v>
      </c>
      <c r="GM40">
        <f t="shared" si="40"/>
        <v>314290.93</v>
      </c>
      <c r="GN40">
        <f t="shared" si="41"/>
        <v>314290.93</v>
      </c>
      <c r="GO40">
        <f t="shared" si="42"/>
        <v>0</v>
      </c>
      <c r="GP40">
        <f t="shared" si="43"/>
        <v>0</v>
      </c>
      <c r="GR40">
        <v>0</v>
      </c>
      <c r="GS40">
        <v>3</v>
      </c>
      <c r="GT40">
        <v>0</v>
      </c>
      <c r="GU40" t="s">
        <v>3</v>
      </c>
      <c r="GV40">
        <f t="shared" si="46"/>
        <v>0</v>
      </c>
      <c r="GW40">
        <v>1</v>
      </c>
      <c r="GX40">
        <f t="shared" si="44"/>
        <v>0</v>
      </c>
      <c r="HA40">
        <v>0</v>
      </c>
      <c r="HB40">
        <v>0</v>
      </c>
      <c r="HC40">
        <f t="shared" si="45"/>
        <v>0</v>
      </c>
      <c r="HE40" t="s">
        <v>3</v>
      </c>
      <c r="HF40" t="s">
        <v>3</v>
      </c>
      <c r="HM40" t="s">
        <v>3</v>
      </c>
      <c r="HN40" t="s">
        <v>36</v>
      </c>
      <c r="HO40" t="s">
        <v>37</v>
      </c>
      <c r="HP40" t="s">
        <v>33</v>
      </c>
      <c r="HQ40" t="s">
        <v>33</v>
      </c>
      <c r="IK40">
        <v>0</v>
      </c>
    </row>
    <row r="41" spans="1:245" x14ac:dyDescent="0.2">
      <c r="A41">
        <v>17</v>
      </c>
      <c r="B41">
        <v>1</v>
      </c>
      <c r="E41" t="s">
        <v>118</v>
      </c>
      <c r="F41" t="s">
        <v>101</v>
      </c>
      <c r="G41" t="s">
        <v>102</v>
      </c>
      <c r="H41" t="s">
        <v>74</v>
      </c>
      <c r="I41">
        <f>ROUND(I40*116,9)</f>
        <v>2412.8000000000002</v>
      </c>
      <c r="J41">
        <v>0</v>
      </c>
      <c r="K41">
        <f>ROUND(I40*116,9)</f>
        <v>2412.8000000000002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145016711</v>
      </c>
      <c r="AB41">
        <f t="shared" si="25"/>
        <v>0</v>
      </c>
      <c r="AC41">
        <f t="shared" si="47"/>
        <v>0</v>
      </c>
      <c r="AD41">
        <f>ROUND((((ET41)-(EU41))+AE41),2)</f>
        <v>0</v>
      </c>
      <c r="AE41">
        <f>ROUND((EU41),2)</f>
        <v>0</v>
      </c>
      <c r="AF41">
        <f>ROUND((EV41),2)</f>
        <v>0</v>
      </c>
      <c r="AG41">
        <f t="shared" si="26"/>
        <v>0</v>
      </c>
      <c r="AH41">
        <f>(EW41)</f>
        <v>0</v>
      </c>
      <c r="AI41">
        <f>(EX41)</f>
        <v>0</v>
      </c>
      <c r="AJ41">
        <f t="shared" si="27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8.98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8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B41" t="s">
        <v>3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8"/>
        <v>0</v>
      </c>
      <c r="CQ41">
        <f t="shared" si="29"/>
        <v>0</v>
      </c>
      <c r="CR41">
        <f>(((ET41)*BB41-(EU41)*BS41)+AE41*BS41)</f>
        <v>0</v>
      </c>
      <c r="CS41">
        <f t="shared" si="30"/>
        <v>0</v>
      </c>
      <c r="CT41">
        <f t="shared" si="31"/>
        <v>0</v>
      </c>
      <c r="CU41">
        <f t="shared" si="32"/>
        <v>0</v>
      </c>
      <c r="CV41">
        <f t="shared" si="33"/>
        <v>0</v>
      </c>
      <c r="CW41">
        <f t="shared" si="34"/>
        <v>0</v>
      </c>
      <c r="CX41">
        <f t="shared" si="35"/>
        <v>0</v>
      </c>
      <c r="CY41">
        <f t="shared" si="36"/>
        <v>0</v>
      </c>
      <c r="CZ41">
        <f t="shared" si="37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74</v>
      </c>
      <c r="DW41" t="s">
        <v>74</v>
      </c>
      <c r="DX41">
        <v>1</v>
      </c>
      <c r="DZ41" t="s">
        <v>3</v>
      </c>
      <c r="EA41" t="s">
        <v>3</v>
      </c>
      <c r="EB41" t="s">
        <v>3</v>
      </c>
      <c r="EC41" t="s">
        <v>3</v>
      </c>
      <c r="EE41">
        <v>140625274</v>
      </c>
      <c r="EF41">
        <v>8</v>
      </c>
      <c r="EG41" t="s">
        <v>59</v>
      </c>
      <c r="EH41">
        <v>0</v>
      </c>
      <c r="EI41" t="s">
        <v>3</v>
      </c>
      <c r="EJ41">
        <v>1</v>
      </c>
      <c r="EK41">
        <v>1100</v>
      </c>
      <c r="EL41" t="s">
        <v>60</v>
      </c>
      <c r="EM41" t="s">
        <v>61</v>
      </c>
      <c r="EO41" t="s">
        <v>3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FQ41">
        <v>0</v>
      </c>
      <c r="FR41">
        <f t="shared" si="38"/>
        <v>0</v>
      </c>
      <c r="FS41">
        <v>0</v>
      </c>
      <c r="FX41">
        <v>0</v>
      </c>
      <c r="FY41">
        <v>0</v>
      </c>
      <c r="GA41" t="s">
        <v>103</v>
      </c>
      <c r="GD41">
        <v>1</v>
      </c>
      <c r="GF41">
        <v>765245708</v>
      </c>
      <c r="GG41">
        <v>2</v>
      </c>
      <c r="GH41">
        <v>0</v>
      </c>
      <c r="GI41">
        <v>4</v>
      </c>
      <c r="GJ41">
        <v>0</v>
      </c>
      <c r="GK41">
        <v>0</v>
      </c>
      <c r="GL41">
        <f t="shared" si="39"/>
        <v>0</v>
      </c>
      <c r="GM41">
        <f t="shared" si="40"/>
        <v>0</v>
      </c>
      <c r="GN41">
        <f t="shared" si="41"/>
        <v>0</v>
      </c>
      <c r="GO41">
        <f t="shared" si="42"/>
        <v>0</v>
      </c>
      <c r="GP41">
        <f t="shared" si="43"/>
        <v>0</v>
      </c>
      <c r="GR41">
        <v>0</v>
      </c>
      <c r="GS41">
        <v>4</v>
      </c>
      <c r="GT41">
        <v>0</v>
      </c>
      <c r="GU41" t="s">
        <v>3</v>
      </c>
      <c r="GV41">
        <f t="shared" si="46"/>
        <v>0</v>
      </c>
      <c r="GW41">
        <v>1</v>
      </c>
      <c r="GX41">
        <f t="shared" si="44"/>
        <v>0</v>
      </c>
      <c r="HA41">
        <v>0</v>
      </c>
      <c r="HB41">
        <v>0</v>
      </c>
      <c r="HC41">
        <f t="shared" si="45"/>
        <v>0</v>
      </c>
      <c r="HE41" t="s">
        <v>3</v>
      </c>
      <c r="HF41" t="s">
        <v>3</v>
      </c>
      <c r="HM41" t="s">
        <v>3</v>
      </c>
      <c r="HN41" t="s">
        <v>3</v>
      </c>
      <c r="HO41" t="s">
        <v>3</v>
      </c>
      <c r="HP41" t="s">
        <v>3</v>
      </c>
      <c r="HQ41" t="s">
        <v>3</v>
      </c>
      <c r="IK41">
        <v>0</v>
      </c>
    </row>
    <row r="42" spans="1:245" x14ac:dyDescent="0.2">
      <c r="A42">
        <v>17</v>
      </c>
      <c r="B42">
        <v>1</v>
      </c>
      <c r="E42" t="s">
        <v>119</v>
      </c>
      <c r="F42" t="s">
        <v>101</v>
      </c>
      <c r="G42" t="s">
        <v>120</v>
      </c>
      <c r="H42" t="s">
        <v>74</v>
      </c>
      <c r="I42">
        <f>ROUND(I40*114,9)</f>
        <v>2371.1999999999998</v>
      </c>
      <c r="J42">
        <v>0</v>
      </c>
      <c r="K42">
        <f>ROUND(I40*114,9)</f>
        <v>2371.1999999999998</v>
      </c>
      <c r="O42">
        <f t="shared" si="14"/>
        <v>0</v>
      </c>
      <c r="P42">
        <f t="shared" si="15"/>
        <v>0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2"/>
        <v>0</v>
      </c>
      <c r="X42">
        <f t="shared" si="23"/>
        <v>0</v>
      </c>
      <c r="Y42">
        <f t="shared" si="24"/>
        <v>0</v>
      </c>
      <c r="AA42">
        <v>145016711</v>
      </c>
      <c r="AB42">
        <f t="shared" si="25"/>
        <v>0</v>
      </c>
      <c r="AC42">
        <f t="shared" si="47"/>
        <v>0</v>
      </c>
      <c r="AD42">
        <f>ROUND((((ET42)-(EU42))+AE42),2)</f>
        <v>0</v>
      </c>
      <c r="AE42">
        <f>ROUND((EU42),2)</f>
        <v>0</v>
      </c>
      <c r="AF42">
        <f>ROUND((EV42),2)</f>
        <v>0</v>
      </c>
      <c r="AG42">
        <f t="shared" si="26"/>
        <v>0</v>
      </c>
      <c r="AH42">
        <f>(EW42)</f>
        <v>0</v>
      </c>
      <c r="AI42">
        <f>(EX42)</f>
        <v>0</v>
      </c>
      <c r="AJ42">
        <f t="shared" si="27"/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8.98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3</v>
      </c>
      <c r="BM42">
        <v>1100</v>
      </c>
      <c r="BN42">
        <v>0</v>
      </c>
      <c r="BO42" t="s">
        <v>3</v>
      </c>
      <c r="BP42">
        <v>0</v>
      </c>
      <c r="BQ42">
        <v>8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0</v>
      </c>
      <c r="CA42">
        <v>0</v>
      </c>
      <c r="CB42" t="s">
        <v>3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28"/>
        <v>0</v>
      </c>
      <c r="CQ42">
        <f t="shared" si="29"/>
        <v>0</v>
      </c>
      <c r="CR42">
        <f>(((ET42)*BB42-(EU42)*BS42)+AE42*BS42)</f>
        <v>0</v>
      </c>
      <c r="CS42">
        <f t="shared" si="30"/>
        <v>0</v>
      </c>
      <c r="CT42">
        <f t="shared" si="31"/>
        <v>0</v>
      </c>
      <c r="CU42">
        <f t="shared" si="32"/>
        <v>0</v>
      </c>
      <c r="CV42">
        <f t="shared" si="33"/>
        <v>0</v>
      </c>
      <c r="CW42">
        <f t="shared" si="34"/>
        <v>0</v>
      </c>
      <c r="CX42">
        <f t="shared" si="35"/>
        <v>0</v>
      </c>
      <c r="CY42">
        <f t="shared" si="36"/>
        <v>0</v>
      </c>
      <c r="CZ42">
        <f t="shared" si="37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74</v>
      </c>
      <c r="DW42" t="s">
        <v>74</v>
      </c>
      <c r="DX42">
        <v>1</v>
      </c>
      <c r="DZ42" t="s">
        <v>3</v>
      </c>
      <c r="EA42" t="s">
        <v>3</v>
      </c>
      <c r="EB42" t="s">
        <v>3</v>
      </c>
      <c r="EC42" t="s">
        <v>3</v>
      </c>
      <c r="EE42">
        <v>140625274</v>
      </c>
      <c r="EF42">
        <v>8</v>
      </c>
      <c r="EG42" t="s">
        <v>59</v>
      </c>
      <c r="EH42">
        <v>0</v>
      </c>
      <c r="EI42" t="s">
        <v>3</v>
      </c>
      <c r="EJ42">
        <v>1</v>
      </c>
      <c r="EK42">
        <v>1100</v>
      </c>
      <c r="EL42" t="s">
        <v>60</v>
      </c>
      <c r="EM42" t="s">
        <v>61</v>
      </c>
      <c r="EO42" t="s">
        <v>3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FQ42">
        <v>0</v>
      </c>
      <c r="FR42">
        <f t="shared" si="38"/>
        <v>0</v>
      </c>
      <c r="FS42">
        <v>0</v>
      </c>
      <c r="FX42">
        <v>0</v>
      </c>
      <c r="FY42">
        <v>0</v>
      </c>
      <c r="GA42" t="s">
        <v>103</v>
      </c>
      <c r="GD42">
        <v>1</v>
      </c>
      <c r="GF42">
        <v>-1839612456</v>
      </c>
      <c r="GG42">
        <v>2</v>
      </c>
      <c r="GH42">
        <v>0</v>
      </c>
      <c r="GI42">
        <v>4</v>
      </c>
      <c r="GJ42">
        <v>0</v>
      </c>
      <c r="GK42">
        <v>0</v>
      </c>
      <c r="GL42">
        <f t="shared" si="39"/>
        <v>0</v>
      </c>
      <c r="GM42">
        <f t="shared" si="40"/>
        <v>0</v>
      </c>
      <c r="GN42">
        <f t="shared" si="41"/>
        <v>0</v>
      </c>
      <c r="GO42">
        <f t="shared" si="42"/>
        <v>0</v>
      </c>
      <c r="GP42">
        <f t="shared" si="43"/>
        <v>0</v>
      </c>
      <c r="GR42">
        <v>0</v>
      </c>
      <c r="GS42">
        <v>4</v>
      </c>
      <c r="GT42">
        <v>0</v>
      </c>
      <c r="GU42" t="s">
        <v>3</v>
      </c>
      <c r="GV42">
        <f t="shared" si="46"/>
        <v>0</v>
      </c>
      <c r="GW42">
        <v>1</v>
      </c>
      <c r="GX42">
        <f t="shared" si="44"/>
        <v>0</v>
      </c>
      <c r="HA42">
        <v>0</v>
      </c>
      <c r="HB42">
        <v>0</v>
      </c>
      <c r="HC42">
        <f t="shared" si="45"/>
        <v>0</v>
      </c>
      <c r="HE42" t="s">
        <v>3</v>
      </c>
      <c r="HF42" t="s">
        <v>3</v>
      </c>
      <c r="HM42" t="s">
        <v>3</v>
      </c>
      <c r="HN42" t="s">
        <v>3</v>
      </c>
      <c r="HO42" t="s">
        <v>3</v>
      </c>
      <c r="HP42" t="s">
        <v>3</v>
      </c>
      <c r="HQ42" t="s">
        <v>3</v>
      </c>
      <c r="IK42">
        <v>0</v>
      </c>
    </row>
    <row r="43" spans="1:245" x14ac:dyDescent="0.2">
      <c r="A43">
        <v>17</v>
      </c>
      <c r="B43">
        <v>1</v>
      </c>
      <c r="C43">
        <f>ROW(SmtRes!A73)</f>
        <v>73</v>
      </c>
      <c r="D43">
        <f>ROW(EtalonRes!A73)</f>
        <v>73</v>
      </c>
      <c r="E43" t="s">
        <v>121</v>
      </c>
      <c r="F43" t="s">
        <v>122</v>
      </c>
      <c r="G43" t="s">
        <v>123</v>
      </c>
      <c r="H43" t="s">
        <v>79</v>
      </c>
      <c r="I43">
        <f>ROUND(75/100,9)</f>
        <v>0.75</v>
      </c>
      <c r="J43">
        <v>0</v>
      </c>
      <c r="K43">
        <f>ROUND(75/100,9)</f>
        <v>0.75</v>
      </c>
      <c r="O43">
        <f t="shared" si="14"/>
        <v>13020.93</v>
      </c>
      <c r="P43">
        <f t="shared" si="15"/>
        <v>3118.04</v>
      </c>
      <c r="Q43">
        <f t="shared" si="16"/>
        <v>863.44</v>
      </c>
      <c r="R43">
        <f t="shared" si="17"/>
        <v>341.54</v>
      </c>
      <c r="S43">
        <f t="shared" si="18"/>
        <v>9039.4500000000007</v>
      </c>
      <c r="T43">
        <f t="shared" si="19"/>
        <v>0</v>
      </c>
      <c r="U43">
        <f t="shared" si="20"/>
        <v>30.618749999999999</v>
      </c>
      <c r="V43">
        <f t="shared" si="21"/>
        <v>0.80624999999999991</v>
      </c>
      <c r="W43">
        <f t="shared" si="22"/>
        <v>0</v>
      </c>
      <c r="X43">
        <f t="shared" si="23"/>
        <v>10225.280000000001</v>
      </c>
      <c r="Y43">
        <f t="shared" si="24"/>
        <v>4545.09</v>
      </c>
      <c r="AA43">
        <v>145016711</v>
      </c>
      <c r="AB43">
        <f t="shared" si="25"/>
        <v>930.35</v>
      </c>
      <c r="AC43">
        <f t="shared" si="47"/>
        <v>462.96</v>
      </c>
      <c r="AD43">
        <f>ROUND(((((ET43*1.25))-((EU43*1.25)))+AE43),2)</f>
        <v>92.62</v>
      </c>
      <c r="AE43">
        <f>ROUND(((EU43*1.25)),2)</f>
        <v>14.16</v>
      </c>
      <c r="AF43">
        <f>ROUND(((EV43*1.15)),2)</f>
        <v>374.77</v>
      </c>
      <c r="AG43">
        <f t="shared" si="26"/>
        <v>0</v>
      </c>
      <c r="AH43">
        <f>((EW43*1.15))</f>
        <v>40.824999999999996</v>
      </c>
      <c r="AI43">
        <f>((EX43*1.25))</f>
        <v>1.075</v>
      </c>
      <c r="AJ43">
        <f t="shared" si="27"/>
        <v>0</v>
      </c>
      <c r="AK43">
        <v>862.95</v>
      </c>
      <c r="AL43">
        <v>462.96</v>
      </c>
      <c r="AM43">
        <v>74.099999999999994</v>
      </c>
      <c r="AN43">
        <v>11.33</v>
      </c>
      <c r="AO43">
        <v>325.89</v>
      </c>
      <c r="AP43">
        <v>0</v>
      </c>
      <c r="AQ43">
        <v>35.5</v>
      </c>
      <c r="AR43">
        <v>0.86</v>
      </c>
      <c r="AS43">
        <v>0</v>
      </c>
      <c r="AT43">
        <v>109</v>
      </c>
      <c r="AU43">
        <v>48.45</v>
      </c>
      <c r="AV43">
        <v>1</v>
      </c>
      <c r="AW43">
        <v>1</v>
      </c>
      <c r="AZ43">
        <v>1</v>
      </c>
      <c r="BA43">
        <v>32.159999999999997</v>
      </c>
      <c r="BB43">
        <v>12.43</v>
      </c>
      <c r="BC43">
        <v>8.98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124</v>
      </c>
      <c r="BM43">
        <v>12001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v>32.159999999999997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109</v>
      </c>
      <c r="CA43">
        <v>57</v>
      </c>
      <c r="CB43" t="s">
        <v>3</v>
      </c>
      <c r="CE43">
        <v>0</v>
      </c>
      <c r="CF43">
        <v>0</v>
      </c>
      <c r="CG43">
        <v>0</v>
      </c>
      <c r="CM43">
        <v>0</v>
      </c>
      <c r="CN43" t="s">
        <v>372</v>
      </c>
      <c r="CO43">
        <v>0</v>
      </c>
      <c r="CP43">
        <f t="shared" si="28"/>
        <v>13020.93</v>
      </c>
      <c r="CQ43">
        <f t="shared" si="29"/>
        <v>4157.3807999999999</v>
      </c>
      <c r="CR43">
        <f>((((ET43*1.25))*BB43-((EU43*1.25))*BS43)+AE43*BS43)</f>
        <v>1151.2483499999998</v>
      </c>
      <c r="CS43">
        <f t="shared" si="30"/>
        <v>455.38559999999995</v>
      </c>
      <c r="CT43">
        <f t="shared" si="31"/>
        <v>12052.603199999998</v>
      </c>
      <c r="CU43">
        <f t="shared" si="32"/>
        <v>0</v>
      </c>
      <c r="CV43">
        <f t="shared" si="33"/>
        <v>40.824999999999996</v>
      </c>
      <c r="CW43">
        <f t="shared" si="34"/>
        <v>1.075</v>
      </c>
      <c r="CX43">
        <f t="shared" si="35"/>
        <v>0</v>
      </c>
      <c r="CY43">
        <f t="shared" si="36"/>
        <v>10225.279100000002</v>
      </c>
      <c r="CZ43">
        <f t="shared" si="37"/>
        <v>4545.0896550000007</v>
      </c>
      <c r="DC43" t="s">
        <v>3</v>
      </c>
      <c r="DD43" t="s">
        <v>3</v>
      </c>
      <c r="DE43" t="s">
        <v>47</v>
      </c>
      <c r="DF43" t="s">
        <v>47</v>
      </c>
      <c r="DG43" t="s">
        <v>48</v>
      </c>
      <c r="DH43" t="s">
        <v>3</v>
      </c>
      <c r="DI43" t="s">
        <v>48</v>
      </c>
      <c r="DJ43" t="s">
        <v>47</v>
      </c>
      <c r="DK43" t="s">
        <v>3</v>
      </c>
      <c r="DL43" t="s">
        <v>3</v>
      </c>
      <c r="DM43" t="s">
        <v>49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79</v>
      </c>
      <c r="DW43" t="s">
        <v>79</v>
      </c>
      <c r="DX43">
        <v>100</v>
      </c>
      <c r="DZ43" t="s">
        <v>3</v>
      </c>
      <c r="EA43" t="s">
        <v>3</v>
      </c>
      <c r="EB43" t="s">
        <v>3</v>
      </c>
      <c r="EC43" t="s">
        <v>3</v>
      </c>
      <c r="EE43">
        <v>140625032</v>
      </c>
      <c r="EF43">
        <v>2</v>
      </c>
      <c r="EG43" t="s">
        <v>20</v>
      </c>
      <c r="EH43">
        <v>12</v>
      </c>
      <c r="EI43" t="s">
        <v>33</v>
      </c>
      <c r="EJ43">
        <v>1</v>
      </c>
      <c r="EK43">
        <v>12001</v>
      </c>
      <c r="EL43" t="s">
        <v>33</v>
      </c>
      <c r="EM43" t="s">
        <v>34</v>
      </c>
      <c r="EO43" t="s">
        <v>50</v>
      </c>
      <c r="EQ43">
        <v>0</v>
      </c>
      <c r="ER43">
        <v>862.95</v>
      </c>
      <c r="ES43">
        <v>462.96</v>
      </c>
      <c r="ET43">
        <v>74.099999999999994</v>
      </c>
      <c r="EU43">
        <v>11.33</v>
      </c>
      <c r="EV43">
        <v>325.89</v>
      </c>
      <c r="EW43">
        <v>35.5</v>
      </c>
      <c r="EX43">
        <v>0.86</v>
      </c>
      <c r="EY43">
        <v>0</v>
      </c>
      <c r="FQ43">
        <v>0</v>
      </c>
      <c r="FR43">
        <f t="shared" si="38"/>
        <v>0</v>
      </c>
      <c r="FS43">
        <v>0</v>
      </c>
      <c r="FX43">
        <v>109</v>
      </c>
      <c r="FY43">
        <v>48.45</v>
      </c>
      <c r="GA43" t="s">
        <v>3</v>
      </c>
      <c r="GD43">
        <v>1</v>
      </c>
      <c r="GF43">
        <v>102961426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39"/>
        <v>0</v>
      </c>
      <c r="GM43">
        <f t="shared" si="40"/>
        <v>27791.3</v>
      </c>
      <c r="GN43">
        <f t="shared" si="41"/>
        <v>27791.3</v>
      </c>
      <c r="GO43">
        <f t="shared" si="42"/>
        <v>0</v>
      </c>
      <c r="GP43">
        <f t="shared" si="43"/>
        <v>0</v>
      </c>
      <c r="GR43">
        <v>0</v>
      </c>
      <c r="GS43">
        <v>3</v>
      </c>
      <c r="GT43">
        <v>0</v>
      </c>
      <c r="GU43" t="s">
        <v>3</v>
      </c>
      <c r="GV43">
        <f t="shared" si="46"/>
        <v>0</v>
      </c>
      <c r="GW43">
        <v>1</v>
      </c>
      <c r="GX43">
        <f t="shared" si="44"/>
        <v>0</v>
      </c>
      <c r="HA43">
        <v>0</v>
      </c>
      <c r="HB43">
        <v>0</v>
      </c>
      <c r="HC43">
        <f t="shared" si="45"/>
        <v>0</v>
      </c>
      <c r="HE43" t="s">
        <v>3</v>
      </c>
      <c r="HF43" t="s">
        <v>3</v>
      </c>
      <c r="HM43" t="s">
        <v>3</v>
      </c>
      <c r="HN43" t="s">
        <v>36</v>
      </c>
      <c r="HO43" t="s">
        <v>37</v>
      </c>
      <c r="HP43" t="s">
        <v>33</v>
      </c>
      <c r="HQ43" t="s">
        <v>33</v>
      </c>
      <c r="IK43">
        <v>0</v>
      </c>
    </row>
    <row r="44" spans="1:245" x14ac:dyDescent="0.2">
      <c r="A44">
        <v>18</v>
      </c>
      <c r="B44">
        <v>1</v>
      </c>
      <c r="C44">
        <v>72</v>
      </c>
      <c r="E44" t="s">
        <v>125</v>
      </c>
      <c r="F44" t="s">
        <v>126</v>
      </c>
      <c r="G44" t="s">
        <v>127</v>
      </c>
      <c r="H44" t="s">
        <v>58</v>
      </c>
      <c r="I44">
        <f>I43*J44</f>
        <v>-0.38250000000000001</v>
      </c>
      <c r="J44">
        <v>-0.51</v>
      </c>
      <c r="K44">
        <v>-0.51</v>
      </c>
      <c r="O44">
        <f t="shared" si="14"/>
        <v>-1785.44</v>
      </c>
      <c r="P44">
        <f t="shared" si="15"/>
        <v>-1785.44</v>
      </c>
      <c r="Q44">
        <f t="shared" si="16"/>
        <v>0</v>
      </c>
      <c r="R44">
        <f t="shared" si="17"/>
        <v>0</v>
      </c>
      <c r="S44">
        <f t="shared" si="18"/>
        <v>0</v>
      </c>
      <c r="T44">
        <f t="shared" si="19"/>
        <v>0</v>
      </c>
      <c r="U44">
        <f t="shared" si="20"/>
        <v>0</v>
      </c>
      <c r="V44">
        <f t="shared" si="21"/>
        <v>0</v>
      </c>
      <c r="W44">
        <f t="shared" si="22"/>
        <v>0</v>
      </c>
      <c r="X44">
        <f t="shared" si="23"/>
        <v>0</v>
      </c>
      <c r="Y44">
        <f t="shared" si="24"/>
        <v>0</v>
      </c>
      <c r="AA44">
        <v>145016711</v>
      </c>
      <c r="AB44">
        <f t="shared" si="25"/>
        <v>519.79999999999995</v>
      </c>
      <c r="AC44">
        <f t="shared" si="47"/>
        <v>519.79999999999995</v>
      </c>
      <c r="AD44">
        <f>ROUND((((ET44)-(EU44))+AE44),2)</f>
        <v>0</v>
      </c>
      <c r="AE44">
        <f t="shared" ref="AE44:AF47" si="48">ROUND((EU44),2)</f>
        <v>0</v>
      </c>
      <c r="AF44">
        <f t="shared" si="48"/>
        <v>0</v>
      </c>
      <c r="AG44">
        <f t="shared" si="26"/>
        <v>0</v>
      </c>
      <c r="AH44">
        <f t="shared" ref="AH44:AI47" si="49">(EW44)</f>
        <v>0</v>
      </c>
      <c r="AI44">
        <f t="shared" si="49"/>
        <v>0</v>
      </c>
      <c r="AJ44">
        <f t="shared" si="27"/>
        <v>0</v>
      </c>
      <c r="AK44">
        <v>519.79999999999995</v>
      </c>
      <c r="AL44">
        <v>519.79999999999995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109</v>
      </c>
      <c r="AU44">
        <v>57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8.98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1</v>
      </c>
      <c r="BJ44" t="s">
        <v>128</v>
      </c>
      <c r="BM44">
        <v>12001</v>
      </c>
      <c r="BN44">
        <v>0</v>
      </c>
      <c r="BO44" t="s">
        <v>3</v>
      </c>
      <c r="BP44">
        <v>0</v>
      </c>
      <c r="BQ44">
        <v>2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109</v>
      </c>
      <c r="CA44">
        <v>57</v>
      </c>
      <c r="CB44" t="s">
        <v>3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28"/>
        <v>-1785.44</v>
      </c>
      <c r="CQ44">
        <f t="shared" si="29"/>
        <v>4667.8040000000001</v>
      </c>
      <c r="CR44">
        <f>(((ET44)*BB44-(EU44)*BS44)+AE44*BS44)</f>
        <v>0</v>
      </c>
      <c r="CS44">
        <f t="shared" si="30"/>
        <v>0</v>
      </c>
      <c r="CT44">
        <f t="shared" si="31"/>
        <v>0</v>
      </c>
      <c r="CU44">
        <f t="shared" si="32"/>
        <v>0</v>
      </c>
      <c r="CV44">
        <f t="shared" si="33"/>
        <v>0</v>
      </c>
      <c r="CW44">
        <f t="shared" si="34"/>
        <v>0</v>
      </c>
      <c r="CX44">
        <f t="shared" si="35"/>
        <v>0</v>
      </c>
      <c r="CY44">
        <f t="shared" si="36"/>
        <v>0</v>
      </c>
      <c r="CZ44">
        <f t="shared" si="37"/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1007</v>
      </c>
      <c r="DV44" t="s">
        <v>58</v>
      </c>
      <c r="DW44" t="s">
        <v>58</v>
      </c>
      <c r="DX44">
        <v>1</v>
      </c>
      <c r="DZ44" t="s">
        <v>3</v>
      </c>
      <c r="EA44" t="s">
        <v>3</v>
      </c>
      <c r="EB44" t="s">
        <v>3</v>
      </c>
      <c r="EC44" t="s">
        <v>3</v>
      </c>
      <c r="EE44">
        <v>140625032</v>
      </c>
      <c r="EF44">
        <v>2</v>
      </c>
      <c r="EG44" t="s">
        <v>20</v>
      </c>
      <c r="EH44">
        <v>12</v>
      </c>
      <c r="EI44" t="s">
        <v>33</v>
      </c>
      <c r="EJ44">
        <v>1</v>
      </c>
      <c r="EK44">
        <v>12001</v>
      </c>
      <c r="EL44" t="s">
        <v>33</v>
      </c>
      <c r="EM44" t="s">
        <v>34</v>
      </c>
      <c r="EO44" t="s">
        <v>3</v>
      </c>
      <c r="EQ44">
        <v>0</v>
      </c>
      <c r="ER44">
        <v>519.79999999999995</v>
      </c>
      <c r="ES44">
        <v>519.79999999999995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38"/>
        <v>0</v>
      </c>
      <c r="FS44">
        <v>0</v>
      </c>
      <c r="FX44">
        <v>109</v>
      </c>
      <c r="FY44">
        <v>57</v>
      </c>
      <c r="GA44" t="s">
        <v>3</v>
      </c>
      <c r="GD44">
        <v>1</v>
      </c>
      <c r="GF44">
        <v>461598558</v>
      </c>
      <c r="GG44">
        <v>2</v>
      </c>
      <c r="GH44">
        <v>1</v>
      </c>
      <c r="GI44">
        <v>4</v>
      </c>
      <c r="GJ44">
        <v>0</v>
      </c>
      <c r="GK44">
        <v>0</v>
      </c>
      <c r="GL44">
        <f t="shared" si="39"/>
        <v>0</v>
      </c>
      <c r="GM44">
        <f t="shared" si="40"/>
        <v>-1785.44</v>
      </c>
      <c r="GN44">
        <f t="shared" si="41"/>
        <v>-1785.44</v>
      </c>
      <c r="GO44">
        <f t="shared" si="42"/>
        <v>0</v>
      </c>
      <c r="GP44">
        <f t="shared" si="43"/>
        <v>0</v>
      </c>
      <c r="GR44">
        <v>0</v>
      </c>
      <c r="GS44">
        <v>3</v>
      </c>
      <c r="GT44">
        <v>0</v>
      </c>
      <c r="GU44" t="s">
        <v>3</v>
      </c>
      <c r="GV44">
        <f t="shared" si="46"/>
        <v>0</v>
      </c>
      <c r="GW44">
        <v>1</v>
      </c>
      <c r="GX44">
        <f t="shared" si="44"/>
        <v>0</v>
      </c>
      <c r="HA44">
        <v>0</v>
      </c>
      <c r="HB44">
        <v>0</v>
      </c>
      <c r="HC44">
        <f t="shared" si="45"/>
        <v>0</v>
      </c>
      <c r="HE44" t="s">
        <v>3</v>
      </c>
      <c r="HF44" t="s">
        <v>3</v>
      </c>
      <c r="HM44" t="s">
        <v>3</v>
      </c>
      <c r="HN44" t="s">
        <v>36</v>
      </c>
      <c r="HO44" t="s">
        <v>37</v>
      </c>
      <c r="HP44" t="s">
        <v>33</v>
      </c>
      <c r="HQ44" t="s">
        <v>33</v>
      </c>
      <c r="IK44">
        <v>0</v>
      </c>
    </row>
    <row r="45" spans="1:245" x14ac:dyDescent="0.2">
      <c r="A45">
        <v>17</v>
      </c>
      <c r="B45">
        <v>1</v>
      </c>
      <c r="E45" t="s">
        <v>129</v>
      </c>
      <c r="F45" t="s">
        <v>56</v>
      </c>
      <c r="G45" t="s">
        <v>57</v>
      </c>
      <c r="H45" t="s">
        <v>58</v>
      </c>
      <c r="I45">
        <f>ROUND(ROUND(I43*0.51,2),9)</f>
        <v>0.38</v>
      </c>
      <c r="J45">
        <v>0</v>
      </c>
      <c r="K45">
        <f>ROUND(ROUND(I43*0.51,2),9)</f>
        <v>0.38</v>
      </c>
      <c r="O45">
        <f t="shared" si="14"/>
        <v>1899.99</v>
      </c>
      <c r="P45">
        <f t="shared" si="15"/>
        <v>1899.99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145016711</v>
      </c>
      <c r="AB45">
        <f t="shared" si="25"/>
        <v>556.79</v>
      </c>
      <c r="AC45">
        <f t="shared" si="47"/>
        <v>556.79</v>
      </c>
      <c r="AD45">
        <f>ROUND((((ET45)-(EU45))+AE45),2)</f>
        <v>0</v>
      </c>
      <c r="AE45">
        <f t="shared" si="48"/>
        <v>0</v>
      </c>
      <c r="AF45">
        <f t="shared" si="48"/>
        <v>0</v>
      </c>
      <c r="AG45">
        <f t="shared" si="26"/>
        <v>0</v>
      </c>
      <c r="AH45">
        <f t="shared" si="49"/>
        <v>0</v>
      </c>
      <c r="AI45">
        <f t="shared" si="49"/>
        <v>0</v>
      </c>
      <c r="AJ45">
        <f t="shared" si="27"/>
        <v>0</v>
      </c>
      <c r="AK45">
        <v>556.79</v>
      </c>
      <c r="AL45">
        <v>556.79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8.98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8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B45" t="s">
        <v>3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8"/>
        <v>1899.99</v>
      </c>
      <c r="CQ45">
        <f t="shared" si="29"/>
        <v>4999.9741999999997</v>
      </c>
      <c r="CR45">
        <f>(((ET45)*BB45-(EU45)*BS45)+AE45*BS45)</f>
        <v>0</v>
      </c>
      <c r="CS45">
        <f t="shared" si="30"/>
        <v>0</v>
      </c>
      <c r="CT45">
        <f t="shared" si="31"/>
        <v>0</v>
      </c>
      <c r="CU45">
        <f t="shared" si="32"/>
        <v>0</v>
      </c>
      <c r="CV45">
        <f t="shared" si="33"/>
        <v>0</v>
      </c>
      <c r="CW45">
        <f t="shared" si="34"/>
        <v>0</v>
      </c>
      <c r="CX45">
        <f t="shared" si="35"/>
        <v>0</v>
      </c>
      <c r="CY45">
        <f t="shared" si="36"/>
        <v>0</v>
      </c>
      <c r="CZ45">
        <f t="shared" si="37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58</v>
      </c>
      <c r="DW45" t="s">
        <v>58</v>
      </c>
      <c r="DX45">
        <v>1</v>
      </c>
      <c r="DZ45" t="s">
        <v>3</v>
      </c>
      <c r="EA45" t="s">
        <v>3</v>
      </c>
      <c r="EB45" t="s">
        <v>3</v>
      </c>
      <c r="EC45" t="s">
        <v>3</v>
      </c>
      <c r="EE45">
        <v>140625274</v>
      </c>
      <c r="EF45">
        <v>8</v>
      </c>
      <c r="EG45" t="s">
        <v>59</v>
      </c>
      <c r="EH45">
        <v>0</v>
      </c>
      <c r="EI45" t="s">
        <v>3</v>
      </c>
      <c r="EJ45">
        <v>1</v>
      </c>
      <c r="EK45">
        <v>1100</v>
      </c>
      <c r="EL45" t="s">
        <v>60</v>
      </c>
      <c r="EM45" t="s">
        <v>61</v>
      </c>
      <c r="EO45" t="s">
        <v>3</v>
      </c>
      <c r="EQ45">
        <v>0</v>
      </c>
      <c r="ER45">
        <v>556.79</v>
      </c>
      <c r="ES45">
        <v>556.79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1</v>
      </c>
      <c r="FD45">
        <v>18</v>
      </c>
      <c r="FF45">
        <v>6000</v>
      </c>
      <c r="FQ45">
        <v>0</v>
      </c>
      <c r="FR45">
        <f t="shared" si="38"/>
        <v>0</v>
      </c>
      <c r="FS45">
        <v>0</v>
      </c>
      <c r="FX45">
        <v>0</v>
      </c>
      <c r="FY45">
        <v>0</v>
      </c>
      <c r="GA45" t="s">
        <v>62</v>
      </c>
      <c r="GD45">
        <v>1</v>
      </c>
      <c r="GF45">
        <v>114972137</v>
      </c>
      <c r="GG45">
        <v>2</v>
      </c>
      <c r="GH45">
        <v>3</v>
      </c>
      <c r="GI45">
        <v>4</v>
      </c>
      <c r="GJ45">
        <v>0</v>
      </c>
      <c r="GK45">
        <v>0</v>
      </c>
      <c r="GL45">
        <f t="shared" si="39"/>
        <v>0</v>
      </c>
      <c r="GM45">
        <f t="shared" si="40"/>
        <v>1899.99</v>
      </c>
      <c r="GN45">
        <f t="shared" si="41"/>
        <v>1899.99</v>
      </c>
      <c r="GO45">
        <f t="shared" si="42"/>
        <v>0</v>
      </c>
      <c r="GP45">
        <f t="shared" si="43"/>
        <v>0</v>
      </c>
      <c r="GR45">
        <v>1</v>
      </c>
      <c r="GS45">
        <v>1</v>
      </c>
      <c r="GT45">
        <v>0</v>
      </c>
      <c r="GU45" t="s">
        <v>3</v>
      </c>
      <c r="GV45">
        <f t="shared" si="46"/>
        <v>0</v>
      </c>
      <c r="GW45">
        <v>1</v>
      </c>
      <c r="GX45">
        <f t="shared" si="44"/>
        <v>0</v>
      </c>
      <c r="HA45">
        <v>0</v>
      </c>
      <c r="HB45">
        <v>0</v>
      </c>
      <c r="HC45">
        <f t="shared" si="45"/>
        <v>0</v>
      </c>
      <c r="HE45" t="s">
        <v>63</v>
      </c>
      <c r="HF45" t="s">
        <v>63</v>
      </c>
      <c r="HM45" t="s">
        <v>3</v>
      </c>
      <c r="HN45" t="s">
        <v>3</v>
      </c>
      <c r="HO45" t="s">
        <v>3</v>
      </c>
      <c r="HP45" t="s">
        <v>3</v>
      </c>
      <c r="HQ45" t="s">
        <v>3</v>
      </c>
      <c r="IK45">
        <v>0</v>
      </c>
    </row>
    <row r="46" spans="1:245" x14ac:dyDescent="0.2">
      <c r="A46">
        <v>17</v>
      </c>
      <c r="B46">
        <v>1</v>
      </c>
      <c r="E46" t="s">
        <v>130</v>
      </c>
      <c r="F46" t="s">
        <v>101</v>
      </c>
      <c r="G46" t="s">
        <v>102</v>
      </c>
      <c r="H46" t="s">
        <v>74</v>
      </c>
      <c r="I46">
        <f>ROUND(I43*252/2,9)</f>
        <v>94.5</v>
      </c>
      <c r="J46">
        <v>0</v>
      </c>
      <c r="K46">
        <f>ROUND(I43*252/2,9)</f>
        <v>94.5</v>
      </c>
      <c r="O46">
        <f t="shared" si="14"/>
        <v>0</v>
      </c>
      <c r="P46">
        <f t="shared" si="15"/>
        <v>0</v>
      </c>
      <c r="Q46">
        <f t="shared" si="16"/>
        <v>0</v>
      </c>
      <c r="R46">
        <f t="shared" si="17"/>
        <v>0</v>
      </c>
      <c r="S46">
        <f t="shared" si="18"/>
        <v>0</v>
      </c>
      <c r="T46">
        <f t="shared" si="19"/>
        <v>0</v>
      </c>
      <c r="U46">
        <f t="shared" si="20"/>
        <v>0</v>
      </c>
      <c r="V46">
        <f t="shared" si="21"/>
        <v>0</v>
      </c>
      <c r="W46">
        <f t="shared" si="22"/>
        <v>0</v>
      </c>
      <c r="X46">
        <f t="shared" si="23"/>
        <v>0</v>
      </c>
      <c r="Y46">
        <f t="shared" si="24"/>
        <v>0</v>
      </c>
      <c r="AA46">
        <v>145016711</v>
      </c>
      <c r="AB46">
        <f t="shared" si="25"/>
        <v>0</v>
      </c>
      <c r="AC46">
        <f t="shared" si="47"/>
        <v>0</v>
      </c>
      <c r="AD46">
        <f>ROUND((((ET46)-(EU46))+AE46),2)</f>
        <v>0</v>
      </c>
      <c r="AE46">
        <f t="shared" si="48"/>
        <v>0</v>
      </c>
      <c r="AF46">
        <f t="shared" si="48"/>
        <v>0</v>
      </c>
      <c r="AG46">
        <f t="shared" si="26"/>
        <v>0</v>
      </c>
      <c r="AH46">
        <f t="shared" si="49"/>
        <v>0</v>
      </c>
      <c r="AI46">
        <f t="shared" si="49"/>
        <v>0</v>
      </c>
      <c r="AJ46">
        <f t="shared" si="27"/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8.98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3</v>
      </c>
      <c r="BM46">
        <v>1100</v>
      </c>
      <c r="BN46">
        <v>0</v>
      </c>
      <c r="BO46" t="s">
        <v>3</v>
      </c>
      <c r="BP46">
        <v>0</v>
      </c>
      <c r="BQ46">
        <v>8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0</v>
      </c>
      <c r="CA46">
        <v>0</v>
      </c>
      <c r="CB46" t="s">
        <v>3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28"/>
        <v>0</v>
      </c>
      <c r="CQ46">
        <f t="shared" si="29"/>
        <v>0</v>
      </c>
      <c r="CR46">
        <f>(((ET46)*BB46-(EU46)*BS46)+AE46*BS46)</f>
        <v>0</v>
      </c>
      <c r="CS46">
        <f t="shared" si="30"/>
        <v>0</v>
      </c>
      <c r="CT46">
        <f t="shared" si="31"/>
        <v>0</v>
      </c>
      <c r="CU46">
        <f t="shared" si="32"/>
        <v>0</v>
      </c>
      <c r="CV46">
        <f t="shared" si="33"/>
        <v>0</v>
      </c>
      <c r="CW46">
        <f t="shared" si="34"/>
        <v>0</v>
      </c>
      <c r="CX46">
        <f t="shared" si="35"/>
        <v>0</v>
      </c>
      <c r="CY46">
        <f t="shared" si="36"/>
        <v>0</v>
      </c>
      <c r="CZ46">
        <f t="shared" si="37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1005</v>
      </c>
      <c r="DV46" t="s">
        <v>74</v>
      </c>
      <c r="DW46" t="s">
        <v>74</v>
      </c>
      <c r="DX46">
        <v>1</v>
      </c>
      <c r="DZ46" t="s">
        <v>3</v>
      </c>
      <c r="EA46" t="s">
        <v>3</v>
      </c>
      <c r="EB46" t="s">
        <v>3</v>
      </c>
      <c r="EC46" t="s">
        <v>3</v>
      </c>
      <c r="EE46">
        <v>140625274</v>
      </c>
      <c r="EF46">
        <v>8</v>
      </c>
      <c r="EG46" t="s">
        <v>59</v>
      </c>
      <c r="EH46">
        <v>0</v>
      </c>
      <c r="EI46" t="s">
        <v>3</v>
      </c>
      <c r="EJ46">
        <v>1</v>
      </c>
      <c r="EK46">
        <v>1100</v>
      </c>
      <c r="EL46" t="s">
        <v>60</v>
      </c>
      <c r="EM46" t="s">
        <v>61</v>
      </c>
      <c r="EO46" t="s">
        <v>3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FQ46">
        <v>0</v>
      </c>
      <c r="FR46">
        <f t="shared" si="38"/>
        <v>0</v>
      </c>
      <c r="FS46">
        <v>0</v>
      </c>
      <c r="FX46">
        <v>0</v>
      </c>
      <c r="FY46">
        <v>0</v>
      </c>
      <c r="GA46" t="s">
        <v>103</v>
      </c>
      <c r="GD46">
        <v>1</v>
      </c>
      <c r="GF46">
        <v>765245708</v>
      </c>
      <c r="GG46">
        <v>2</v>
      </c>
      <c r="GH46">
        <v>0</v>
      </c>
      <c r="GI46">
        <v>4</v>
      </c>
      <c r="GJ46">
        <v>0</v>
      </c>
      <c r="GK46">
        <v>0</v>
      </c>
      <c r="GL46">
        <f t="shared" si="39"/>
        <v>0</v>
      </c>
      <c r="GM46">
        <f t="shared" si="40"/>
        <v>0</v>
      </c>
      <c r="GN46">
        <f t="shared" si="41"/>
        <v>0</v>
      </c>
      <c r="GO46">
        <f t="shared" si="42"/>
        <v>0</v>
      </c>
      <c r="GP46">
        <f t="shared" si="43"/>
        <v>0</v>
      </c>
      <c r="GR46">
        <v>0</v>
      </c>
      <c r="GS46">
        <v>4</v>
      </c>
      <c r="GT46">
        <v>0</v>
      </c>
      <c r="GU46" t="s">
        <v>3</v>
      </c>
      <c r="GV46">
        <f t="shared" si="46"/>
        <v>0</v>
      </c>
      <c r="GW46">
        <v>1</v>
      </c>
      <c r="GX46">
        <f t="shared" si="44"/>
        <v>0</v>
      </c>
      <c r="HA46">
        <v>0</v>
      </c>
      <c r="HB46">
        <v>0</v>
      </c>
      <c r="HC46">
        <f t="shared" si="45"/>
        <v>0</v>
      </c>
      <c r="HE46" t="s">
        <v>3</v>
      </c>
      <c r="HF46" t="s">
        <v>3</v>
      </c>
      <c r="HM46" t="s">
        <v>3</v>
      </c>
      <c r="HN46" t="s">
        <v>3</v>
      </c>
      <c r="HO46" t="s">
        <v>3</v>
      </c>
      <c r="HP46" t="s">
        <v>3</v>
      </c>
      <c r="HQ46" t="s">
        <v>3</v>
      </c>
      <c r="IK46">
        <v>0</v>
      </c>
    </row>
    <row r="47" spans="1:245" x14ac:dyDescent="0.2">
      <c r="A47">
        <v>17</v>
      </c>
      <c r="B47">
        <v>1</v>
      </c>
      <c r="E47" t="s">
        <v>131</v>
      </c>
      <c r="F47" t="s">
        <v>101</v>
      </c>
      <c r="G47" t="s">
        <v>120</v>
      </c>
      <c r="H47" t="s">
        <v>74</v>
      </c>
      <c r="I47">
        <f>ROUND(I43*252/2,9)</f>
        <v>94.5</v>
      </c>
      <c r="J47">
        <v>0</v>
      </c>
      <c r="K47">
        <f>ROUND(I43*252/2,9)</f>
        <v>94.5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145016711</v>
      </c>
      <c r="AB47">
        <f t="shared" si="25"/>
        <v>0</v>
      </c>
      <c r="AC47">
        <f t="shared" si="47"/>
        <v>0</v>
      </c>
      <c r="AD47">
        <f>ROUND((((ET47)-(EU47))+AE47),2)</f>
        <v>0</v>
      </c>
      <c r="AE47">
        <f t="shared" si="48"/>
        <v>0</v>
      </c>
      <c r="AF47">
        <f t="shared" si="48"/>
        <v>0</v>
      </c>
      <c r="AG47">
        <f t="shared" si="26"/>
        <v>0</v>
      </c>
      <c r="AH47">
        <f t="shared" si="49"/>
        <v>0</v>
      </c>
      <c r="AI47">
        <f t="shared" si="49"/>
        <v>0</v>
      </c>
      <c r="AJ47">
        <f t="shared" si="27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8.98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8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B47" t="s">
        <v>3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8"/>
        <v>0</v>
      </c>
      <c r="CQ47">
        <f t="shared" si="29"/>
        <v>0</v>
      </c>
      <c r="CR47">
        <f>(((ET47)*BB47-(EU47)*BS47)+AE47*BS47)</f>
        <v>0</v>
      </c>
      <c r="CS47">
        <f t="shared" si="30"/>
        <v>0</v>
      </c>
      <c r="CT47">
        <f t="shared" si="31"/>
        <v>0</v>
      </c>
      <c r="CU47">
        <f t="shared" si="32"/>
        <v>0</v>
      </c>
      <c r="CV47">
        <f t="shared" si="33"/>
        <v>0</v>
      </c>
      <c r="CW47">
        <f t="shared" si="34"/>
        <v>0</v>
      </c>
      <c r="CX47">
        <f t="shared" si="35"/>
        <v>0</v>
      </c>
      <c r="CY47">
        <f t="shared" si="36"/>
        <v>0</v>
      </c>
      <c r="CZ47">
        <f t="shared" si="37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74</v>
      </c>
      <c r="DW47" t="s">
        <v>74</v>
      </c>
      <c r="DX47">
        <v>1</v>
      </c>
      <c r="DZ47" t="s">
        <v>3</v>
      </c>
      <c r="EA47" t="s">
        <v>3</v>
      </c>
      <c r="EB47" t="s">
        <v>3</v>
      </c>
      <c r="EC47" t="s">
        <v>3</v>
      </c>
      <c r="EE47">
        <v>140625274</v>
      </c>
      <c r="EF47">
        <v>8</v>
      </c>
      <c r="EG47" t="s">
        <v>59</v>
      </c>
      <c r="EH47">
        <v>0</v>
      </c>
      <c r="EI47" t="s">
        <v>3</v>
      </c>
      <c r="EJ47">
        <v>1</v>
      </c>
      <c r="EK47">
        <v>1100</v>
      </c>
      <c r="EL47" t="s">
        <v>60</v>
      </c>
      <c r="EM47" t="s">
        <v>61</v>
      </c>
      <c r="EO47" t="s">
        <v>3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FQ47">
        <v>0</v>
      </c>
      <c r="FR47">
        <f t="shared" si="38"/>
        <v>0</v>
      </c>
      <c r="FS47">
        <v>0</v>
      </c>
      <c r="FX47">
        <v>0</v>
      </c>
      <c r="FY47">
        <v>0</v>
      </c>
      <c r="GA47" t="s">
        <v>103</v>
      </c>
      <c r="GD47">
        <v>1</v>
      </c>
      <c r="GF47">
        <v>-1839612456</v>
      </c>
      <c r="GG47">
        <v>2</v>
      </c>
      <c r="GH47">
        <v>0</v>
      </c>
      <c r="GI47">
        <v>4</v>
      </c>
      <c r="GJ47">
        <v>0</v>
      </c>
      <c r="GK47">
        <v>0</v>
      </c>
      <c r="GL47">
        <f t="shared" si="39"/>
        <v>0</v>
      </c>
      <c r="GM47">
        <f t="shared" si="40"/>
        <v>0</v>
      </c>
      <c r="GN47">
        <f t="shared" si="41"/>
        <v>0</v>
      </c>
      <c r="GO47">
        <f t="shared" si="42"/>
        <v>0</v>
      </c>
      <c r="GP47">
        <f t="shared" si="43"/>
        <v>0</v>
      </c>
      <c r="GR47">
        <v>0</v>
      </c>
      <c r="GS47">
        <v>4</v>
      </c>
      <c r="GT47">
        <v>0</v>
      </c>
      <c r="GU47" t="s">
        <v>3</v>
      </c>
      <c r="GV47">
        <f t="shared" si="46"/>
        <v>0</v>
      </c>
      <c r="GW47">
        <v>1</v>
      </c>
      <c r="GX47">
        <f t="shared" si="44"/>
        <v>0</v>
      </c>
      <c r="HA47">
        <v>0</v>
      </c>
      <c r="HB47">
        <v>0</v>
      </c>
      <c r="HC47">
        <f t="shared" si="45"/>
        <v>0</v>
      </c>
      <c r="HE47" t="s">
        <v>3</v>
      </c>
      <c r="HF47" t="s">
        <v>3</v>
      </c>
      <c r="HM47" t="s">
        <v>3</v>
      </c>
      <c r="HN47" t="s">
        <v>3</v>
      </c>
      <c r="HO47" t="s">
        <v>3</v>
      </c>
      <c r="HP47" t="s">
        <v>3</v>
      </c>
      <c r="HQ47" t="s">
        <v>3</v>
      </c>
      <c r="IK47">
        <v>0</v>
      </c>
    </row>
    <row r="48" spans="1:245" x14ac:dyDescent="0.2">
      <c r="A48">
        <v>17</v>
      </c>
      <c r="B48">
        <v>1</v>
      </c>
      <c r="C48">
        <f>ROW(SmtRes!A80)</f>
        <v>80</v>
      </c>
      <c r="D48">
        <f>ROW(EtalonRes!A80)</f>
        <v>80</v>
      </c>
      <c r="E48" t="s">
        <v>132</v>
      </c>
      <c r="F48" t="s">
        <v>133</v>
      </c>
      <c r="G48" t="s">
        <v>134</v>
      </c>
      <c r="H48" t="s">
        <v>18</v>
      </c>
      <c r="I48">
        <f>ROUND(125/100,9)</f>
        <v>1.25</v>
      </c>
      <c r="J48">
        <v>0</v>
      </c>
      <c r="K48">
        <f>ROUND(125/100,9)</f>
        <v>1.25</v>
      </c>
      <c r="O48">
        <f t="shared" si="14"/>
        <v>111899.47</v>
      </c>
      <c r="P48">
        <f t="shared" si="15"/>
        <v>73144.12</v>
      </c>
      <c r="Q48">
        <f t="shared" si="16"/>
        <v>425.05</v>
      </c>
      <c r="R48">
        <f t="shared" si="17"/>
        <v>176.48</v>
      </c>
      <c r="S48">
        <f t="shared" si="18"/>
        <v>38330.300000000003</v>
      </c>
      <c r="T48">
        <f t="shared" si="19"/>
        <v>0</v>
      </c>
      <c r="U48">
        <f t="shared" si="20"/>
        <v>139.72499999999999</v>
      </c>
      <c r="V48">
        <f t="shared" si="21"/>
        <v>0.421875</v>
      </c>
      <c r="W48">
        <f t="shared" si="22"/>
        <v>0</v>
      </c>
      <c r="X48">
        <f t="shared" si="23"/>
        <v>41972.39</v>
      </c>
      <c r="Y48">
        <f t="shared" si="24"/>
        <v>18656.53</v>
      </c>
      <c r="AA48">
        <v>145016711</v>
      </c>
      <c r="AB48">
        <f t="shared" si="25"/>
        <v>7497.02</v>
      </c>
      <c r="AC48">
        <f t="shared" si="47"/>
        <v>6516.18</v>
      </c>
      <c r="AD48">
        <f>ROUND(((((ET48*1.25))-((EU48*1.25)))+AE48),2)</f>
        <v>27.35</v>
      </c>
      <c r="AE48">
        <f>ROUND(((EU48*1.25)),2)</f>
        <v>4.3899999999999997</v>
      </c>
      <c r="AF48">
        <f>ROUND(((EV48*1.15)),2)</f>
        <v>953.49</v>
      </c>
      <c r="AG48">
        <f t="shared" si="26"/>
        <v>0</v>
      </c>
      <c r="AH48">
        <f>((EW48*1.15))</f>
        <v>111.78</v>
      </c>
      <c r="AI48">
        <f>((EX48*1.25))</f>
        <v>0.33750000000000002</v>
      </c>
      <c r="AJ48">
        <f t="shared" si="27"/>
        <v>0</v>
      </c>
      <c r="AK48">
        <v>7367.18</v>
      </c>
      <c r="AL48">
        <v>6516.18</v>
      </c>
      <c r="AM48">
        <v>21.88</v>
      </c>
      <c r="AN48">
        <v>3.51</v>
      </c>
      <c r="AO48">
        <v>829.12</v>
      </c>
      <c r="AP48">
        <v>0</v>
      </c>
      <c r="AQ48">
        <v>97.2</v>
      </c>
      <c r="AR48">
        <v>0.27</v>
      </c>
      <c r="AS48">
        <v>0</v>
      </c>
      <c r="AT48">
        <v>109</v>
      </c>
      <c r="AU48">
        <v>48.45</v>
      </c>
      <c r="AV48">
        <v>1</v>
      </c>
      <c r="AW48">
        <v>1</v>
      </c>
      <c r="AZ48">
        <v>1</v>
      </c>
      <c r="BA48">
        <v>32.159999999999997</v>
      </c>
      <c r="BB48">
        <v>12.43</v>
      </c>
      <c r="BC48">
        <v>8.98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135</v>
      </c>
      <c r="BM48">
        <v>12001</v>
      </c>
      <c r="BN48">
        <v>0</v>
      </c>
      <c r="BO48" t="s">
        <v>3</v>
      </c>
      <c r="BP48">
        <v>0</v>
      </c>
      <c r="BQ48">
        <v>2</v>
      </c>
      <c r="BR48">
        <v>0</v>
      </c>
      <c r="BS48">
        <v>32.159999999999997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109</v>
      </c>
      <c r="CA48">
        <v>57</v>
      </c>
      <c r="CB48" t="s">
        <v>3</v>
      </c>
      <c r="CE48">
        <v>0</v>
      </c>
      <c r="CF48">
        <v>0</v>
      </c>
      <c r="CG48">
        <v>0</v>
      </c>
      <c r="CM48">
        <v>0</v>
      </c>
      <c r="CN48" t="s">
        <v>372</v>
      </c>
      <c r="CO48">
        <v>0</v>
      </c>
      <c r="CP48">
        <f t="shared" si="28"/>
        <v>111899.47</v>
      </c>
      <c r="CQ48">
        <f t="shared" si="29"/>
        <v>58515.296400000007</v>
      </c>
      <c r="CR48">
        <f>((((ET48*1.25))*BB48-((EU48*1.25))*BS48)+AE48*BS48)</f>
        <v>340.04089999999997</v>
      </c>
      <c r="CS48">
        <f t="shared" si="30"/>
        <v>141.18239999999997</v>
      </c>
      <c r="CT48">
        <f t="shared" si="31"/>
        <v>30664.238399999998</v>
      </c>
      <c r="CU48">
        <f t="shared" si="32"/>
        <v>0</v>
      </c>
      <c r="CV48">
        <f t="shared" si="33"/>
        <v>111.78</v>
      </c>
      <c r="CW48">
        <f t="shared" si="34"/>
        <v>0.33750000000000002</v>
      </c>
      <c r="CX48">
        <f t="shared" si="35"/>
        <v>0</v>
      </c>
      <c r="CY48">
        <f t="shared" si="36"/>
        <v>41972.390200000002</v>
      </c>
      <c r="CZ48">
        <f t="shared" si="37"/>
        <v>18656.534910000002</v>
      </c>
      <c r="DC48" t="s">
        <v>3</v>
      </c>
      <c r="DD48" t="s">
        <v>3</v>
      </c>
      <c r="DE48" t="s">
        <v>47</v>
      </c>
      <c r="DF48" t="s">
        <v>47</v>
      </c>
      <c r="DG48" t="s">
        <v>48</v>
      </c>
      <c r="DH48" t="s">
        <v>3</v>
      </c>
      <c r="DI48" t="s">
        <v>48</v>
      </c>
      <c r="DJ48" t="s">
        <v>47</v>
      </c>
      <c r="DK48" t="s">
        <v>3</v>
      </c>
      <c r="DL48" t="s">
        <v>3</v>
      </c>
      <c r="DM48" t="s">
        <v>49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18</v>
      </c>
      <c r="DW48" t="s">
        <v>18</v>
      </c>
      <c r="DX48">
        <v>100</v>
      </c>
      <c r="DZ48" t="s">
        <v>3</v>
      </c>
      <c r="EA48" t="s">
        <v>3</v>
      </c>
      <c r="EB48" t="s">
        <v>3</v>
      </c>
      <c r="EC48" t="s">
        <v>3</v>
      </c>
      <c r="EE48">
        <v>140625032</v>
      </c>
      <c r="EF48">
        <v>2</v>
      </c>
      <c r="EG48" t="s">
        <v>20</v>
      </c>
      <c r="EH48">
        <v>12</v>
      </c>
      <c r="EI48" t="s">
        <v>33</v>
      </c>
      <c r="EJ48">
        <v>1</v>
      </c>
      <c r="EK48">
        <v>12001</v>
      </c>
      <c r="EL48" t="s">
        <v>33</v>
      </c>
      <c r="EM48" t="s">
        <v>34</v>
      </c>
      <c r="EO48" t="s">
        <v>50</v>
      </c>
      <c r="EQ48">
        <v>0</v>
      </c>
      <c r="ER48">
        <v>7367.18</v>
      </c>
      <c r="ES48">
        <v>6516.18</v>
      </c>
      <c r="ET48">
        <v>21.88</v>
      </c>
      <c r="EU48">
        <v>3.51</v>
      </c>
      <c r="EV48">
        <v>829.12</v>
      </c>
      <c r="EW48">
        <v>97.2</v>
      </c>
      <c r="EX48">
        <v>0.27</v>
      </c>
      <c r="EY48">
        <v>0</v>
      </c>
      <c r="FQ48">
        <v>0</v>
      </c>
      <c r="FR48">
        <f t="shared" si="38"/>
        <v>0</v>
      </c>
      <c r="FS48">
        <v>0</v>
      </c>
      <c r="FX48">
        <v>109</v>
      </c>
      <c r="FY48">
        <v>48.45</v>
      </c>
      <c r="GA48" t="s">
        <v>3</v>
      </c>
      <c r="GD48">
        <v>1</v>
      </c>
      <c r="GF48">
        <v>-601591418</v>
      </c>
      <c r="GG48">
        <v>2</v>
      </c>
      <c r="GH48">
        <v>1</v>
      </c>
      <c r="GI48">
        <v>4</v>
      </c>
      <c r="GJ48">
        <v>0</v>
      </c>
      <c r="GK48">
        <v>0</v>
      </c>
      <c r="GL48">
        <f t="shared" si="39"/>
        <v>0</v>
      </c>
      <c r="GM48">
        <f t="shared" si="40"/>
        <v>172528.39</v>
      </c>
      <c r="GN48">
        <f t="shared" si="41"/>
        <v>172528.39</v>
      </c>
      <c r="GO48">
        <f t="shared" si="42"/>
        <v>0</v>
      </c>
      <c r="GP48">
        <f t="shared" si="43"/>
        <v>0</v>
      </c>
      <c r="GR48">
        <v>0</v>
      </c>
      <c r="GS48">
        <v>3</v>
      </c>
      <c r="GT48">
        <v>0</v>
      </c>
      <c r="GU48" t="s">
        <v>3</v>
      </c>
      <c r="GV48">
        <f t="shared" si="46"/>
        <v>0</v>
      </c>
      <c r="GW48">
        <v>1</v>
      </c>
      <c r="GX48">
        <f t="shared" si="44"/>
        <v>0</v>
      </c>
      <c r="HA48">
        <v>0</v>
      </c>
      <c r="HB48">
        <v>0</v>
      </c>
      <c r="HC48">
        <f t="shared" si="45"/>
        <v>0</v>
      </c>
      <c r="HE48" t="s">
        <v>3</v>
      </c>
      <c r="HF48" t="s">
        <v>3</v>
      </c>
      <c r="HM48" t="s">
        <v>3</v>
      </c>
      <c r="HN48" t="s">
        <v>36</v>
      </c>
      <c r="HO48" t="s">
        <v>37</v>
      </c>
      <c r="HP48" t="s">
        <v>33</v>
      </c>
      <c r="HQ48" t="s">
        <v>33</v>
      </c>
      <c r="IK48">
        <v>0</v>
      </c>
    </row>
    <row r="49" spans="1:245" x14ac:dyDescent="0.2">
      <c r="A49">
        <v>18</v>
      </c>
      <c r="B49">
        <v>1</v>
      </c>
      <c r="C49">
        <v>80</v>
      </c>
      <c r="E49" t="s">
        <v>136</v>
      </c>
      <c r="F49" t="s">
        <v>137</v>
      </c>
      <c r="G49" t="s">
        <v>138</v>
      </c>
      <c r="H49" t="s">
        <v>66</v>
      </c>
      <c r="I49">
        <f>I48*J49</f>
        <v>-0.71250000000000013</v>
      </c>
      <c r="J49">
        <v>-0.57000000000000006</v>
      </c>
      <c r="K49">
        <v>-0.56999999999999995</v>
      </c>
      <c r="O49">
        <f t="shared" si="14"/>
        <v>-71660.399999999994</v>
      </c>
      <c r="P49">
        <f t="shared" si="15"/>
        <v>-71660.399999999994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145016711</v>
      </c>
      <c r="AB49">
        <f t="shared" si="25"/>
        <v>11200</v>
      </c>
      <c r="AC49">
        <f t="shared" si="47"/>
        <v>11200</v>
      </c>
      <c r="AD49">
        <f>ROUND((((ET49)-(EU49))+AE49),2)</f>
        <v>0</v>
      </c>
      <c r="AE49">
        <f>ROUND((EU49),2)</f>
        <v>0</v>
      </c>
      <c r="AF49">
        <f>ROUND((EV49),2)</f>
        <v>0</v>
      </c>
      <c r="AG49">
        <f t="shared" si="26"/>
        <v>0</v>
      </c>
      <c r="AH49">
        <f>(EW49)</f>
        <v>0</v>
      </c>
      <c r="AI49">
        <f>(EX49)</f>
        <v>0</v>
      </c>
      <c r="AJ49">
        <f t="shared" si="27"/>
        <v>0</v>
      </c>
      <c r="AK49">
        <v>11200</v>
      </c>
      <c r="AL49">
        <v>11200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109</v>
      </c>
      <c r="AU49">
        <v>57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8.98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139</v>
      </c>
      <c r="BM49">
        <v>12001</v>
      </c>
      <c r="BN49">
        <v>0</v>
      </c>
      <c r="BO49" t="s">
        <v>3</v>
      </c>
      <c r="BP49">
        <v>0</v>
      </c>
      <c r="BQ49">
        <v>2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109</v>
      </c>
      <c r="CA49">
        <v>57</v>
      </c>
      <c r="CB49" t="s">
        <v>3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8"/>
        <v>-71660.399999999994</v>
      </c>
      <c r="CQ49">
        <f t="shared" si="29"/>
        <v>100576</v>
      </c>
      <c r="CR49">
        <f>(((ET49)*BB49-(EU49)*BS49)+AE49*BS49)</f>
        <v>0</v>
      </c>
      <c r="CS49">
        <f t="shared" si="30"/>
        <v>0</v>
      </c>
      <c r="CT49">
        <f t="shared" si="31"/>
        <v>0</v>
      </c>
      <c r="CU49">
        <f t="shared" si="32"/>
        <v>0</v>
      </c>
      <c r="CV49">
        <f t="shared" si="33"/>
        <v>0</v>
      </c>
      <c r="CW49">
        <f t="shared" si="34"/>
        <v>0</v>
      </c>
      <c r="CX49">
        <f t="shared" si="35"/>
        <v>0</v>
      </c>
      <c r="CY49">
        <f t="shared" si="36"/>
        <v>0</v>
      </c>
      <c r="CZ49">
        <f t="shared" si="37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66</v>
      </c>
      <c r="DW49" t="s">
        <v>66</v>
      </c>
      <c r="DX49">
        <v>1000</v>
      </c>
      <c r="DZ49" t="s">
        <v>3</v>
      </c>
      <c r="EA49" t="s">
        <v>3</v>
      </c>
      <c r="EB49" t="s">
        <v>3</v>
      </c>
      <c r="EC49" t="s">
        <v>3</v>
      </c>
      <c r="EE49">
        <v>140625032</v>
      </c>
      <c r="EF49">
        <v>2</v>
      </c>
      <c r="EG49" t="s">
        <v>20</v>
      </c>
      <c r="EH49">
        <v>12</v>
      </c>
      <c r="EI49" t="s">
        <v>33</v>
      </c>
      <c r="EJ49">
        <v>1</v>
      </c>
      <c r="EK49">
        <v>12001</v>
      </c>
      <c r="EL49" t="s">
        <v>33</v>
      </c>
      <c r="EM49" t="s">
        <v>34</v>
      </c>
      <c r="EO49" t="s">
        <v>3</v>
      </c>
      <c r="EQ49">
        <v>0</v>
      </c>
      <c r="ER49">
        <v>11200</v>
      </c>
      <c r="ES49">
        <v>11200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38"/>
        <v>0</v>
      </c>
      <c r="FS49">
        <v>0</v>
      </c>
      <c r="FX49">
        <v>109</v>
      </c>
      <c r="FY49">
        <v>57</v>
      </c>
      <c r="GA49" t="s">
        <v>3</v>
      </c>
      <c r="GD49">
        <v>1</v>
      </c>
      <c r="GF49">
        <v>-509681559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39"/>
        <v>0</v>
      </c>
      <c r="GM49">
        <f t="shared" si="40"/>
        <v>-71660.399999999994</v>
      </c>
      <c r="GN49">
        <f t="shared" si="41"/>
        <v>-71660.399999999994</v>
      </c>
      <c r="GO49">
        <f t="shared" si="42"/>
        <v>0</v>
      </c>
      <c r="GP49">
        <f t="shared" si="43"/>
        <v>0</v>
      </c>
      <c r="GR49">
        <v>0</v>
      </c>
      <c r="GS49">
        <v>3</v>
      </c>
      <c r="GT49">
        <v>0</v>
      </c>
      <c r="GU49" t="s">
        <v>3</v>
      </c>
      <c r="GV49">
        <f t="shared" si="46"/>
        <v>0</v>
      </c>
      <c r="GW49">
        <v>1</v>
      </c>
      <c r="GX49">
        <f t="shared" si="44"/>
        <v>0</v>
      </c>
      <c r="HA49">
        <v>0</v>
      </c>
      <c r="HB49">
        <v>0</v>
      </c>
      <c r="HC49">
        <f t="shared" si="45"/>
        <v>0</v>
      </c>
      <c r="HE49" t="s">
        <v>3</v>
      </c>
      <c r="HF49" t="s">
        <v>3</v>
      </c>
      <c r="HM49" t="s">
        <v>3</v>
      </c>
      <c r="HN49" t="s">
        <v>36</v>
      </c>
      <c r="HO49" t="s">
        <v>37</v>
      </c>
      <c r="HP49" t="s">
        <v>33</v>
      </c>
      <c r="HQ49" t="s">
        <v>33</v>
      </c>
      <c r="IK49">
        <v>0</v>
      </c>
    </row>
    <row r="50" spans="1:245" x14ac:dyDescent="0.2">
      <c r="A50">
        <v>17</v>
      </c>
      <c r="B50">
        <v>1</v>
      </c>
      <c r="E50" t="s">
        <v>140</v>
      </c>
      <c r="F50" t="s">
        <v>56</v>
      </c>
      <c r="G50" t="s">
        <v>141</v>
      </c>
      <c r="H50" t="s">
        <v>74</v>
      </c>
      <c r="I50">
        <f>ROUND(I48*122,9)</f>
        <v>152.5</v>
      </c>
      <c r="J50">
        <v>0</v>
      </c>
      <c r="K50">
        <f>ROUND(I48*122,9)</f>
        <v>152.5</v>
      </c>
      <c r="O50">
        <f t="shared" si="14"/>
        <v>66253.990000000005</v>
      </c>
      <c r="P50">
        <f t="shared" si="15"/>
        <v>66253.990000000005</v>
      </c>
      <c r="Q50">
        <f t="shared" si="16"/>
        <v>0</v>
      </c>
      <c r="R50">
        <f t="shared" si="17"/>
        <v>0</v>
      </c>
      <c r="S50">
        <f t="shared" si="18"/>
        <v>0</v>
      </c>
      <c r="T50">
        <f t="shared" si="19"/>
        <v>0</v>
      </c>
      <c r="U50">
        <f t="shared" si="20"/>
        <v>0</v>
      </c>
      <c r="V50">
        <f t="shared" si="21"/>
        <v>0</v>
      </c>
      <c r="W50">
        <f t="shared" si="22"/>
        <v>0</v>
      </c>
      <c r="X50">
        <f t="shared" si="23"/>
        <v>0</v>
      </c>
      <c r="Y50">
        <f t="shared" si="24"/>
        <v>0</v>
      </c>
      <c r="AA50">
        <v>145016711</v>
      </c>
      <c r="AB50">
        <f t="shared" si="25"/>
        <v>48.38</v>
      </c>
      <c r="AC50">
        <f t="shared" si="47"/>
        <v>48.38</v>
      </c>
      <c r="AD50">
        <f>ROUND((((ET50)-(EU50))+AE50),2)</f>
        <v>0</v>
      </c>
      <c r="AE50">
        <f>ROUND((EU50),2)</f>
        <v>0</v>
      </c>
      <c r="AF50">
        <f>ROUND((EV50),2)</f>
        <v>0</v>
      </c>
      <c r="AG50">
        <f t="shared" si="26"/>
        <v>0</v>
      </c>
      <c r="AH50">
        <f>(EW50)</f>
        <v>0</v>
      </c>
      <c r="AI50">
        <f>(EX50)</f>
        <v>0</v>
      </c>
      <c r="AJ50">
        <f t="shared" si="27"/>
        <v>0</v>
      </c>
      <c r="AK50">
        <v>48.38</v>
      </c>
      <c r="AL50">
        <v>48.38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8.98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1</v>
      </c>
      <c r="BJ50" t="s">
        <v>3</v>
      </c>
      <c r="BM50">
        <v>1100</v>
      </c>
      <c r="BN50">
        <v>0</v>
      </c>
      <c r="BO50" t="s">
        <v>3</v>
      </c>
      <c r="BP50">
        <v>0</v>
      </c>
      <c r="BQ50">
        <v>8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0</v>
      </c>
      <c r="CA50">
        <v>0</v>
      </c>
      <c r="CB50" t="s">
        <v>3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28"/>
        <v>66253.990000000005</v>
      </c>
      <c r="CQ50">
        <f t="shared" si="29"/>
        <v>434.45240000000007</v>
      </c>
      <c r="CR50">
        <f>(((ET50)*BB50-(EU50)*BS50)+AE50*BS50)</f>
        <v>0</v>
      </c>
      <c r="CS50">
        <f t="shared" si="30"/>
        <v>0</v>
      </c>
      <c r="CT50">
        <f t="shared" si="31"/>
        <v>0</v>
      </c>
      <c r="CU50">
        <f t="shared" si="32"/>
        <v>0</v>
      </c>
      <c r="CV50">
        <f t="shared" si="33"/>
        <v>0</v>
      </c>
      <c r="CW50">
        <f t="shared" si="34"/>
        <v>0</v>
      </c>
      <c r="CX50">
        <f t="shared" si="35"/>
        <v>0</v>
      </c>
      <c r="CY50">
        <f t="shared" si="36"/>
        <v>0</v>
      </c>
      <c r="CZ50">
        <f t="shared" si="37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1005</v>
      </c>
      <c r="DV50" t="s">
        <v>74</v>
      </c>
      <c r="DW50" t="s">
        <v>74</v>
      </c>
      <c r="DX50">
        <v>1</v>
      </c>
      <c r="DZ50" t="s">
        <v>3</v>
      </c>
      <c r="EA50" t="s">
        <v>3</v>
      </c>
      <c r="EB50" t="s">
        <v>3</v>
      </c>
      <c r="EC50" t="s">
        <v>3</v>
      </c>
      <c r="EE50">
        <v>140625274</v>
      </c>
      <c r="EF50">
        <v>8</v>
      </c>
      <c r="EG50" t="s">
        <v>59</v>
      </c>
      <c r="EH50">
        <v>0</v>
      </c>
      <c r="EI50" t="s">
        <v>3</v>
      </c>
      <c r="EJ50">
        <v>1</v>
      </c>
      <c r="EK50">
        <v>1100</v>
      </c>
      <c r="EL50" t="s">
        <v>60</v>
      </c>
      <c r="EM50" t="s">
        <v>61</v>
      </c>
      <c r="EO50" t="s">
        <v>3</v>
      </c>
      <c r="EQ50">
        <v>0</v>
      </c>
      <c r="ER50">
        <v>48.38</v>
      </c>
      <c r="ES50">
        <v>48.38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5</v>
      </c>
      <c r="FC50">
        <v>1</v>
      </c>
      <c r="FD50">
        <v>18</v>
      </c>
      <c r="FF50">
        <v>486.73</v>
      </c>
      <c r="FQ50">
        <v>0</v>
      </c>
      <c r="FR50">
        <f t="shared" si="38"/>
        <v>0</v>
      </c>
      <c r="FS50">
        <v>0</v>
      </c>
      <c r="FX50">
        <v>0</v>
      </c>
      <c r="FY50">
        <v>0</v>
      </c>
      <c r="GA50" t="s">
        <v>142</v>
      </c>
      <c r="GD50">
        <v>1</v>
      </c>
      <c r="GF50">
        <v>397345035</v>
      </c>
      <c r="GG50">
        <v>2</v>
      </c>
      <c r="GH50">
        <v>3</v>
      </c>
      <c r="GI50">
        <v>4</v>
      </c>
      <c r="GJ50">
        <v>0</v>
      </c>
      <c r="GK50">
        <v>0</v>
      </c>
      <c r="GL50">
        <f t="shared" si="39"/>
        <v>0</v>
      </c>
      <c r="GM50">
        <f t="shared" si="40"/>
        <v>66253.990000000005</v>
      </c>
      <c r="GN50">
        <f t="shared" si="41"/>
        <v>66253.990000000005</v>
      </c>
      <c r="GO50">
        <f t="shared" si="42"/>
        <v>0</v>
      </c>
      <c r="GP50">
        <f t="shared" si="43"/>
        <v>0</v>
      </c>
      <c r="GR50">
        <v>1</v>
      </c>
      <c r="GS50">
        <v>1</v>
      </c>
      <c r="GT50">
        <v>0</v>
      </c>
      <c r="GU50" t="s">
        <v>3</v>
      </c>
      <c r="GV50">
        <f t="shared" si="46"/>
        <v>0</v>
      </c>
      <c r="GW50">
        <v>1</v>
      </c>
      <c r="GX50">
        <f t="shared" si="44"/>
        <v>0</v>
      </c>
      <c r="HA50">
        <v>0</v>
      </c>
      <c r="HB50">
        <v>0</v>
      </c>
      <c r="HC50">
        <f t="shared" si="45"/>
        <v>0</v>
      </c>
      <c r="HE50" t="s">
        <v>51</v>
      </c>
      <c r="HF50" t="s">
        <v>26</v>
      </c>
      <c r="HM50" t="s">
        <v>3</v>
      </c>
      <c r="HN50" t="s">
        <v>3</v>
      </c>
      <c r="HO50" t="s">
        <v>3</v>
      </c>
      <c r="HP50" t="s">
        <v>3</v>
      </c>
      <c r="HQ50" t="s">
        <v>3</v>
      </c>
      <c r="IK50">
        <v>0</v>
      </c>
    </row>
    <row r="51" spans="1:245" x14ac:dyDescent="0.2">
      <c r="A51">
        <v>17</v>
      </c>
      <c r="B51">
        <v>1</v>
      </c>
      <c r="E51" t="s">
        <v>143</v>
      </c>
      <c r="F51" t="s">
        <v>144</v>
      </c>
      <c r="G51" t="s">
        <v>145</v>
      </c>
      <c r="H51" t="s">
        <v>146</v>
      </c>
      <c r="I51">
        <f>ROUND(280*0.1,9)</f>
        <v>28</v>
      </c>
      <c r="J51">
        <v>0</v>
      </c>
      <c r="K51">
        <f>ROUND(280*0.1,9)</f>
        <v>28</v>
      </c>
      <c r="O51">
        <f>0</f>
        <v>0</v>
      </c>
      <c r="P51">
        <f>0</f>
        <v>0</v>
      </c>
      <c r="Q51">
        <f>0</f>
        <v>0</v>
      </c>
      <c r="R51">
        <f>0</f>
        <v>0</v>
      </c>
      <c r="S51">
        <f>0</f>
        <v>0</v>
      </c>
      <c r="T51">
        <f>0</f>
        <v>0</v>
      </c>
      <c r="U51">
        <f>0</f>
        <v>0</v>
      </c>
      <c r="V51">
        <f>0</f>
        <v>0</v>
      </c>
      <c r="W51">
        <f>0</f>
        <v>0</v>
      </c>
      <c r="X51">
        <f>0</f>
        <v>0</v>
      </c>
      <c r="Y51">
        <f>0</f>
        <v>0</v>
      </c>
      <c r="AA51">
        <v>145016711</v>
      </c>
      <c r="AB51">
        <f>ROUND((AK51),2)</f>
        <v>42.98</v>
      </c>
      <c r="AC51">
        <f>0</f>
        <v>0</v>
      </c>
      <c r="AD51">
        <f>0</f>
        <v>0</v>
      </c>
      <c r="AE51">
        <f>0</f>
        <v>0</v>
      </c>
      <c r="AF51">
        <f>0</f>
        <v>0</v>
      </c>
      <c r="AG51">
        <f>0</f>
        <v>0</v>
      </c>
      <c r="AH51">
        <f>0</f>
        <v>0</v>
      </c>
      <c r="AI51">
        <f>0</f>
        <v>0</v>
      </c>
      <c r="AJ51">
        <f>0</f>
        <v>0</v>
      </c>
      <c r="AK51">
        <v>42.98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12.43</v>
      </c>
      <c r="BA51">
        <v>1</v>
      </c>
      <c r="BB51">
        <v>1</v>
      </c>
      <c r="BC51">
        <v>1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147</v>
      </c>
      <c r="BM51">
        <v>700004</v>
      </c>
      <c r="BN51">
        <v>0</v>
      </c>
      <c r="BO51" t="s">
        <v>3</v>
      </c>
      <c r="BP51">
        <v>0</v>
      </c>
      <c r="BQ51">
        <v>19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B51" t="s">
        <v>3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>AB51*AZ51</f>
        <v>534.2414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146</v>
      </c>
      <c r="DW51" t="s">
        <v>146</v>
      </c>
      <c r="DX51">
        <v>1</v>
      </c>
      <c r="DZ51" t="s">
        <v>3</v>
      </c>
      <c r="EA51" t="s">
        <v>3</v>
      </c>
      <c r="EB51" t="s">
        <v>3</v>
      </c>
      <c r="EC51" t="s">
        <v>3</v>
      </c>
      <c r="EE51">
        <v>140625282</v>
      </c>
      <c r="EF51">
        <v>19</v>
      </c>
      <c r="EG51" t="s">
        <v>148</v>
      </c>
      <c r="EH51">
        <v>106</v>
      </c>
      <c r="EI51" t="s">
        <v>148</v>
      </c>
      <c r="EJ51">
        <v>1</v>
      </c>
      <c r="EK51">
        <v>700004</v>
      </c>
      <c r="EL51" t="s">
        <v>148</v>
      </c>
      <c r="EM51" t="s">
        <v>149</v>
      </c>
      <c r="EO51" t="s">
        <v>3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FQ51">
        <v>0</v>
      </c>
      <c r="FR51">
        <f t="shared" si="38"/>
        <v>0</v>
      </c>
      <c r="FS51">
        <v>0</v>
      </c>
      <c r="FX51">
        <v>0</v>
      </c>
      <c r="FY51">
        <v>0</v>
      </c>
      <c r="GA51" t="s">
        <v>3</v>
      </c>
      <c r="GD51">
        <v>1</v>
      </c>
      <c r="GF51">
        <v>-1368885421</v>
      </c>
      <c r="GG51">
        <v>2</v>
      </c>
      <c r="GH51">
        <v>1</v>
      </c>
      <c r="GI51">
        <v>4</v>
      </c>
      <c r="GJ51">
        <v>2</v>
      </c>
      <c r="GK51">
        <v>0</v>
      </c>
      <c r="GL51">
        <f t="shared" si="39"/>
        <v>0</v>
      </c>
      <c r="GM51">
        <f>ROUND(CP51*I51,2)</f>
        <v>14958.76</v>
      </c>
      <c r="GN51">
        <f>IF(OR(BI51=0,BI51=1),ROUND(CP51*I51,2),0)</f>
        <v>14958.76</v>
      </c>
      <c r="GO51">
        <f>IF(BI51=2,ROUND(CP51*I51,2),0)</f>
        <v>0</v>
      </c>
      <c r="GP51">
        <f>IF(BI51=4,ROUND(CP51*I51,2)+GX51,0)</f>
        <v>0</v>
      </c>
      <c r="GR51">
        <v>0</v>
      </c>
      <c r="GS51">
        <v>3</v>
      </c>
      <c r="GT51">
        <v>0</v>
      </c>
      <c r="GU51" t="s">
        <v>3</v>
      </c>
      <c r="GV51">
        <f>0</f>
        <v>0</v>
      </c>
      <c r="GW51">
        <v>1</v>
      </c>
      <c r="GX51">
        <f>0</f>
        <v>0</v>
      </c>
      <c r="HA51">
        <v>0</v>
      </c>
      <c r="HB51">
        <v>0</v>
      </c>
      <c r="HC51">
        <v>0</v>
      </c>
      <c r="HD51">
        <f>GM51</f>
        <v>14958.76</v>
      </c>
      <c r="HE51" t="s">
        <v>3</v>
      </c>
      <c r="HF51" t="s">
        <v>3</v>
      </c>
      <c r="HM51" t="s">
        <v>3</v>
      </c>
      <c r="HN51" t="s">
        <v>3</v>
      </c>
      <c r="HO51" t="s">
        <v>3</v>
      </c>
      <c r="HP51" t="s">
        <v>3</v>
      </c>
      <c r="HQ51" t="s">
        <v>3</v>
      </c>
      <c r="IK51">
        <v>0</v>
      </c>
    </row>
    <row r="52" spans="1:245" x14ac:dyDescent="0.2">
      <c r="A52">
        <v>17</v>
      </c>
      <c r="B52">
        <v>1</v>
      </c>
      <c r="E52" t="s">
        <v>150</v>
      </c>
      <c r="F52" t="s">
        <v>151</v>
      </c>
      <c r="G52" t="s">
        <v>152</v>
      </c>
      <c r="H52" t="s">
        <v>146</v>
      </c>
      <c r="I52">
        <f>ROUND(280*0.9,9)</f>
        <v>252</v>
      </c>
      <c r="J52">
        <v>0</v>
      </c>
      <c r="K52">
        <f>ROUND(280*0.9,9)</f>
        <v>252</v>
      </c>
      <c r="O52">
        <f>0</f>
        <v>0</v>
      </c>
      <c r="P52">
        <f>0</f>
        <v>0</v>
      </c>
      <c r="Q52">
        <f>0</f>
        <v>0</v>
      </c>
      <c r="R52">
        <f>0</f>
        <v>0</v>
      </c>
      <c r="S52">
        <f>0</f>
        <v>0</v>
      </c>
      <c r="T52">
        <f>0</f>
        <v>0</v>
      </c>
      <c r="U52">
        <f>0</f>
        <v>0</v>
      </c>
      <c r="V52">
        <f>0</f>
        <v>0</v>
      </c>
      <c r="W52">
        <f>0</f>
        <v>0</v>
      </c>
      <c r="X52">
        <f>0</f>
        <v>0</v>
      </c>
      <c r="Y52">
        <f>0</f>
        <v>0</v>
      </c>
      <c r="AA52">
        <v>145016711</v>
      </c>
      <c r="AB52">
        <f>ROUND((AK52),2)</f>
        <v>3.28</v>
      </c>
      <c r="AC52">
        <f>0</f>
        <v>0</v>
      </c>
      <c r="AD52">
        <f>0</f>
        <v>0</v>
      </c>
      <c r="AE52">
        <f>0</f>
        <v>0</v>
      </c>
      <c r="AF52">
        <f>0</f>
        <v>0</v>
      </c>
      <c r="AG52">
        <f>0</f>
        <v>0</v>
      </c>
      <c r="AH52">
        <f>0</f>
        <v>0</v>
      </c>
      <c r="AI52">
        <f>0</f>
        <v>0</v>
      </c>
      <c r="AJ52">
        <f>0</f>
        <v>0</v>
      </c>
      <c r="AK52">
        <v>3.28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1</v>
      </c>
      <c r="AZ52">
        <v>12.43</v>
      </c>
      <c r="BA52">
        <v>1</v>
      </c>
      <c r="BB52">
        <v>1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1</v>
      </c>
      <c r="BJ52" t="s">
        <v>153</v>
      </c>
      <c r="BM52">
        <v>700004</v>
      </c>
      <c r="BN52">
        <v>0</v>
      </c>
      <c r="BO52" t="s">
        <v>3</v>
      </c>
      <c r="BP52">
        <v>0</v>
      </c>
      <c r="BQ52">
        <v>19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0</v>
      </c>
      <c r="CA52">
        <v>0</v>
      </c>
      <c r="CB52" t="s">
        <v>3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>AB52*AZ52</f>
        <v>40.770399999999995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1013</v>
      </c>
      <c r="DV52" t="s">
        <v>146</v>
      </c>
      <c r="DW52" t="s">
        <v>146</v>
      </c>
      <c r="DX52">
        <v>1</v>
      </c>
      <c r="DZ52" t="s">
        <v>3</v>
      </c>
      <c r="EA52" t="s">
        <v>3</v>
      </c>
      <c r="EB52" t="s">
        <v>3</v>
      </c>
      <c r="EC52" t="s">
        <v>3</v>
      </c>
      <c r="EE52">
        <v>140625282</v>
      </c>
      <c r="EF52">
        <v>19</v>
      </c>
      <c r="EG52" t="s">
        <v>148</v>
      </c>
      <c r="EH52">
        <v>106</v>
      </c>
      <c r="EI52" t="s">
        <v>148</v>
      </c>
      <c r="EJ52">
        <v>1</v>
      </c>
      <c r="EK52">
        <v>700004</v>
      </c>
      <c r="EL52" t="s">
        <v>148</v>
      </c>
      <c r="EM52" t="s">
        <v>149</v>
      </c>
      <c r="EO52" t="s">
        <v>3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FQ52">
        <v>0</v>
      </c>
      <c r="FR52">
        <f t="shared" si="38"/>
        <v>0</v>
      </c>
      <c r="FS52">
        <v>0</v>
      </c>
      <c r="FX52">
        <v>0</v>
      </c>
      <c r="FY52">
        <v>0</v>
      </c>
      <c r="GA52" t="s">
        <v>3</v>
      </c>
      <c r="GD52">
        <v>1</v>
      </c>
      <c r="GF52">
        <v>1072927856</v>
      </c>
      <c r="GG52">
        <v>2</v>
      </c>
      <c r="GH52">
        <v>1</v>
      </c>
      <c r="GI52">
        <v>4</v>
      </c>
      <c r="GJ52">
        <v>2</v>
      </c>
      <c r="GK52">
        <v>0</v>
      </c>
      <c r="GL52">
        <f t="shared" si="39"/>
        <v>0</v>
      </c>
      <c r="GM52">
        <f>ROUND(CP52*I52,2)</f>
        <v>10274.14</v>
      </c>
      <c r="GN52">
        <f>IF(OR(BI52=0,BI52=1),ROUND(CP52*I52,2),0)</f>
        <v>10274.14</v>
      </c>
      <c r="GO52">
        <f>IF(BI52=2,ROUND(CP52*I52,2),0)</f>
        <v>0</v>
      </c>
      <c r="GP52">
        <f>IF(BI52=4,ROUND(CP52*I52,2)+GX52,0)</f>
        <v>0</v>
      </c>
      <c r="GR52">
        <v>0</v>
      </c>
      <c r="GS52">
        <v>3</v>
      </c>
      <c r="GT52">
        <v>0</v>
      </c>
      <c r="GU52" t="s">
        <v>3</v>
      </c>
      <c r="GV52">
        <f>0</f>
        <v>0</v>
      </c>
      <c r="GW52">
        <v>1</v>
      </c>
      <c r="GX52">
        <f>0</f>
        <v>0</v>
      </c>
      <c r="HA52">
        <v>0</v>
      </c>
      <c r="HB52">
        <v>0</v>
      </c>
      <c r="HC52">
        <v>0</v>
      </c>
      <c r="HD52">
        <f>GM52</f>
        <v>10274.14</v>
      </c>
      <c r="HE52" t="s">
        <v>3</v>
      </c>
      <c r="HF52" t="s">
        <v>3</v>
      </c>
      <c r="HM52" t="s">
        <v>3</v>
      </c>
      <c r="HN52" t="s">
        <v>3</v>
      </c>
      <c r="HO52" t="s">
        <v>3</v>
      </c>
      <c r="HP52" t="s">
        <v>3</v>
      </c>
      <c r="HQ52" t="s">
        <v>3</v>
      </c>
      <c r="IK52">
        <v>0</v>
      </c>
    </row>
    <row r="53" spans="1:245" x14ac:dyDescent="0.2">
      <c r="A53">
        <v>17</v>
      </c>
      <c r="B53">
        <v>1</v>
      </c>
      <c r="E53" t="s">
        <v>154</v>
      </c>
      <c r="F53" t="s">
        <v>155</v>
      </c>
      <c r="G53" t="s">
        <v>156</v>
      </c>
      <c r="H53" t="s">
        <v>66</v>
      </c>
      <c r="I53">
        <f>ROUND(I51+I52,9)</f>
        <v>280</v>
      </c>
      <c r="J53">
        <v>0</v>
      </c>
      <c r="K53">
        <f>ROUND(I51+I52,9)</f>
        <v>280</v>
      </c>
      <c r="O53">
        <f>ROUND(CP53,2)</f>
        <v>233336.32000000001</v>
      </c>
      <c r="P53">
        <f>ROUND(CQ53*I53,2)</f>
        <v>233336.32000000001</v>
      </c>
      <c r="Q53">
        <f>ROUND(CR53*I53,2)</f>
        <v>0</v>
      </c>
      <c r="R53">
        <f>ROUND(CS53*I53,2)</f>
        <v>0</v>
      </c>
      <c r="S53">
        <f>ROUND(CT53*I53,2)</f>
        <v>0</v>
      </c>
      <c r="T53">
        <f>ROUND(CU53*I53,2)</f>
        <v>0</v>
      </c>
      <c r="U53">
        <f>CV53*I53</f>
        <v>0</v>
      </c>
      <c r="V53">
        <f>CW53*I53</f>
        <v>0</v>
      </c>
      <c r="W53">
        <f>ROUND(CX53*I53,2)</f>
        <v>0</v>
      </c>
      <c r="X53">
        <f>ROUND(CY53,2)</f>
        <v>0</v>
      </c>
      <c r="Y53">
        <f>ROUND(CZ53,2)</f>
        <v>0</v>
      </c>
      <c r="AA53">
        <v>145016711</v>
      </c>
      <c r="AB53">
        <f>ROUND((AC53+AD53+AF53),2)</f>
        <v>92.8</v>
      </c>
      <c r="AC53">
        <f>ROUND((ES53),2)</f>
        <v>92.8</v>
      </c>
      <c r="AD53">
        <f>ROUND((((ET53)-(EU53))+AE53),2)</f>
        <v>0</v>
      </c>
      <c r="AE53">
        <f>ROUND((EU53),2)</f>
        <v>0</v>
      </c>
      <c r="AF53">
        <f>ROUND((EV53),2)</f>
        <v>0</v>
      </c>
      <c r="AG53">
        <f>ROUND((AP53),2)</f>
        <v>0</v>
      </c>
      <c r="AH53">
        <f>(EW53)</f>
        <v>0</v>
      </c>
      <c r="AI53">
        <f>(EX53)</f>
        <v>0</v>
      </c>
      <c r="AJ53">
        <f>(AS53)</f>
        <v>0</v>
      </c>
      <c r="AK53">
        <v>92.8</v>
      </c>
      <c r="AL53">
        <v>92.8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8.98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8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B53" t="s">
        <v>3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>(P53+Q53+S53)</f>
        <v>233336.32000000001</v>
      </c>
      <c r="CQ53">
        <f>AC53*BC53</f>
        <v>833.34400000000005</v>
      </c>
      <c r="CR53">
        <f>(((ET53)*BB53-(EU53)*BS53)+AE53*BS53)</f>
        <v>0</v>
      </c>
      <c r="CS53">
        <f>AE53*BS53</f>
        <v>0</v>
      </c>
      <c r="CT53">
        <f>AF53*BA53</f>
        <v>0</v>
      </c>
      <c r="CU53">
        <f>AG53</f>
        <v>0</v>
      </c>
      <c r="CV53">
        <f>AH53</f>
        <v>0</v>
      </c>
      <c r="CW53">
        <f>AI53</f>
        <v>0</v>
      </c>
      <c r="CX53">
        <f>AJ53</f>
        <v>0</v>
      </c>
      <c r="CY53">
        <f>(((S53+R53)*AT53)/100)</f>
        <v>0</v>
      </c>
      <c r="CZ53">
        <f>(((S53+R53)*AU53)/100)</f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66</v>
      </c>
      <c r="DW53" t="s">
        <v>66</v>
      </c>
      <c r="DX53">
        <v>1000</v>
      </c>
      <c r="DZ53" t="s">
        <v>3</v>
      </c>
      <c r="EA53" t="s">
        <v>3</v>
      </c>
      <c r="EB53" t="s">
        <v>3</v>
      </c>
      <c r="EC53" t="s">
        <v>3</v>
      </c>
      <c r="EE53">
        <v>140625274</v>
      </c>
      <c r="EF53">
        <v>8</v>
      </c>
      <c r="EG53" t="s">
        <v>59</v>
      </c>
      <c r="EH53">
        <v>0</v>
      </c>
      <c r="EI53" t="s">
        <v>3</v>
      </c>
      <c r="EJ53">
        <v>1</v>
      </c>
      <c r="EK53">
        <v>1100</v>
      </c>
      <c r="EL53" t="s">
        <v>60</v>
      </c>
      <c r="EM53" t="s">
        <v>61</v>
      </c>
      <c r="EO53" t="s">
        <v>3</v>
      </c>
      <c r="EQ53">
        <v>0</v>
      </c>
      <c r="ER53">
        <v>92.8</v>
      </c>
      <c r="ES53">
        <v>92.8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1</v>
      </c>
      <c r="FD53">
        <v>18</v>
      </c>
      <c r="FF53">
        <v>1000</v>
      </c>
      <c r="FQ53">
        <v>0</v>
      </c>
      <c r="FR53">
        <f t="shared" si="38"/>
        <v>0</v>
      </c>
      <c r="FS53">
        <v>0</v>
      </c>
      <c r="FX53">
        <v>0</v>
      </c>
      <c r="FY53">
        <v>0</v>
      </c>
      <c r="GA53" t="s">
        <v>157</v>
      </c>
      <c r="GD53">
        <v>1</v>
      </c>
      <c r="GF53">
        <v>-1326101414</v>
      </c>
      <c r="GG53">
        <v>2</v>
      </c>
      <c r="GH53">
        <v>3</v>
      </c>
      <c r="GI53">
        <v>4</v>
      </c>
      <c r="GJ53">
        <v>0</v>
      </c>
      <c r="GK53">
        <v>0</v>
      </c>
      <c r="GL53">
        <f t="shared" si="39"/>
        <v>0</v>
      </c>
      <c r="GM53">
        <f>ROUND(O53+X53+Y53,2)+GX53</f>
        <v>233336.32000000001</v>
      </c>
      <c r="GN53">
        <f>IF(OR(BI53=0,BI53=1),ROUND(O53+X53+Y53,2),0)</f>
        <v>233336.32000000001</v>
      </c>
      <c r="GO53">
        <f>IF(BI53=2,ROUND(O53+X53+Y53,2),0)</f>
        <v>0</v>
      </c>
      <c r="GP53">
        <f>IF(BI53=4,ROUND(O53+X53+Y53,2)+GX53,0)</f>
        <v>0</v>
      </c>
      <c r="GR53">
        <v>1</v>
      </c>
      <c r="GS53">
        <v>1</v>
      </c>
      <c r="GT53">
        <v>0</v>
      </c>
      <c r="GU53" t="s">
        <v>3</v>
      </c>
      <c r="GV53">
        <f>ROUND((GT53),2)</f>
        <v>0</v>
      </c>
      <c r="GW53">
        <v>1</v>
      </c>
      <c r="GX53">
        <f>ROUND(HC53*I53,2)</f>
        <v>0</v>
      </c>
      <c r="HA53">
        <v>0</v>
      </c>
      <c r="HB53">
        <v>0</v>
      </c>
      <c r="HC53">
        <f>GV53*GW53</f>
        <v>0</v>
      </c>
      <c r="HE53" t="s">
        <v>63</v>
      </c>
      <c r="HF53" t="s">
        <v>63</v>
      </c>
      <c r="HM53" t="s">
        <v>3</v>
      </c>
      <c r="HN53" t="s">
        <v>3</v>
      </c>
      <c r="HO53" t="s">
        <v>3</v>
      </c>
      <c r="HP53" t="s">
        <v>3</v>
      </c>
      <c r="HQ53" t="s">
        <v>3</v>
      </c>
      <c r="IK53">
        <v>0</v>
      </c>
    </row>
    <row r="55" spans="1:245" x14ac:dyDescent="0.2">
      <c r="A55" s="2">
        <v>51</v>
      </c>
      <c r="B55" s="2">
        <f>B20</f>
        <v>1</v>
      </c>
      <c r="C55" s="2">
        <f>A20</f>
        <v>3</v>
      </c>
      <c r="D55" s="2">
        <f>ROW(A20)</f>
        <v>20</v>
      </c>
      <c r="E55" s="2"/>
      <c r="F55" s="2" t="str">
        <f>IF(F20&lt;&gt;"",F20,"")</f>
        <v>Новая локальная смета</v>
      </c>
      <c r="G55" s="2" t="str">
        <f>IF(G20&lt;&gt;"",G20,"")</f>
        <v>Новая локальная смета</v>
      </c>
      <c r="H55" s="2">
        <v>0</v>
      </c>
      <c r="I55" s="2"/>
      <c r="J55" s="2"/>
      <c r="K55" s="2"/>
      <c r="L55" s="2"/>
      <c r="M55" s="2"/>
      <c r="N55" s="2"/>
      <c r="O55" s="2">
        <f t="shared" ref="O55:T55" si="50">ROUND(AB55,2)</f>
        <v>2548903.62</v>
      </c>
      <c r="P55" s="2">
        <f t="shared" si="50"/>
        <v>1289914.6599999999</v>
      </c>
      <c r="Q55" s="2">
        <f t="shared" si="50"/>
        <v>203048.07</v>
      </c>
      <c r="R55" s="2">
        <f t="shared" si="50"/>
        <v>53214.63</v>
      </c>
      <c r="S55" s="2">
        <f t="shared" si="50"/>
        <v>1055940.8899999999</v>
      </c>
      <c r="T55" s="2">
        <f t="shared" si="50"/>
        <v>0</v>
      </c>
      <c r="U55" s="2">
        <f>AH55</f>
        <v>3792.1987749999998</v>
      </c>
      <c r="V55" s="2">
        <f>AI55</f>
        <v>144.33359999999999</v>
      </c>
      <c r="W55" s="2">
        <f>ROUND(AJ55,2)</f>
        <v>0</v>
      </c>
      <c r="X55" s="2">
        <f>ROUND(AK55,2)</f>
        <v>1195467.8400000001</v>
      </c>
      <c r="Y55" s="2">
        <f>ROUND(AL55,2)</f>
        <v>571360.36</v>
      </c>
      <c r="Z55" s="2"/>
      <c r="AA55" s="2"/>
      <c r="AB55" s="2">
        <f>ROUND(SUMIF(AA24:AA53,"=145016711",O24:O53),2)</f>
        <v>2548903.62</v>
      </c>
      <c r="AC55" s="2">
        <f>ROUND(SUMIF(AA24:AA53,"=145016711",P24:P53),2)</f>
        <v>1289914.6599999999</v>
      </c>
      <c r="AD55" s="2">
        <f>ROUND(SUMIF(AA24:AA53,"=145016711",Q24:Q53),2)</f>
        <v>203048.07</v>
      </c>
      <c r="AE55" s="2">
        <f>ROUND(SUMIF(AA24:AA53,"=145016711",R24:R53),2)</f>
        <v>53214.63</v>
      </c>
      <c r="AF55" s="2">
        <f>ROUND(SUMIF(AA24:AA53,"=145016711",S24:S53),2)</f>
        <v>1055940.8899999999</v>
      </c>
      <c r="AG55" s="2">
        <f>ROUND(SUMIF(AA24:AA53,"=145016711",T24:T53),2)</f>
        <v>0</v>
      </c>
      <c r="AH55" s="2">
        <f>SUMIF(AA24:AA53,"=145016711",U24:U53)</f>
        <v>3792.1987749999998</v>
      </c>
      <c r="AI55" s="2">
        <f>SUMIF(AA24:AA53,"=145016711",V24:V53)</f>
        <v>144.33359999999999</v>
      </c>
      <c r="AJ55" s="2">
        <f>ROUND(SUMIF(AA24:AA53,"=145016711",W24:W53),2)</f>
        <v>0</v>
      </c>
      <c r="AK55" s="2">
        <f>ROUND(SUMIF(AA24:AA53,"=145016711",X24:X53),2)</f>
        <v>1195467.8400000001</v>
      </c>
      <c r="AL55" s="2">
        <f>ROUND(SUMIF(AA24:AA53,"=145016711",Y24:Y53),2)</f>
        <v>571360.36</v>
      </c>
      <c r="AM55" s="2"/>
      <c r="AN55" s="2"/>
      <c r="AO55" s="2">
        <f t="shared" ref="AO55:BD55" si="51">ROUND(BX55,2)</f>
        <v>0</v>
      </c>
      <c r="AP55" s="2">
        <f t="shared" si="51"/>
        <v>0</v>
      </c>
      <c r="AQ55" s="2">
        <f t="shared" si="51"/>
        <v>0</v>
      </c>
      <c r="AR55" s="2">
        <f t="shared" si="51"/>
        <v>4340964.72</v>
      </c>
      <c r="AS55" s="2">
        <f t="shared" si="51"/>
        <v>4340964.72</v>
      </c>
      <c r="AT55" s="2">
        <f t="shared" si="51"/>
        <v>0</v>
      </c>
      <c r="AU55" s="2">
        <f t="shared" si="51"/>
        <v>0</v>
      </c>
      <c r="AV55" s="2">
        <f t="shared" si="51"/>
        <v>1289914.6599999999</v>
      </c>
      <c r="AW55" s="2">
        <f t="shared" si="51"/>
        <v>1289914.6599999999</v>
      </c>
      <c r="AX55" s="2">
        <f t="shared" si="51"/>
        <v>0</v>
      </c>
      <c r="AY55" s="2">
        <f t="shared" si="51"/>
        <v>1289914.6599999999</v>
      </c>
      <c r="AZ55" s="2">
        <f t="shared" si="51"/>
        <v>0</v>
      </c>
      <c r="BA55" s="2">
        <f t="shared" si="51"/>
        <v>0</v>
      </c>
      <c r="BB55" s="2">
        <f t="shared" si="51"/>
        <v>0</v>
      </c>
      <c r="BC55" s="2">
        <f t="shared" si="51"/>
        <v>0</v>
      </c>
      <c r="BD55" s="2">
        <f t="shared" si="51"/>
        <v>25232.9</v>
      </c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>
        <f>ROUND(SUMIF(AA24:AA53,"=145016711",FQ24:FQ53),2)</f>
        <v>0</v>
      </c>
      <c r="BY55" s="2">
        <f>ROUND(SUMIF(AA24:AA53,"=145016711",FR24:FR53),2)</f>
        <v>0</v>
      </c>
      <c r="BZ55" s="2">
        <f>ROUND(SUMIF(AA24:AA53,"=145016711",GL24:GL53),2)</f>
        <v>0</v>
      </c>
      <c r="CA55" s="2">
        <f>ROUND(SUMIF(AA24:AA53,"=145016711",GM24:GM53),2)</f>
        <v>4340964.72</v>
      </c>
      <c r="CB55" s="2">
        <f>ROUND(SUMIF(AA24:AA53,"=145016711",GN24:GN53),2)</f>
        <v>4340964.72</v>
      </c>
      <c r="CC55" s="2">
        <f>ROUND(SUMIF(AA24:AA53,"=145016711",GO24:GO53),2)</f>
        <v>0</v>
      </c>
      <c r="CD55" s="2">
        <f>ROUND(SUMIF(AA24:AA53,"=145016711",GP24:GP53),2)</f>
        <v>0</v>
      </c>
      <c r="CE55" s="2">
        <f>AC55-BX55</f>
        <v>1289914.6599999999</v>
      </c>
      <c r="CF55" s="2">
        <f>AC55-BY55</f>
        <v>1289914.6599999999</v>
      </c>
      <c r="CG55" s="2">
        <f>BX55-BZ55</f>
        <v>0</v>
      </c>
      <c r="CH55" s="2">
        <f>AC55-BX55-BY55+BZ55</f>
        <v>1289914.6599999999</v>
      </c>
      <c r="CI55" s="2">
        <f>BY55-BZ55</f>
        <v>0</v>
      </c>
      <c r="CJ55" s="2">
        <f>ROUND(SUMIF(AA24:AA53,"=145016711",GX24:GX53),2)</f>
        <v>0</v>
      </c>
      <c r="CK55" s="2">
        <f>ROUND(SUMIF(AA24:AA53,"=145016711",GY24:GY53),2)</f>
        <v>0</v>
      </c>
      <c r="CL55" s="2">
        <f>ROUND(SUMIF(AA24:AA53,"=145016711",GZ24:GZ53),2)</f>
        <v>0</v>
      </c>
      <c r="CM55" s="2">
        <f>ROUND(SUMIF(AA24:AA53,"=145016711",HD24:HD53),2)</f>
        <v>25232.9</v>
      </c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>
        <v>0</v>
      </c>
    </row>
    <row r="57" spans="1:245" x14ac:dyDescent="0.2">
      <c r="A57" s="4">
        <v>50</v>
      </c>
      <c r="B57" s="4">
        <v>0</v>
      </c>
      <c r="C57" s="4">
        <v>0</v>
      </c>
      <c r="D57" s="4">
        <v>1</v>
      </c>
      <c r="E57" s="4">
        <v>201</v>
      </c>
      <c r="F57" s="4">
        <f>ROUND(Source!O55,O57)</f>
        <v>2548903.62</v>
      </c>
      <c r="G57" s="4" t="s">
        <v>158</v>
      </c>
      <c r="H57" s="4" t="s">
        <v>159</v>
      </c>
      <c r="I57" s="4"/>
      <c r="J57" s="4"/>
      <c r="K57" s="4">
        <v>201</v>
      </c>
      <c r="L57" s="4">
        <v>1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>
        <v>2548903.62</v>
      </c>
      <c r="X57" s="4">
        <v>1</v>
      </c>
      <c r="Y57" s="4">
        <v>2548903.62</v>
      </c>
      <c r="Z57" s="4"/>
      <c r="AA57" s="4"/>
      <c r="AB57" s="4"/>
    </row>
    <row r="58" spans="1:245" x14ac:dyDescent="0.2">
      <c r="A58" s="4">
        <v>50</v>
      </c>
      <c r="B58" s="4">
        <v>0</v>
      </c>
      <c r="C58" s="4">
        <v>0</v>
      </c>
      <c r="D58" s="4">
        <v>1</v>
      </c>
      <c r="E58" s="4">
        <v>202</v>
      </c>
      <c r="F58" s="4">
        <f>ROUND(Source!P55,O58)</f>
        <v>1289914.6599999999</v>
      </c>
      <c r="G58" s="4" t="s">
        <v>160</v>
      </c>
      <c r="H58" s="4" t="s">
        <v>161</v>
      </c>
      <c r="I58" s="4"/>
      <c r="J58" s="4"/>
      <c r="K58" s="4">
        <v>202</v>
      </c>
      <c r="L58" s="4">
        <v>2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>
        <v>1289914.6599999999</v>
      </c>
      <c r="X58" s="4">
        <v>1</v>
      </c>
      <c r="Y58" s="4">
        <v>1289914.6599999999</v>
      </c>
      <c r="Z58" s="4"/>
      <c r="AA58" s="4"/>
      <c r="AB58" s="4"/>
    </row>
    <row r="59" spans="1:245" x14ac:dyDescent="0.2">
      <c r="A59" s="4">
        <v>50</v>
      </c>
      <c r="B59" s="4">
        <v>0</v>
      </c>
      <c r="C59" s="4">
        <v>0</v>
      </c>
      <c r="D59" s="4">
        <v>1</v>
      </c>
      <c r="E59" s="4">
        <v>222</v>
      </c>
      <c r="F59" s="4">
        <f>ROUND(Source!AO55,O59)</f>
        <v>0</v>
      </c>
      <c r="G59" s="4" t="s">
        <v>162</v>
      </c>
      <c r="H59" s="4" t="s">
        <v>163</v>
      </c>
      <c r="I59" s="4"/>
      <c r="J59" s="4"/>
      <c r="K59" s="4">
        <v>222</v>
      </c>
      <c r="L59" s="4">
        <v>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>
        <v>0</v>
      </c>
      <c r="X59" s="4">
        <v>1</v>
      </c>
      <c r="Y59" s="4">
        <v>0</v>
      </c>
      <c r="Z59" s="4"/>
      <c r="AA59" s="4"/>
      <c r="AB59" s="4"/>
    </row>
    <row r="60" spans="1:245" x14ac:dyDescent="0.2">
      <c r="A60" s="4">
        <v>50</v>
      </c>
      <c r="B60" s="4">
        <v>0</v>
      </c>
      <c r="C60" s="4">
        <v>0</v>
      </c>
      <c r="D60" s="4">
        <v>1</v>
      </c>
      <c r="E60" s="4">
        <v>225</v>
      </c>
      <c r="F60" s="4">
        <f>ROUND(Source!AV55,O60)</f>
        <v>1289914.6599999999</v>
      </c>
      <c r="G60" s="4" t="s">
        <v>164</v>
      </c>
      <c r="H60" s="4" t="s">
        <v>165</v>
      </c>
      <c r="I60" s="4"/>
      <c r="J60" s="4"/>
      <c r="K60" s="4">
        <v>225</v>
      </c>
      <c r="L60" s="4">
        <v>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>
        <v>1289914.6599999999</v>
      </c>
      <c r="X60" s="4">
        <v>1</v>
      </c>
      <c r="Y60" s="4">
        <v>1289914.6599999999</v>
      </c>
      <c r="Z60" s="4"/>
      <c r="AA60" s="4"/>
      <c r="AB60" s="4"/>
    </row>
    <row r="61" spans="1:245" x14ac:dyDescent="0.2">
      <c r="A61" s="4">
        <v>50</v>
      </c>
      <c r="B61" s="4">
        <v>0</v>
      </c>
      <c r="C61" s="4">
        <v>0</v>
      </c>
      <c r="D61" s="4">
        <v>1</v>
      </c>
      <c r="E61" s="4">
        <v>226</v>
      </c>
      <c r="F61" s="4">
        <f>ROUND(Source!AW55,O61)</f>
        <v>1289914.6599999999</v>
      </c>
      <c r="G61" s="4" t="s">
        <v>166</v>
      </c>
      <c r="H61" s="4" t="s">
        <v>167</v>
      </c>
      <c r="I61" s="4"/>
      <c r="J61" s="4"/>
      <c r="K61" s="4">
        <v>226</v>
      </c>
      <c r="L61" s="4">
        <v>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>
        <v>1289914.6599999999</v>
      </c>
      <c r="X61" s="4">
        <v>1</v>
      </c>
      <c r="Y61" s="4">
        <v>1289914.6599999999</v>
      </c>
      <c r="Z61" s="4"/>
      <c r="AA61" s="4"/>
      <c r="AB61" s="4"/>
    </row>
    <row r="62" spans="1:245" x14ac:dyDescent="0.2">
      <c r="A62" s="4">
        <v>50</v>
      </c>
      <c r="B62" s="4">
        <v>0</v>
      </c>
      <c r="C62" s="4">
        <v>0</v>
      </c>
      <c r="D62" s="4">
        <v>1</v>
      </c>
      <c r="E62" s="4">
        <v>227</v>
      </c>
      <c r="F62" s="4">
        <f>ROUND(Source!AX55,O62)</f>
        <v>0</v>
      </c>
      <c r="G62" s="4" t="s">
        <v>168</v>
      </c>
      <c r="H62" s="4" t="s">
        <v>169</v>
      </c>
      <c r="I62" s="4"/>
      <c r="J62" s="4"/>
      <c r="K62" s="4">
        <v>227</v>
      </c>
      <c r="L62" s="4">
        <v>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>
        <v>0</v>
      </c>
      <c r="X62" s="4">
        <v>1</v>
      </c>
      <c r="Y62" s="4">
        <v>0</v>
      </c>
      <c r="Z62" s="4"/>
      <c r="AA62" s="4"/>
      <c r="AB62" s="4"/>
    </row>
    <row r="63" spans="1:245" x14ac:dyDescent="0.2">
      <c r="A63" s="4">
        <v>50</v>
      </c>
      <c r="B63" s="4">
        <v>0</v>
      </c>
      <c r="C63" s="4">
        <v>0</v>
      </c>
      <c r="D63" s="4">
        <v>1</v>
      </c>
      <c r="E63" s="4">
        <v>228</v>
      </c>
      <c r="F63" s="4">
        <f>ROUND(Source!AY55,O63)</f>
        <v>1289914.6599999999</v>
      </c>
      <c r="G63" s="4" t="s">
        <v>170</v>
      </c>
      <c r="H63" s="4" t="s">
        <v>171</v>
      </c>
      <c r="I63" s="4"/>
      <c r="J63" s="4"/>
      <c r="K63" s="4">
        <v>228</v>
      </c>
      <c r="L63" s="4">
        <v>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>
        <v>1289914.6599999999</v>
      </c>
      <c r="X63" s="4">
        <v>1</v>
      </c>
      <c r="Y63" s="4">
        <v>1289914.6599999999</v>
      </c>
      <c r="Z63" s="4"/>
      <c r="AA63" s="4"/>
      <c r="AB63" s="4"/>
    </row>
    <row r="64" spans="1:245" x14ac:dyDescent="0.2">
      <c r="A64" s="4">
        <v>50</v>
      </c>
      <c r="B64" s="4">
        <v>0</v>
      </c>
      <c r="C64" s="4">
        <v>0</v>
      </c>
      <c r="D64" s="4">
        <v>1</v>
      </c>
      <c r="E64" s="4">
        <v>216</v>
      </c>
      <c r="F64" s="4">
        <f>ROUND(Source!AP55,O64)</f>
        <v>0</v>
      </c>
      <c r="G64" s="4" t="s">
        <v>172</v>
      </c>
      <c r="H64" s="4" t="s">
        <v>173</v>
      </c>
      <c r="I64" s="4"/>
      <c r="J64" s="4"/>
      <c r="K64" s="4">
        <v>216</v>
      </c>
      <c r="L64" s="4">
        <v>8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>
        <v>0</v>
      </c>
      <c r="X64" s="4">
        <v>1</v>
      </c>
      <c r="Y64" s="4">
        <v>0</v>
      </c>
      <c r="Z64" s="4"/>
      <c r="AA64" s="4"/>
      <c r="AB64" s="4"/>
    </row>
    <row r="65" spans="1:28" x14ac:dyDescent="0.2">
      <c r="A65" s="4">
        <v>50</v>
      </c>
      <c r="B65" s="4">
        <v>0</v>
      </c>
      <c r="C65" s="4">
        <v>0</v>
      </c>
      <c r="D65" s="4">
        <v>1</v>
      </c>
      <c r="E65" s="4">
        <v>223</v>
      </c>
      <c r="F65" s="4">
        <f>ROUND(Source!AQ55,O65)</f>
        <v>0</v>
      </c>
      <c r="G65" s="4" t="s">
        <v>174</v>
      </c>
      <c r="H65" s="4" t="s">
        <v>175</v>
      </c>
      <c r="I65" s="4"/>
      <c r="J65" s="4"/>
      <c r="K65" s="4">
        <v>223</v>
      </c>
      <c r="L65" s="4">
        <v>9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>
        <v>0</v>
      </c>
      <c r="X65" s="4">
        <v>1</v>
      </c>
      <c r="Y65" s="4">
        <v>0</v>
      </c>
      <c r="Z65" s="4"/>
      <c r="AA65" s="4"/>
      <c r="AB65" s="4"/>
    </row>
    <row r="66" spans="1:28" x14ac:dyDescent="0.2">
      <c r="A66" s="4">
        <v>50</v>
      </c>
      <c r="B66" s="4">
        <v>0</v>
      </c>
      <c r="C66" s="4">
        <v>0</v>
      </c>
      <c r="D66" s="4">
        <v>1</v>
      </c>
      <c r="E66" s="4">
        <v>229</v>
      </c>
      <c r="F66" s="4">
        <f>ROUND(Source!AZ55,O66)</f>
        <v>0</v>
      </c>
      <c r="G66" s="4" t="s">
        <v>176</v>
      </c>
      <c r="H66" s="4" t="s">
        <v>177</v>
      </c>
      <c r="I66" s="4"/>
      <c r="J66" s="4"/>
      <c r="K66" s="4">
        <v>229</v>
      </c>
      <c r="L66" s="4">
        <v>10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>
        <v>0</v>
      </c>
      <c r="X66" s="4">
        <v>1</v>
      </c>
      <c r="Y66" s="4">
        <v>0</v>
      </c>
      <c r="Z66" s="4"/>
      <c r="AA66" s="4"/>
      <c r="AB66" s="4"/>
    </row>
    <row r="67" spans="1:28" x14ac:dyDescent="0.2">
      <c r="A67" s="4">
        <v>50</v>
      </c>
      <c r="B67" s="4">
        <v>0</v>
      </c>
      <c r="C67" s="4">
        <v>0</v>
      </c>
      <c r="D67" s="4">
        <v>1</v>
      </c>
      <c r="E67" s="4">
        <v>203</v>
      </c>
      <c r="F67" s="4">
        <f>ROUND(Source!Q55,O67)</f>
        <v>203048.07</v>
      </c>
      <c r="G67" s="4" t="s">
        <v>178</v>
      </c>
      <c r="H67" s="4" t="s">
        <v>179</v>
      </c>
      <c r="I67" s="4"/>
      <c r="J67" s="4"/>
      <c r="K67" s="4">
        <v>203</v>
      </c>
      <c r="L67" s="4">
        <v>11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>
        <v>203048.07</v>
      </c>
      <c r="X67" s="4">
        <v>1</v>
      </c>
      <c r="Y67" s="4">
        <v>203048.07</v>
      </c>
      <c r="Z67" s="4"/>
      <c r="AA67" s="4"/>
      <c r="AB67" s="4"/>
    </row>
    <row r="68" spans="1:28" x14ac:dyDescent="0.2">
      <c r="A68" s="4">
        <v>50</v>
      </c>
      <c r="B68" s="4">
        <v>0</v>
      </c>
      <c r="C68" s="4">
        <v>0</v>
      </c>
      <c r="D68" s="4">
        <v>1</v>
      </c>
      <c r="E68" s="4">
        <v>231</v>
      </c>
      <c r="F68" s="4">
        <f>ROUND(Source!BB55,O68)</f>
        <v>0</v>
      </c>
      <c r="G68" s="4" t="s">
        <v>180</v>
      </c>
      <c r="H68" s="4" t="s">
        <v>181</v>
      </c>
      <c r="I68" s="4"/>
      <c r="J68" s="4"/>
      <c r="K68" s="4">
        <v>231</v>
      </c>
      <c r="L68" s="4">
        <v>12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>
        <v>0</v>
      </c>
      <c r="X68" s="4">
        <v>1</v>
      </c>
      <c r="Y68" s="4">
        <v>0</v>
      </c>
      <c r="Z68" s="4"/>
      <c r="AA68" s="4"/>
      <c r="AB68" s="4"/>
    </row>
    <row r="69" spans="1:28" x14ac:dyDescent="0.2">
      <c r="A69" s="4">
        <v>50</v>
      </c>
      <c r="B69" s="4">
        <v>0</v>
      </c>
      <c r="C69" s="4">
        <v>0</v>
      </c>
      <c r="D69" s="4">
        <v>1</v>
      </c>
      <c r="E69" s="4">
        <v>204</v>
      </c>
      <c r="F69" s="4">
        <f>ROUND(Source!R55,O69)</f>
        <v>53214.63</v>
      </c>
      <c r="G69" s="4" t="s">
        <v>182</v>
      </c>
      <c r="H69" s="4" t="s">
        <v>183</v>
      </c>
      <c r="I69" s="4"/>
      <c r="J69" s="4"/>
      <c r="K69" s="4">
        <v>204</v>
      </c>
      <c r="L69" s="4">
        <v>13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>
        <v>53214.63</v>
      </c>
      <c r="X69" s="4">
        <v>1</v>
      </c>
      <c r="Y69" s="4">
        <v>53214.63</v>
      </c>
      <c r="Z69" s="4"/>
      <c r="AA69" s="4"/>
      <c r="AB69" s="4"/>
    </row>
    <row r="70" spans="1:28" x14ac:dyDescent="0.2">
      <c r="A70" s="4">
        <v>50</v>
      </c>
      <c r="B70" s="4">
        <v>0</v>
      </c>
      <c r="C70" s="4">
        <v>0</v>
      </c>
      <c r="D70" s="4">
        <v>1</v>
      </c>
      <c r="E70" s="4">
        <v>205</v>
      </c>
      <c r="F70" s="4">
        <f>ROUND(Source!S55,O70)</f>
        <v>1055940.8899999999</v>
      </c>
      <c r="G70" s="4" t="s">
        <v>184</v>
      </c>
      <c r="H70" s="4" t="s">
        <v>185</v>
      </c>
      <c r="I70" s="4"/>
      <c r="J70" s="4"/>
      <c r="K70" s="4">
        <v>205</v>
      </c>
      <c r="L70" s="4">
        <v>14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>
        <v>1055940.8899999999</v>
      </c>
      <c r="X70" s="4">
        <v>1</v>
      </c>
      <c r="Y70" s="4">
        <v>1055940.8899999999</v>
      </c>
      <c r="Z70" s="4"/>
      <c r="AA70" s="4"/>
      <c r="AB70" s="4"/>
    </row>
    <row r="71" spans="1:28" x14ac:dyDescent="0.2">
      <c r="A71" s="4">
        <v>50</v>
      </c>
      <c r="B71" s="4">
        <v>0</v>
      </c>
      <c r="C71" s="4">
        <v>0</v>
      </c>
      <c r="D71" s="4">
        <v>1</v>
      </c>
      <c r="E71" s="4">
        <v>232</v>
      </c>
      <c r="F71" s="4">
        <f>ROUND(Source!BC55,O71)</f>
        <v>0</v>
      </c>
      <c r="G71" s="4" t="s">
        <v>186</v>
      </c>
      <c r="H71" s="4" t="s">
        <v>187</v>
      </c>
      <c r="I71" s="4"/>
      <c r="J71" s="4"/>
      <c r="K71" s="4">
        <v>232</v>
      </c>
      <c r="L71" s="4">
        <v>15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>
        <v>0</v>
      </c>
      <c r="X71" s="4">
        <v>1</v>
      </c>
      <c r="Y71" s="4">
        <v>0</v>
      </c>
      <c r="Z71" s="4"/>
      <c r="AA71" s="4"/>
      <c r="AB71" s="4"/>
    </row>
    <row r="72" spans="1:28" x14ac:dyDescent="0.2">
      <c r="A72" s="4">
        <v>50</v>
      </c>
      <c r="B72" s="4">
        <v>0</v>
      </c>
      <c r="C72" s="4">
        <v>0</v>
      </c>
      <c r="D72" s="4">
        <v>1</v>
      </c>
      <c r="E72" s="4">
        <v>214</v>
      </c>
      <c r="F72" s="4">
        <f>ROUND(Source!AS55,O72)</f>
        <v>4340964.72</v>
      </c>
      <c r="G72" s="4" t="s">
        <v>188</v>
      </c>
      <c r="H72" s="4" t="s">
        <v>189</v>
      </c>
      <c r="I72" s="4"/>
      <c r="J72" s="4"/>
      <c r="K72" s="4">
        <v>214</v>
      </c>
      <c r="L72" s="4">
        <v>16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>
        <v>4340964.72</v>
      </c>
      <c r="X72" s="4">
        <v>1</v>
      </c>
      <c r="Y72" s="4">
        <v>4340964.72</v>
      </c>
      <c r="Z72" s="4"/>
      <c r="AA72" s="4"/>
      <c r="AB72" s="4"/>
    </row>
    <row r="73" spans="1:28" x14ac:dyDescent="0.2">
      <c r="A73" s="4">
        <v>50</v>
      </c>
      <c r="B73" s="4">
        <v>0</v>
      </c>
      <c r="C73" s="4">
        <v>0</v>
      </c>
      <c r="D73" s="4">
        <v>1</v>
      </c>
      <c r="E73" s="4">
        <v>215</v>
      </c>
      <c r="F73" s="4">
        <f>ROUND(Source!AT55,O73)</f>
        <v>0</v>
      </c>
      <c r="G73" s="4" t="s">
        <v>190</v>
      </c>
      <c r="H73" s="4" t="s">
        <v>191</v>
      </c>
      <c r="I73" s="4"/>
      <c r="J73" s="4"/>
      <c r="K73" s="4">
        <v>215</v>
      </c>
      <c r="L73" s="4">
        <v>17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>
        <v>0</v>
      </c>
      <c r="X73" s="4">
        <v>1</v>
      </c>
      <c r="Y73" s="4">
        <v>0</v>
      </c>
      <c r="Z73" s="4"/>
      <c r="AA73" s="4"/>
      <c r="AB73" s="4"/>
    </row>
    <row r="74" spans="1:28" x14ac:dyDescent="0.2">
      <c r="A74" s="4">
        <v>50</v>
      </c>
      <c r="B74" s="4">
        <v>0</v>
      </c>
      <c r="C74" s="4">
        <v>0</v>
      </c>
      <c r="D74" s="4">
        <v>1</v>
      </c>
      <c r="E74" s="4">
        <v>217</v>
      </c>
      <c r="F74" s="4">
        <f>ROUND(Source!AU55,O74)</f>
        <v>0</v>
      </c>
      <c r="G74" s="4" t="s">
        <v>192</v>
      </c>
      <c r="H74" s="4" t="s">
        <v>193</v>
      </c>
      <c r="I74" s="4"/>
      <c r="J74" s="4"/>
      <c r="K74" s="4">
        <v>217</v>
      </c>
      <c r="L74" s="4">
        <v>18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>
        <v>0</v>
      </c>
      <c r="X74" s="4">
        <v>1</v>
      </c>
      <c r="Y74" s="4">
        <v>0</v>
      </c>
      <c r="Z74" s="4"/>
      <c r="AA74" s="4"/>
      <c r="AB74" s="4"/>
    </row>
    <row r="75" spans="1:28" x14ac:dyDescent="0.2">
      <c r="A75" s="4">
        <v>50</v>
      </c>
      <c r="B75" s="4">
        <v>0</v>
      </c>
      <c r="C75" s="4">
        <v>0</v>
      </c>
      <c r="D75" s="4">
        <v>1</v>
      </c>
      <c r="E75" s="4">
        <v>230</v>
      </c>
      <c r="F75" s="4">
        <f>ROUND(Source!BA55,O75)</f>
        <v>0</v>
      </c>
      <c r="G75" s="4" t="s">
        <v>194</v>
      </c>
      <c r="H75" s="4" t="s">
        <v>195</v>
      </c>
      <c r="I75" s="4"/>
      <c r="J75" s="4"/>
      <c r="K75" s="4">
        <v>230</v>
      </c>
      <c r="L75" s="4">
        <v>19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>
        <v>0</v>
      </c>
      <c r="X75" s="4">
        <v>1</v>
      </c>
      <c r="Y75" s="4">
        <v>0</v>
      </c>
      <c r="Z75" s="4"/>
      <c r="AA75" s="4"/>
      <c r="AB75" s="4"/>
    </row>
    <row r="76" spans="1:28" x14ac:dyDescent="0.2">
      <c r="A76" s="4">
        <v>50</v>
      </c>
      <c r="B76" s="4">
        <v>0</v>
      </c>
      <c r="C76" s="4">
        <v>0</v>
      </c>
      <c r="D76" s="4">
        <v>1</v>
      </c>
      <c r="E76" s="4">
        <v>206</v>
      </c>
      <c r="F76" s="4">
        <f>ROUND(Source!T55,O76)</f>
        <v>0</v>
      </c>
      <c r="G76" s="4" t="s">
        <v>196</v>
      </c>
      <c r="H76" s="4" t="s">
        <v>197</v>
      </c>
      <c r="I76" s="4"/>
      <c r="J76" s="4"/>
      <c r="K76" s="4">
        <v>206</v>
      </c>
      <c r="L76" s="4">
        <v>20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>
        <v>0</v>
      </c>
      <c r="X76" s="4">
        <v>1</v>
      </c>
      <c r="Y76" s="4">
        <v>0</v>
      </c>
      <c r="Z76" s="4"/>
      <c r="AA76" s="4"/>
      <c r="AB76" s="4"/>
    </row>
    <row r="77" spans="1:28" x14ac:dyDescent="0.2">
      <c r="A77" s="4">
        <v>50</v>
      </c>
      <c r="B77" s="4">
        <v>0</v>
      </c>
      <c r="C77" s="4">
        <v>0</v>
      </c>
      <c r="D77" s="4">
        <v>1</v>
      </c>
      <c r="E77" s="4">
        <v>207</v>
      </c>
      <c r="F77" s="4">
        <f>Source!U55</f>
        <v>3792.1987749999998</v>
      </c>
      <c r="G77" s="4" t="s">
        <v>198</v>
      </c>
      <c r="H77" s="4" t="s">
        <v>199</v>
      </c>
      <c r="I77" s="4"/>
      <c r="J77" s="4"/>
      <c r="K77" s="4">
        <v>207</v>
      </c>
      <c r="L77" s="4">
        <v>21</v>
      </c>
      <c r="M77" s="4">
        <v>3</v>
      </c>
      <c r="N77" s="4" t="s">
        <v>3</v>
      </c>
      <c r="O77" s="4">
        <v>-1</v>
      </c>
      <c r="P77" s="4"/>
      <c r="Q77" s="4"/>
      <c r="R77" s="4"/>
      <c r="S77" s="4"/>
      <c r="T77" s="4"/>
      <c r="U77" s="4"/>
      <c r="V77" s="4"/>
      <c r="W77" s="4">
        <v>3792.1987749999998</v>
      </c>
      <c r="X77" s="4">
        <v>1</v>
      </c>
      <c r="Y77" s="4">
        <v>3792.1987749999998</v>
      </c>
      <c r="Z77" s="4"/>
      <c r="AA77" s="4"/>
      <c r="AB77" s="4"/>
    </row>
    <row r="78" spans="1:28" x14ac:dyDescent="0.2">
      <c r="A78" s="4">
        <v>50</v>
      </c>
      <c r="B78" s="4">
        <v>0</v>
      </c>
      <c r="C78" s="4">
        <v>0</v>
      </c>
      <c r="D78" s="4">
        <v>1</v>
      </c>
      <c r="E78" s="4">
        <v>208</v>
      </c>
      <c r="F78" s="4">
        <f>Source!V55</f>
        <v>144.33359999999999</v>
      </c>
      <c r="G78" s="4" t="s">
        <v>200</v>
      </c>
      <c r="H78" s="4" t="s">
        <v>201</v>
      </c>
      <c r="I78" s="4"/>
      <c r="J78" s="4"/>
      <c r="K78" s="4">
        <v>208</v>
      </c>
      <c r="L78" s="4">
        <v>22</v>
      </c>
      <c r="M78" s="4">
        <v>3</v>
      </c>
      <c r="N78" s="4" t="s">
        <v>3</v>
      </c>
      <c r="O78" s="4">
        <v>-1</v>
      </c>
      <c r="P78" s="4"/>
      <c r="Q78" s="4"/>
      <c r="R78" s="4"/>
      <c r="S78" s="4"/>
      <c r="T78" s="4"/>
      <c r="U78" s="4"/>
      <c r="V78" s="4"/>
      <c r="W78" s="4">
        <v>144.33359999999999</v>
      </c>
      <c r="X78" s="4">
        <v>1</v>
      </c>
      <c r="Y78" s="4">
        <v>144.33359999999999</v>
      </c>
      <c r="Z78" s="4"/>
      <c r="AA78" s="4"/>
      <c r="AB78" s="4"/>
    </row>
    <row r="79" spans="1:28" x14ac:dyDescent="0.2">
      <c r="A79" s="4">
        <v>50</v>
      </c>
      <c r="B79" s="4">
        <v>0</v>
      </c>
      <c r="C79" s="4">
        <v>0</v>
      </c>
      <c r="D79" s="4">
        <v>1</v>
      </c>
      <c r="E79" s="4">
        <v>209</v>
      </c>
      <c r="F79" s="4">
        <f>ROUND(Source!W55,O79)</f>
        <v>0</v>
      </c>
      <c r="G79" s="4" t="s">
        <v>202</v>
      </c>
      <c r="H79" s="4" t="s">
        <v>203</v>
      </c>
      <c r="I79" s="4"/>
      <c r="J79" s="4"/>
      <c r="K79" s="4">
        <v>209</v>
      </c>
      <c r="L79" s="4">
        <v>23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>
        <v>0</v>
      </c>
      <c r="X79" s="4">
        <v>1</v>
      </c>
      <c r="Y79" s="4">
        <v>0</v>
      </c>
      <c r="Z79" s="4"/>
      <c r="AA79" s="4"/>
      <c r="AB79" s="4"/>
    </row>
    <row r="80" spans="1:28" x14ac:dyDescent="0.2">
      <c r="A80" s="4">
        <v>50</v>
      </c>
      <c r="B80" s="4">
        <v>0</v>
      </c>
      <c r="C80" s="4">
        <v>0</v>
      </c>
      <c r="D80" s="4">
        <v>1</v>
      </c>
      <c r="E80" s="4">
        <v>233</v>
      </c>
      <c r="F80" s="4">
        <f>ROUND(Source!BD55,O80)</f>
        <v>25232.9</v>
      </c>
      <c r="G80" s="4" t="s">
        <v>204</v>
      </c>
      <c r="H80" s="4" t="s">
        <v>205</v>
      </c>
      <c r="I80" s="4"/>
      <c r="J80" s="4"/>
      <c r="K80" s="4">
        <v>233</v>
      </c>
      <c r="L80" s="4">
        <v>24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>
        <v>25232.9</v>
      </c>
      <c r="X80" s="4">
        <v>1</v>
      </c>
      <c r="Y80" s="4">
        <v>25232.9</v>
      </c>
      <c r="Z80" s="4"/>
      <c r="AA80" s="4"/>
      <c r="AB80" s="4"/>
    </row>
    <row r="81" spans="1:206" x14ac:dyDescent="0.2">
      <c r="A81" s="4">
        <v>50</v>
      </c>
      <c r="B81" s="4">
        <v>0</v>
      </c>
      <c r="C81" s="4">
        <v>0</v>
      </c>
      <c r="D81" s="4">
        <v>1</v>
      </c>
      <c r="E81" s="4">
        <v>210</v>
      </c>
      <c r="F81" s="4">
        <f>ROUND(Source!X55,O81)</f>
        <v>1195467.8400000001</v>
      </c>
      <c r="G81" s="4" t="s">
        <v>206</v>
      </c>
      <c r="H81" s="4" t="s">
        <v>207</v>
      </c>
      <c r="I81" s="4"/>
      <c r="J81" s="4"/>
      <c r="K81" s="4">
        <v>210</v>
      </c>
      <c r="L81" s="4">
        <v>25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>
        <v>1195467.8400000001</v>
      </c>
      <c r="X81" s="4">
        <v>1</v>
      </c>
      <c r="Y81" s="4">
        <v>1195467.8400000001</v>
      </c>
      <c r="Z81" s="4"/>
      <c r="AA81" s="4"/>
      <c r="AB81" s="4"/>
    </row>
    <row r="82" spans="1:206" x14ac:dyDescent="0.2">
      <c r="A82" s="4">
        <v>50</v>
      </c>
      <c r="B82" s="4">
        <v>0</v>
      </c>
      <c r="C82" s="4">
        <v>0</v>
      </c>
      <c r="D82" s="4">
        <v>1</v>
      </c>
      <c r="E82" s="4">
        <v>211</v>
      </c>
      <c r="F82" s="4">
        <f>ROUND(Source!Y55,O82)</f>
        <v>571360.36</v>
      </c>
      <c r="G82" s="4" t="s">
        <v>208</v>
      </c>
      <c r="H82" s="4" t="s">
        <v>209</v>
      </c>
      <c r="I82" s="4"/>
      <c r="J82" s="4"/>
      <c r="K82" s="4">
        <v>211</v>
      </c>
      <c r="L82" s="4">
        <v>26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>
        <v>571360.36</v>
      </c>
      <c r="X82" s="4">
        <v>1</v>
      </c>
      <c r="Y82" s="4">
        <v>571360.36</v>
      </c>
      <c r="Z82" s="4"/>
      <c r="AA82" s="4"/>
      <c r="AB82" s="4"/>
    </row>
    <row r="83" spans="1:206" x14ac:dyDescent="0.2">
      <c r="A83" s="4">
        <v>50</v>
      </c>
      <c r="B83" s="4">
        <v>0</v>
      </c>
      <c r="C83" s="4">
        <v>0</v>
      </c>
      <c r="D83" s="4">
        <v>1</v>
      </c>
      <c r="E83" s="4">
        <v>224</v>
      </c>
      <c r="F83" s="4">
        <f>ROUND(Source!AR55,O83)</f>
        <v>4340964.72</v>
      </c>
      <c r="G83" s="4" t="s">
        <v>210</v>
      </c>
      <c r="H83" s="4" t="s">
        <v>211</v>
      </c>
      <c r="I83" s="4"/>
      <c r="J83" s="4"/>
      <c r="K83" s="4">
        <v>224</v>
      </c>
      <c r="L83" s="4">
        <v>27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>
        <v>4340964.72</v>
      </c>
      <c r="X83" s="4">
        <v>1</v>
      </c>
      <c r="Y83" s="4">
        <v>4340964.72</v>
      </c>
      <c r="Z83" s="4"/>
      <c r="AA83" s="4"/>
      <c r="AB83" s="4"/>
    </row>
    <row r="85" spans="1:206" x14ac:dyDescent="0.2">
      <c r="A85" s="2">
        <v>51</v>
      </c>
      <c r="B85" s="2">
        <f>B12</f>
        <v>147</v>
      </c>
      <c r="C85" s="2">
        <f>A12</f>
        <v>1</v>
      </c>
      <c r="D85" s="2">
        <f>ROW(A12)</f>
        <v>12</v>
      </c>
      <c r="E85" s="2"/>
      <c r="F85" s="2">
        <f>IF(F12&lt;&gt;"",F12,"")</f>
        <v>1</v>
      </c>
      <c r="G85" s="2" t="str">
        <f>IF(G12&lt;&gt;"",G12,"")</f>
        <v>Ремонт кровли склада готовой продукции (производственный корпус) Инв. № 43672</v>
      </c>
      <c r="H85" s="2">
        <v>0</v>
      </c>
      <c r="I85" s="2"/>
      <c r="J85" s="2"/>
      <c r="K85" s="2"/>
      <c r="L85" s="2"/>
      <c r="M85" s="2"/>
      <c r="N85" s="2"/>
      <c r="O85" s="2">
        <f t="shared" ref="O85:T85" si="52">ROUND(O55,2)</f>
        <v>2548903.62</v>
      </c>
      <c r="P85" s="2">
        <f t="shared" si="52"/>
        <v>1289914.6599999999</v>
      </c>
      <c r="Q85" s="2">
        <f t="shared" si="52"/>
        <v>203048.07</v>
      </c>
      <c r="R85" s="2">
        <f t="shared" si="52"/>
        <v>53214.63</v>
      </c>
      <c r="S85" s="2">
        <f t="shared" si="52"/>
        <v>1055940.8899999999</v>
      </c>
      <c r="T85" s="2">
        <f t="shared" si="52"/>
        <v>0</v>
      </c>
      <c r="U85" s="2">
        <f>U55</f>
        <v>3792.1987749999998</v>
      </c>
      <c r="V85" s="2">
        <f>V55</f>
        <v>144.33359999999999</v>
      </c>
      <c r="W85" s="2">
        <f>ROUND(W55,2)</f>
        <v>0</v>
      </c>
      <c r="X85" s="2">
        <f>ROUND(X55,2)</f>
        <v>1195467.8400000001</v>
      </c>
      <c r="Y85" s="2">
        <f>ROUND(Y55,2)</f>
        <v>571360.36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>
        <f t="shared" ref="AO85:BD85" si="53">ROUND(AO55,2)</f>
        <v>0</v>
      </c>
      <c r="AP85" s="2">
        <f t="shared" si="53"/>
        <v>0</v>
      </c>
      <c r="AQ85" s="2">
        <f t="shared" si="53"/>
        <v>0</v>
      </c>
      <c r="AR85" s="2">
        <f t="shared" si="53"/>
        <v>4340964.72</v>
      </c>
      <c r="AS85" s="2">
        <f t="shared" si="53"/>
        <v>4340964.72</v>
      </c>
      <c r="AT85" s="2">
        <f t="shared" si="53"/>
        <v>0</v>
      </c>
      <c r="AU85" s="2">
        <f t="shared" si="53"/>
        <v>0</v>
      </c>
      <c r="AV85" s="2">
        <f t="shared" si="53"/>
        <v>1289914.6599999999</v>
      </c>
      <c r="AW85" s="2">
        <f t="shared" si="53"/>
        <v>1289914.6599999999</v>
      </c>
      <c r="AX85" s="2">
        <f t="shared" si="53"/>
        <v>0</v>
      </c>
      <c r="AY85" s="2">
        <f t="shared" si="53"/>
        <v>1289914.6599999999</v>
      </c>
      <c r="AZ85" s="2">
        <f t="shared" si="53"/>
        <v>0</v>
      </c>
      <c r="BA85" s="2">
        <f t="shared" si="53"/>
        <v>0</v>
      </c>
      <c r="BB85" s="2">
        <f t="shared" si="53"/>
        <v>0</v>
      </c>
      <c r="BC85" s="2">
        <f t="shared" si="53"/>
        <v>0</v>
      </c>
      <c r="BD85" s="2">
        <f t="shared" si="53"/>
        <v>25232.9</v>
      </c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>
        <v>0</v>
      </c>
    </row>
    <row r="87" spans="1:206" x14ac:dyDescent="0.2">
      <c r="A87" s="4">
        <v>50</v>
      </c>
      <c r="B87" s="4">
        <v>1</v>
      </c>
      <c r="C87" s="4">
        <v>0</v>
      </c>
      <c r="D87" s="4">
        <v>1</v>
      </c>
      <c r="E87" s="4">
        <v>201</v>
      </c>
      <c r="F87" s="4">
        <f>ROUND(Source!O85,O87)</f>
        <v>2548903.62</v>
      </c>
      <c r="G87" s="4" t="s">
        <v>158</v>
      </c>
      <c r="H87" s="4" t="s">
        <v>159</v>
      </c>
      <c r="I87" s="4"/>
      <c r="J87" s="4"/>
      <c r="K87" s="4">
        <v>201</v>
      </c>
      <c r="L87" s="4">
        <v>1</v>
      </c>
      <c r="M87" s="4">
        <v>1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>
        <v>2548903.62</v>
      </c>
      <c r="X87" s="4">
        <v>1</v>
      </c>
      <c r="Y87" s="4">
        <v>2548903.62</v>
      </c>
      <c r="Z87" s="4"/>
      <c r="AA87" s="4"/>
      <c r="AB87" s="4"/>
    </row>
    <row r="88" spans="1:206" x14ac:dyDescent="0.2">
      <c r="A88" s="4">
        <v>50</v>
      </c>
      <c r="B88" s="4">
        <v>1</v>
      </c>
      <c r="C88" s="4">
        <v>0</v>
      </c>
      <c r="D88" s="4">
        <v>1</v>
      </c>
      <c r="E88" s="4">
        <v>202</v>
      </c>
      <c r="F88" s="4">
        <f>ROUND(Source!P85,O88)</f>
        <v>1289914.6599999999</v>
      </c>
      <c r="G88" s="4" t="s">
        <v>160</v>
      </c>
      <c r="H88" s="4" t="s">
        <v>161</v>
      </c>
      <c r="I88" s="4"/>
      <c r="J88" s="4"/>
      <c r="K88" s="4">
        <v>202</v>
      </c>
      <c r="L88" s="4">
        <v>2</v>
      </c>
      <c r="M88" s="4">
        <v>1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>
        <v>1289914.6599999999</v>
      </c>
      <c r="X88" s="4">
        <v>1</v>
      </c>
      <c r="Y88" s="4">
        <v>1289914.6599999999</v>
      </c>
      <c r="Z88" s="4"/>
      <c r="AA88" s="4"/>
      <c r="AB88" s="4"/>
    </row>
    <row r="89" spans="1:206" x14ac:dyDescent="0.2">
      <c r="A89" s="4">
        <v>50</v>
      </c>
      <c r="B89" s="4">
        <v>0</v>
      </c>
      <c r="C89" s="4">
        <v>0</v>
      </c>
      <c r="D89" s="4">
        <v>1</v>
      </c>
      <c r="E89" s="4">
        <v>222</v>
      </c>
      <c r="F89" s="4">
        <f>ROUND(Source!AO85,O89)</f>
        <v>0</v>
      </c>
      <c r="G89" s="4" t="s">
        <v>162</v>
      </c>
      <c r="H89" s="4" t="s">
        <v>163</v>
      </c>
      <c r="I89" s="4"/>
      <c r="J89" s="4"/>
      <c r="K89" s="4">
        <v>222</v>
      </c>
      <c r="L89" s="4">
        <v>3</v>
      </c>
      <c r="M89" s="4">
        <v>1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>
        <v>0</v>
      </c>
      <c r="X89" s="4">
        <v>1</v>
      </c>
      <c r="Y89" s="4">
        <v>0</v>
      </c>
      <c r="Z89" s="4"/>
      <c r="AA89" s="4"/>
      <c r="AB89" s="4"/>
    </row>
    <row r="90" spans="1:206" x14ac:dyDescent="0.2">
      <c r="A90" s="4">
        <v>50</v>
      </c>
      <c r="B90" s="4">
        <v>1</v>
      </c>
      <c r="C90" s="4">
        <v>0</v>
      </c>
      <c r="D90" s="4">
        <v>1</v>
      </c>
      <c r="E90" s="4">
        <v>225</v>
      </c>
      <c r="F90" s="4">
        <f>ROUND(Source!AV85,O90)</f>
        <v>1289914.6599999999</v>
      </c>
      <c r="G90" s="4" t="s">
        <v>164</v>
      </c>
      <c r="H90" s="4" t="s">
        <v>165</v>
      </c>
      <c r="I90" s="4"/>
      <c r="J90" s="4"/>
      <c r="K90" s="4">
        <v>225</v>
      </c>
      <c r="L90" s="4">
        <v>4</v>
      </c>
      <c r="M90" s="4">
        <v>1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>
        <v>1289914.6599999999</v>
      </c>
      <c r="X90" s="4">
        <v>1</v>
      </c>
      <c r="Y90" s="4">
        <v>1289914.6599999999</v>
      </c>
      <c r="Z90" s="4"/>
      <c r="AA90" s="4"/>
      <c r="AB90" s="4"/>
    </row>
    <row r="91" spans="1:206" x14ac:dyDescent="0.2">
      <c r="A91" s="4">
        <v>50</v>
      </c>
      <c r="B91" s="4">
        <v>1</v>
      </c>
      <c r="C91" s="4">
        <v>0</v>
      </c>
      <c r="D91" s="4">
        <v>1</v>
      </c>
      <c r="E91" s="4">
        <v>226</v>
      </c>
      <c r="F91" s="4">
        <f>ROUND(Source!AW85,O91)</f>
        <v>1289914.6599999999</v>
      </c>
      <c r="G91" s="4" t="s">
        <v>166</v>
      </c>
      <c r="H91" s="4" t="s">
        <v>167</v>
      </c>
      <c r="I91" s="4"/>
      <c r="J91" s="4"/>
      <c r="K91" s="4">
        <v>226</v>
      </c>
      <c r="L91" s="4">
        <v>5</v>
      </c>
      <c r="M91" s="4">
        <v>1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>
        <v>1289914.6599999999</v>
      </c>
      <c r="X91" s="4">
        <v>1</v>
      </c>
      <c r="Y91" s="4">
        <v>1289914.6599999999</v>
      </c>
      <c r="Z91" s="4"/>
      <c r="AA91" s="4"/>
      <c r="AB91" s="4"/>
    </row>
    <row r="92" spans="1:206" x14ac:dyDescent="0.2">
      <c r="A92" s="4">
        <v>50</v>
      </c>
      <c r="B92" s="4">
        <v>0</v>
      </c>
      <c r="C92" s="4">
        <v>0</v>
      </c>
      <c r="D92" s="4">
        <v>1</v>
      </c>
      <c r="E92" s="4">
        <v>227</v>
      </c>
      <c r="F92" s="4">
        <f>ROUND(Source!AX85,O92)</f>
        <v>0</v>
      </c>
      <c r="G92" s="4" t="s">
        <v>168</v>
      </c>
      <c r="H92" s="4" t="s">
        <v>169</v>
      </c>
      <c r="I92" s="4"/>
      <c r="J92" s="4"/>
      <c r="K92" s="4">
        <v>227</v>
      </c>
      <c r="L92" s="4">
        <v>6</v>
      </c>
      <c r="M92" s="4">
        <v>1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>
        <v>0</v>
      </c>
      <c r="X92" s="4">
        <v>1</v>
      </c>
      <c r="Y92" s="4">
        <v>0</v>
      </c>
      <c r="Z92" s="4"/>
      <c r="AA92" s="4"/>
      <c r="AB92" s="4"/>
    </row>
    <row r="93" spans="1:206" x14ac:dyDescent="0.2">
      <c r="A93" s="4">
        <v>50</v>
      </c>
      <c r="B93" s="4">
        <v>1</v>
      </c>
      <c r="C93" s="4">
        <v>0</v>
      </c>
      <c r="D93" s="4">
        <v>1</v>
      </c>
      <c r="E93" s="4">
        <v>228</v>
      </c>
      <c r="F93" s="4">
        <f>ROUND(Source!AY85,O93)</f>
        <v>1289914.6599999999</v>
      </c>
      <c r="G93" s="4" t="s">
        <v>170</v>
      </c>
      <c r="H93" s="4" t="s">
        <v>171</v>
      </c>
      <c r="I93" s="4"/>
      <c r="J93" s="4"/>
      <c r="K93" s="4">
        <v>228</v>
      </c>
      <c r="L93" s="4">
        <v>7</v>
      </c>
      <c r="M93" s="4">
        <v>1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>
        <v>1289914.6599999999</v>
      </c>
      <c r="X93" s="4">
        <v>1</v>
      </c>
      <c r="Y93" s="4">
        <v>1289914.6599999999</v>
      </c>
      <c r="Z93" s="4"/>
      <c r="AA93" s="4"/>
      <c r="AB93" s="4"/>
    </row>
    <row r="94" spans="1:206" x14ac:dyDescent="0.2">
      <c r="A94" s="4">
        <v>50</v>
      </c>
      <c r="B94" s="4">
        <v>0</v>
      </c>
      <c r="C94" s="4">
        <v>0</v>
      </c>
      <c r="D94" s="4">
        <v>1</v>
      </c>
      <c r="E94" s="4">
        <v>216</v>
      </c>
      <c r="F94" s="4">
        <f>ROUND(Source!AP85,O94)</f>
        <v>0</v>
      </c>
      <c r="G94" s="4" t="s">
        <v>172</v>
      </c>
      <c r="H94" s="4" t="s">
        <v>173</v>
      </c>
      <c r="I94" s="4"/>
      <c r="J94" s="4"/>
      <c r="K94" s="4">
        <v>216</v>
      </c>
      <c r="L94" s="4">
        <v>8</v>
      </c>
      <c r="M94" s="4">
        <v>1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>
        <v>0</v>
      </c>
      <c r="X94" s="4">
        <v>1</v>
      </c>
      <c r="Y94" s="4">
        <v>0</v>
      </c>
      <c r="Z94" s="4"/>
      <c r="AA94" s="4"/>
      <c r="AB94" s="4"/>
    </row>
    <row r="95" spans="1:206" x14ac:dyDescent="0.2">
      <c r="A95" s="4">
        <v>50</v>
      </c>
      <c r="B95" s="4">
        <v>0</v>
      </c>
      <c r="C95" s="4">
        <v>0</v>
      </c>
      <c r="D95" s="4">
        <v>1</v>
      </c>
      <c r="E95" s="4">
        <v>223</v>
      </c>
      <c r="F95" s="4">
        <f>ROUND(Source!AQ85,O95)</f>
        <v>0</v>
      </c>
      <c r="G95" s="4" t="s">
        <v>174</v>
      </c>
      <c r="H95" s="4" t="s">
        <v>175</v>
      </c>
      <c r="I95" s="4"/>
      <c r="J95" s="4"/>
      <c r="K95" s="4">
        <v>223</v>
      </c>
      <c r="L95" s="4">
        <v>9</v>
      </c>
      <c r="M95" s="4">
        <v>1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>
        <v>0</v>
      </c>
      <c r="X95" s="4">
        <v>1</v>
      </c>
      <c r="Y95" s="4">
        <v>0</v>
      </c>
      <c r="Z95" s="4"/>
      <c r="AA95" s="4"/>
      <c r="AB95" s="4"/>
    </row>
    <row r="96" spans="1:206" x14ac:dyDescent="0.2">
      <c r="A96" s="4">
        <v>50</v>
      </c>
      <c r="B96" s="4">
        <v>0</v>
      </c>
      <c r="C96" s="4">
        <v>0</v>
      </c>
      <c r="D96" s="4">
        <v>1</v>
      </c>
      <c r="E96" s="4">
        <v>229</v>
      </c>
      <c r="F96" s="4">
        <f>ROUND(Source!AZ85,O96)</f>
        <v>0</v>
      </c>
      <c r="G96" s="4" t="s">
        <v>176</v>
      </c>
      <c r="H96" s="4" t="s">
        <v>177</v>
      </c>
      <c r="I96" s="4"/>
      <c r="J96" s="4"/>
      <c r="K96" s="4">
        <v>229</v>
      </c>
      <c r="L96" s="4">
        <v>10</v>
      </c>
      <c r="M96" s="4">
        <v>1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>
        <v>0</v>
      </c>
      <c r="X96" s="4">
        <v>1</v>
      </c>
      <c r="Y96" s="4">
        <v>0</v>
      </c>
      <c r="Z96" s="4"/>
      <c r="AA96" s="4"/>
      <c r="AB96" s="4"/>
    </row>
    <row r="97" spans="1:28" x14ac:dyDescent="0.2">
      <c r="A97" s="4">
        <v>50</v>
      </c>
      <c r="B97" s="4">
        <v>1</v>
      </c>
      <c r="C97" s="4">
        <v>0</v>
      </c>
      <c r="D97" s="4">
        <v>1</v>
      </c>
      <c r="E97" s="4">
        <v>203</v>
      </c>
      <c r="F97" s="4">
        <f>ROUND(Source!Q85,O97)</f>
        <v>203048.07</v>
      </c>
      <c r="G97" s="4" t="s">
        <v>178</v>
      </c>
      <c r="H97" s="4" t="s">
        <v>179</v>
      </c>
      <c r="I97" s="4"/>
      <c r="J97" s="4"/>
      <c r="K97" s="4">
        <v>203</v>
      </c>
      <c r="L97" s="4">
        <v>11</v>
      </c>
      <c r="M97" s="4">
        <v>1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>
        <v>203048.07</v>
      </c>
      <c r="X97" s="4">
        <v>1</v>
      </c>
      <c r="Y97" s="4">
        <v>203048.07</v>
      </c>
      <c r="Z97" s="4"/>
      <c r="AA97" s="4"/>
      <c r="AB97" s="4"/>
    </row>
    <row r="98" spans="1:28" x14ac:dyDescent="0.2">
      <c r="A98" s="4">
        <v>50</v>
      </c>
      <c r="B98" s="4">
        <v>0</v>
      </c>
      <c r="C98" s="4">
        <v>0</v>
      </c>
      <c r="D98" s="4">
        <v>1</v>
      </c>
      <c r="E98" s="4">
        <v>231</v>
      </c>
      <c r="F98" s="4">
        <f>ROUND(Source!BB85,O98)</f>
        <v>0</v>
      </c>
      <c r="G98" s="4" t="s">
        <v>180</v>
      </c>
      <c r="H98" s="4" t="s">
        <v>181</v>
      </c>
      <c r="I98" s="4"/>
      <c r="J98" s="4"/>
      <c r="K98" s="4">
        <v>231</v>
      </c>
      <c r="L98" s="4">
        <v>12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>
        <v>0</v>
      </c>
      <c r="X98" s="4">
        <v>1</v>
      </c>
      <c r="Y98" s="4">
        <v>0</v>
      </c>
      <c r="Z98" s="4"/>
      <c r="AA98" s="4"/>
      <c r="AB98" s="4"/>
    </row>
    <row r="99" spans="1:28" x14ac:dyDescent="0.2">
      <c r="A99" s="4">
        <v>50</v>
      </c>
      <c r="B99" s="4">
        <v>1</v>
      </c>
      <c r="C99" s="4">
        <v>0</v>
      </c>
      <c r="D99" s="4">
        <v>1</v>
      </c>
      <c r="E99" s="4">
        <v>204</v>
      </c>
      <c r="F99" s="4">
        <f>ROUND(Source!R85,O99)</f>
        <v>53214.63</v>
      </c>
      <c r="G99" s="4" t="s">
        <v>182</v>
      </c>
      <c r="H99" s="4" t="s">
        <v>183</v>
      </c>
      <c r="I99" s="4"/>
      <c r="J99" s="4"/>
      <c r="K99" s="4">
        <v>204</v>
      </c>
      <c r="L99" s="4">
        <v>13</v>
      </c>
      <c r="M99" s="4">
        <v>1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>
        <v>53214.63</v>
      </c>
      <c r="X99" s="4">
        <v>1</v>
      </c>
      <c r="Y99" s="4">
        <v>53214.63</v>
      </c>
      <c r="Z99" s="4"/>
      <c r="AA99" s="4"/>
      <c r="AB99" s="4"/>
    </row>
    <row r="100" spans="1:28" x14ac:dyDescent="0.2">
      <c r="A100" s="4">
        <v>50</v>
      </c>
      <c r="B100" s="4">
        <v>1</v>
      </c>
      <c r="C100" s="4">
        <v>0</v>
      </c>
      <c r="D100" s="4">
        <v>1</v>
      </c>
      <c r="E100" s="4">
        <v>205</v>
      </c>
      <c r="F100" s="4">
        <f>ROUND(Source!S85,O100)</f>
        <v>1055940.8899999999</v>
      </c>
      <c r="G100" s="4" t="s">
        <v>184</v>
      </c>
      <c r="H100" s="4" t="s">
        <v>185</v>
      </c>
      <c r="I100" s="4"/>
      <c r="J100" s="4"/>
      <c r="K100" s="4">
        <v>205</v>
      </c>
      <c r="L100" s="4">
        <v>14</v>
      </c>
      <c r="M100" s="4">
        <v>1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>
        <v>1055940.8899999999</v>
      </c>
      <c r="X100" s="4">
        <v>1</v>
      </c>
      <c r="Y100" s="4">
        <v>1055940.8899999999</v>
      </c>
      <c r="Z100" s="4"/>
      <c r="AA100" s="4"/>
      <c r="AB100" s="4"/>
    </row>
    <row r="101" spans="1:28" x14ac:dyDescent="0.2">
      <c r="A101" s="4">
        <v>50</v>
      </c>
      <c r="B101" s="4">
        <v>0</v>
      </c>
      <c r="C101" s="4">
        <v>0</v>
      </c>
      <c r="D101" s="4">
        <v>1</v>
      </c>
      <c r="E101" s="4">
        <v>232</v>
      </c>
      <c r="F101" s="4">
        <f>ROUND(Source!BC85,O101)</f>
        <v>0</v>
      </c>
      <c r="G101" s="4" t="s">
        <v>186</v>
      </c>
      <c r="H101" s="4" t="s">
        <v>187</v>
      </c>
      <c r="I101" s="4"/>
      <c r="J101" s="4"/>
      <c r="K101" s="4">
        <v>232</v>
      </c>
      <c r="L101" s="4">
        <v>15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>
        <v>0</v>
      </c>
      <c r="X101" s="4">
        <v>1</v>
      </c>
      <c r="Y101" s="4">
        <v>0</v>
      </c>
      <c r="Z101" s="4"/>
      <c r="AA101" s="4"/>
      <c r="AB101" s="4"/>
    </row>
    <row r="102" spans="1:28" x14ac:dyDescent="0.2">
      <c r="A102" s="4">
        <v>50</v>
      </c>
      <c r="B102" s="4">
        <v>1</v>
      </c>
      <c r="C102" s="4">
        <v>0</v>
      </c>
      <c r="D102" s="4">
        <v>1</v>
      </c>
      <c r="E102" s="4">
        <v>214</v>
      </c>
      <c r="F102" s="4">
        <f>ROUND(Source!AS85,O102)</f>
        <v>4340964.72</v>
      </c>
      <c r="G102" s="4" t="s">
        <v>188</v>
      </c>
      <c r="H102" s="4" t="s">
        <v>189</v>
      </c>
      <c r="I102" s="4"/>
      <c r="J102" s="4"/>
      <c r="K102" s="4">
        <v>214</v>
      </c>
      <c r="L102" s="4">
        <v>16</v>
      </c>
      <c r="M102" s="4">
        <v>1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>
        <v>4340964.72</v>
      </c>
      <c r="X102" s="4">
        <v>1</v>
      </c>
      <c r="Y102" s="4">
        <v>4340964.72</v>
      </c>
      <c r="Z102" s="4"/>
      <c r="AA102" s="4"/>
      <c r="AB102" s="4"/>
    </row>
    <row r="103" spans="1:28" x14ac:dyDescent="0.2">
      <c r="A103" s="4">
        <v>50</v>
      </c>
      <c r="B103" s="4">
        <v>0</v>
      </c>
      <c r="C103" s="4">
        <v>0</v>
      </c>
      <c r="D103" s="4">
        <v>1</v>
      </c>
      <c r="E103" s="4">
        <v>215</v>
      </c>
      <c r="F103" s="4">
        <f>ROUND(Source!AT85,O103)</f>
        <v>0</v>
      </c>
      <c r="G103" s="4" t="s">
        <v>190</v>
      </c>
      <c r="H103" s="4" t="s">
        <v>191</v>
      </c>
      <c r="I103" s="4"/>
      <c r="J103" s="4"/>
      <c r="K103" s="4">
        <v>215</v>
      </c>
      <c r="L103" s="4">
        <v>17</v>
      </c>
      <c r="M103" s="4">
        <v>1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>
        <v>0</v>
      </c>
      <c r="X103" s="4">
        <v>1</v>
      </c>
      <c r="Y103" s="4">
        <v>0</v>
      </c>
      <c r="Z103" s="4"/>
      <c r="AA103" s="4"/>
      <c r="AB103" s="4"/>
    </row>
    <row r="104" spans="1:28" x14ac:dyDescent="0.2">
      <c r="A104" s="4">
        <v>50</v>
      </c>
      <c r="B104" s="4">
        <v>0</v>
      </c>
      <c r="C104" s="4">
        <v>0</v>
      </c>
      <c r="D104" s="4">
        <v>1</v>
      </c>
      <c r="E104" s="4">
        <v>217</v>
      </c>
      <c r="F104" s="4">
        <f>ROUND(Source!AU85,O104)</f>
        <v>0</v>
      </c>
      <c r="G104" s="4" t="s">
        <v>192</v>
      </c>
      <c r="H104" s="4" t="s">
        <v>193</v>
      </c>
      <c r="I104" s="4"/>
      <c r="J104" s="4"/>
      <c r="K104" s="4">
        <v>217</v>
      </c>
      <c r="L104" s="4">
        <v>18</v>
      </c>
      <c r="M104" s="4">
        <v>1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>
        <v>0</v>
      </c>
      <c r="X104" s="4">
        <v>1</v>
      </c>
      <c r="Y104" s="4">
        <v>0</v>
      </c>
      <c r="Z104" s="4"/>
      <c r="AA104" s="4"/>
      <c r="AB104" s="4"/>
    </row>
    <row r="105" spans="1:28" x14ac:dyDescent="0.2">
      <c r="A105" s="4">
        <v>50</v>
      </c>
      <c r="B105" s="4">
        <v>0</v>
      </c>
      <c r="C105" s="4">
        <v>0</v>
      </c>
      <c r="D105" s="4">
        <v>1</v>
      </c>
      <c r="E105" s="4">
        <v>230</v>
      </c>
      <c r="F105" s="4">
        <f>ROUND(Source!BA85,O105)</f>
        <v>0</v>
      </c>
      <c r="G105" s="4" t="s">
        <v>194</v>
      </c>
      <c r="H105" s="4" t="s">
        <v>195</v>
      </c>
      <c r="I105" s="4"/>
      <c r="J105" s="4"/>
      <c r="K105" s="4">
        <v>230</v>
      </c>
      <c r="L105" s="4">
        <v>19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>
        <v>0</v>
      </c>
      <c r="X105" s="4">
        <v>1</v>
      </c>
      <c r="Y105" s="4">
        <v>0</v>
      </c>
      <c r="Z105" s="4"/>
      <c r="AA105" s="4"/>
      <c r="AB105" s="4"/>
    </row>
    <row r="106" spans="1:28" x14ac:dyDescent="0.2">
      <c r="A106" s="4">
        <v>50</v>
      </c>
      <c r="B106" s="4">
        <v>0</v>
      </c>
      <c r="C106" s="4">
        <v>0</v>
      </c>
      <c r="D106" s="4">
        <v>1</v>
      </c>
      <c r="E106" s="4">
        <v>206</v>
      </c>
      <c r="F106" s="4">
        <f>ROUND(Source!T85,O106)</f>
        <v>0</v>
      </c>
      <c r="G106" s="4" t="s">
        <v>196</v>
      </c>
      <c r="H106" s="4" t="s">
        <v>197</v>
      </c>
      <c r="I106" s="4"/>
      <c r="J106" s="4"/>
      <c r="K106" s="4">
        <v>206</v>
      </c>
      <c r="L106" s="4">
        <v>20</v>
      </c>
      <c r="M106" s="4">
        <v>1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>
        <v>0</v>
      </c>
      <c r="X106" s="4">
        <v>1</v>
      </c>
      <c r="Y106" s="4">
        <v>0</v>
      </c>
      <c r="Z106" s="4"/>
      <c r="AA106" s="4"/>
      <c r="AB106" s="4"/>
    </row>
    <row r="107" spans="1:28" x14ac:dyDescent="0.2">
      <c r="A107" s="4">
        <v>50</v>
      </c>
      <c r="B107" s="4">
        <v>1</v>
      </c>
      <c r="C107" s="4">
        <v>0</v>
      </c>
      <c r="D107" s="4">
        <v>1</v>
      </c>
      <c r="E107" s="4">
        <v>207</v>
      </c>
      <c r="F107" s="4">
        <f>Source!U85</f>
        <v>3792.1987749999998</v>
      </c>
      <c r="G107" s="4" t="s">
        <v>198</v>
      </c>
      <c r="H107" s="4" t="s">
        <v>199</v>
      </c>
      <c r="I107" s="4"/>
      <c r="J107" s="4"/>
      <c r="K107" s="4">
        <v>207</v>
      </c>
      <c r="L107" s="4">
        <v>21</v>
      </c>
      <c r="M107" s="4">
        <v>1</v>
      </c>
      <c r="N107" s="4" t="s">
        <v>3</v>
      </c>
      <c r="O107" s="4">
        <v>-1</v>
      </c>
      <c r="P107" s="4"/>
      <c r="Q107" s="4"/>
      <c r="R107" s="4"/>
      <c r="S107" s="4"/>
      <c r="T107" s="4"/>
      <c r="U107" s="4"/>
      <c r="V107" s="4"/>
      <c r="W107" s="4">
        <v>3792.1987749999998</v>
      </c>
      <c r="X107" s="4">
        <v>1</v>
      </c>
      <c r="Y107" s="4">
        <v>3792.1987749999998</v>
      </c>
      <c r="Z107" s="4"/>
      <c r="AA107" s="4"/>
      <c r="AB107" s="4"/>
    </row>
    <row r="108" spans="1:28" x14ac:dyDescent="0.2">
      <c r="A108" s="4">
        <v>50</v>
      </c>
      <c r="B108" s="4">
        <v>1</v>
      </c>
      <c r="C108" s="4">
        <v>0</v>
      </c>
      <c r="D108" s="4">
        <v>1</v>
      </c>
      <c r="E108" s="4">
        <v>208</v>
      </c>
      <c r="F108" s="4">
        <f>Source!V85</f>
        <v>144.33359999999999</v>
      </c>
      <c r="G108" s="4" t="s">
        <v>200</v>
      </c>
      <c r="H108" s="4" t="s">
        <v>201</v>
      </c>
      <c r="I108" s="4"/>
      <c r="J108" s="4"/>
      <c r="K108" s="4">
        <v>208</v>
      </c>
      <c r="L108" s="4">
        <v>22</v>
      </c>
      <c r="M108" s="4">
        <v>1</v>
      </c>
      <c r="N108" s="4" t="s">
        <v>3</v>
      </c>
      <c r="O108" s="4">
        <v>-1</v>
      </c>
      <c r="P108" s="4"/>
      <c r="Q108" s="4"/>
      <c r="R108" s="4"/>
      <c r="S108" s="4"/>
      <c r="T108" s="4"/>
      <c r="U108" s="4"/>
      <c r="V108" s="4"/>
      <c r="W108" s="4">
        <v>144.33359999999999</v>
      </c>
      <c r="X108" s="4">
        <v>1</v>
      </c>
      <c r="Y108" s="4">
        <v>144.33359999999999</v>
      </c>
      <c r="Z108" s="4"/>
      <c r="AA108" s="4"/>
      <c r="AB108" s="4"/>
    </row>
    <row r="109" spans="1:28" x14ac:dyDescent="0.2">
      <c r="A109" s="4">
        <v>50</v>
      </c>
      <c r="B109" s="4">
        <v>0</v>
      </c>
      <c r="C109" s="4">
        <v>0</v>
      </c>
      <c r="D109" s="4">
        <v>1</v>
      </c>
      <c r="E109" s="4">
        <v>209</v>
      </c>
      <c r="F109" s="4">
        <f>ROUND(Source!W85,O109)</f>
        <v>0</v>
      </c>
      <c r="G109" s="4" t="s">
        <v>202</v>
      </c>
      <c r="H109" s="4" t="s">
        <v>203</v>
      </c>
      <c r="I109" s="4"/>
      <c r="J109" s="4"/>
      <c r="K109" s="4">
        <v>209</v>
      </c>
      <c r="L109" s="4">
        <v>23</v>
      </c>
      <c r="M109" s="4">
        <v>1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>
        <v>0</v>
      </c>
      <c r="X109" s="4">
        <v>1</v>
      </c>
      <c r="Y109" s="4">
        <v>0</v>
      </c>
      <c r="Z109" s="4"/>
      <c r="AA109" s="4"/>
      <c r="AB109" s="4"/>
    </row>
    <row r="110" spans="1:28" x14ac:dyDescent="0.2">
      <c r="A110" s="4">
        <v>50</v>
      </c>
      <c r="B110" s="4">
        <v>1</v>
      </c>
      <c r="C110" s="4">
        <v>0</v>
      </c>
      <c r="D110" s="4">
        <v>1</v>
      </c>
      <c r="E110" s="4">
        <v>233</v>
      </c>
      <c r="F110" s="4">
        <f>ROUND(Source!BD85,O110)</f>
        <v>25232.9</v>
      </c>
      <c r="G110" s="4" t="s">
        <v>204</v>
      </c>
      <c r="H110" s="4" t="s">
        <v>205</v>
      </c>
      <c r="I110" s="4"/>
      <c r="J110" s="4"/>
      <c r="K110" s="4">
        <v>233</v>
      </c>
      <c r="L110" s="4">
        <v>24</v>
      </c>
      <c r="M110" s="4">
        <v>1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>
        <v>25232.9</v>
      </c>
      <c r="X110" s="4">
        <v>1</v>
      </c>
      <c r="Y110" s="4">
        <v>25232.9</v>
      </c>
      <c r="Z110" s="4"/>
      <c r="AA110" s="4"/>
      <c r="AB110" s="4"/>
    </row>
    <row r="111" spans="1:28" x14ac:dyDescent="0.2">
      <c r="A111" s="4">
        <v>50</v>
      </c>
      <c r="B111" s="4">
        <v>1</v>
      </c>
      <c r="C111" s="4">
        <v>0</v>
      </c>
      <c r="D111" s="4">
        <v>1</v>
      </c>
      <c r="E111" s="4">
        <v>210</v>
      </c>
      <c r="F111" s="4">
        <f>ROUND(Source!X85,O111)</f>
        <v>1195467.8400000001</v>
      </c>
      <c r="G111" s="4" t="s">
        <v>206</v>
      </c>
      <c r="H111" s="4" t="s">
        <v>207</v>
      </c>
      <c r="I111" s="4"/>
      <c r="J111" s="4"/>
      <c r="K111" s="4">
        <v>210</v>
      </c>
      <c r="L111" s="4">
        <v>25</v>
      </c>
      <c r="M111" s="4">
        <v>1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>
        <v>1195467.8400000001</v>
      </c>
      <c r="X111" s="4">
        <v>1</v>
      </c>
      <c r="Y111" s="4">
        <v>1195467.8400000001</v>
      </c>
      <c r="Z111" s="4"/>
      <c r="AA111" s="4"/>
      <c r="AB111" s="4"/>
    </row>
    <row r="112" spans="1:28" x14ac:dyDescent="0.2">
      <c r="A112" s="4">
        <v>50</v>
      </c>
      <c r="B112" s="4">
        <v>1</v>
      </c>
      <c r="C112" s="4">
        <v>0</v>
      </c>
      <c r="D112" s="4">
        <v>1</v>
      </c>
      <c r="E112" s="4">
        <v>211</v>
      </c>
      <c r="F112" s="4">
        <f>ROUND(Source!Y85,O112)</f>
        <v>571360.36</v>
      </c>
      <c r="G112" s="4" t="s">
        <v>208</v>
      </c>
      <c r="H112" s="4" t="s">
        <v>209</v>
      </c>
      <c r="I112" s="4"/>
      <c r="J112" s="4"/>
      <c r="K112" s="4">
        <v>211</v>
      </c>
      <c r="L112" s="4">
        <v>26</v>
      </c>
      <c r="M112" s="4">
        <v>1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571360.36</v>
      </c>
      <c r="X112" s="4">
        <v>1</v>
      </c>
      <c r="Y112" s="4">
        <v>571360.36</v>
      </c>
      <c r="Z112" s="4"/>
      <c r="AA112" s="4"/>
      <c r="AB112" s="4"/>
    </row>
    <row r="113" spans="1:28" x14ac:dyDescent="0.2">
      <c r="A113" s="4">
        <v>50</v>
      </c>
      <c r="B113" s="4">
        <v>1</v>
      </c>
      <c r="C113" s="4">
        <v>0</v>
      </c>
      <c r="D113" s="4">
        <v>1</v>
      </c>
      <c r="E113" s="4">
        <v>224</v>
      </c>
      <c r="F113" s="4">
        <f>ROUND(Source!AR85,O113)</f>
        <v>4340964.72</v>
      </c>
      <c r="G113" s="4" t="s">
        <v>210</v>
      </c>
      <c r="H113" s="4" t="s">
        <v>211</v>
      </c>
      <c r="I113" s="4"/>
      <c r="J113" s="4"/>
      <c r="K113" s="4">
        <v>224</v>
      </c>
      <c r="L113" s="4">
        <v>27</v>
      </c>
      <c r="M113" s="4">
        <v>1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4340964.72</v>
      </c>
      <c r="X113" s="4">
        <v>1</v>
      </c>
      <c r="Y113" s="4">
        <v>4340964.72</v>
      </c>
      <c r="Z113" s="4"/>
      <c r="AA113" s="4"/>
      <c r="AB113" s="4"/>
    </row>
    <row r="114" spans="1:28" x14ac:dyDescent="0.2">
      <c r="A114" s="4">
        <v>50</v>
      </c>
      <c r="B114" s="4">
        <v>1</v>
      </c>
      <c r="C114" s="4">
        <v>0</v>
      </c>
      <c r="D114" s="4">
        <v>2</v>
      </c>
      <c r="E114" s="4">
        <v>0</v>
      </c>
      <c r="F114" s="4">
        <f>ROUND(F113*0.2,O114)</f>
        <v>868192.94</v>
      </c>
      <c r="G114" s="4" t="s">
        <v>212</v>
      </c>
      <c r="H114" s="4" t="s">
        <v>213</v>
      </c>
      <c r="I114" s="4"/>
      <c r="J114" s="4"/>
      <c r="K114" s="4">
        <v>212</v>
      </c>
      <c r="L114" s="4">
        <v>28</v>
      </c>
      <c r="M114" s="4">
        <v>0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868192.94</v>
      </c>
      <c r="X114" s="4">
        <v>1</v>
      </c>
      <c r="Y114" s="4">
        <v>868192.94</v>
      </c>
      <c r="Z114" s="4"/>
      <c r="AA114" s="4"/>
      <c r="AB114" s="4"/>
    </row>
    <row r="115" spans="1:28" x14ac:dyDescent="0.2">
      <c r="A115" s="4">
        <v>50</v>
      </c>
      <c r="B115" s="4">
        <v>1</v>
      </c>
      <c r="C115" s="4">
        <v>0</v>
      </c>
      <c r="D115" s="4">
        <v>2</v>
      </c>
      <c r="E115" s="4">
        <v>0</v>
      </c>
      <c r="F115" s="4">
        <f>ROUND(F113+F114,O115)</f>
        <v>5209157.66</v>
      </c>
      <c r="G115" s="4" t="s">
        <v>214</v>
      </c>
      <c r="H115" s="4" t="s">
        <v>215</v>
      </c>
      <c r="I115" s="4"/>
      <c r="J115" s="4"/>
      <c r="K115" s="4">
        <v>212</v>
      </c>
      <c r="L115" s="4">
        <v>29</v>
      </c>
      <c r="M115" s="4">
        <v>0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5209157.66</v>
      </c>
      <c r="X115" s="4">
        <v>1</v>
      </c>
      <c r="Y115" s="4">
        <v>5209157.66</v>
      </c>
      <c r="Z115" s="4"/>
      <c r="AA115" s="4"/>
      <c r="AB115" s="4"/>
    </row>
    <row r="117" spans="1:28" x14ac:dyDescent="0.2">
      <c r="A117" s="5">
        <v>61</v>
      </c>
      <c r="B117" s="5"/>
      <c r="C117" s="5"/>
      <c r="D117" s="5"/>
      <c r="E117" s="5"/>
      <c r="F117" s="5">
        <v>1.2</v>
      </c>
      <c r="G117" s="5" t="s">
        <v>216</v>
      </c>
      <c r="H117" s="5" t="s">
        <v>217</v>
      </c>
    </row>
    <row r="118" spans="1:28" x14ac:dyDescent="0.2">
      <c r="A118" s="5">
        <v>61</v>
      </c>
      <c r="B118" s="5"/>
      <c r="C118" s="5"/>
      <c r="D118" s="5"/>
      <c r="E118" s="5"/>
      <c r="F118" s="5">
        <v>12</v>
      </c>
      <c r="G118" s="5" t="s">
        <v>218</v>
      </c>
      <c r="H118" s="5" t="s">
        <v>217</v>
      </c>
    </row>
    <row r="119" spans="1:28" x14ac:dyDescent="0.2">
      <c r="A119" s="5">
        <v>61</v>
      </c>
      <c r="B119" s="5"/>
      <c r="C119" s="5"/>
      <c r="D119" s="5"/>
      <c r="E119" s="5"/>
      <c r="F119" s="5">
        <v>0</v>
      </c>
      <c r="G119" s="5" t="s">
        <v>219</v>
      </c>
      <c r="H119" s="5" t="s">
        <v>217</v>
      </c>
    </row>
    <row r="122" spans="1:28" x14ac:dyDescent="0.2">
      <c r="A122">
        <v>70</v>
      </c>
      <c r="B122">
        <v>1</v>
      </c>
      <c r="D122">
        <v>1</v>
      </c>
      <c r="E122" t="s">
        <v>220</v>
      </c>
      <c r="F122" t="s">
        <v>221</v>
      </c>
      <c r="G122">
        <v>1</v>
      </c>
      <c r="H122">
        <v>0</v>
      </c>
      <c r="I122" t="s">
        <v>3</v>
      </c>
      <c r="J122">
        <v>1</v>
      </c>
      <c r="K122">
        <v>0</v>
      </c>
      <c r="L122" t="s">
        <v>3</v>
      </c>
      <c r="M122" t="s">
        <v>3</v>
      </c>
      <c r="N122">
        <v>0</v>
      </c>
      <c r="P122" t="s">
        <v>222</v>
      </c>
    </row>
    <row r="123" spans="1:28" x14ac:dyDescent="0.2">
      <c r="A123">
        <v>70</v>
      </c>
      <c r="B123">
        <v>1</v>
      </c>
      <c r="D123">
        <v>2</v>
      </c>
      <c r="E123" t="s">
        <v>223</v>
      </c>
      <c r="F123" t="s">
        <v>224</v>
      </c>
      <c r="G123">
        <v>0</v>
      </c>
      <c r="H123">
        <v>0</v>
      </c>
      <c r="I123" t="s">
        <v>3</v>
      </c>
      <c r="J123">
        <v>1</v>
      </c>
      <c r="K123">
        <v>0</v>
      </c>
      <c r="L123" t="s">
        <v>3</v>
      </c>
      <c r="M123" t="s">
        <v>3</v>
      </c>
      <c r="N123">
        <v>0</v>
      </c>
      <c r="P123" t="s">
        <v>225</v>
      </c>
    </row>
    <row r="124" spans="1:28" x14ac:dyDescent="0.2">
      <c r="A124">
        <v>70</v>
      </c>
      <c r="B124">
        <v>1</v>
      </c>
      <c r="D124">
        <v>3</v>
      </c>
      <c r="E124" t="s">
        <v>226</v>
      </c>
      <c r="F124" t="s">
        <v>227</v>
      </c>
      <c r="G124">
        <v>0</v>
      </c>
      <c r="H124">
        <v>0</v>
      </c>
      <c r="I124" t="s">
        <v>3</v>
      </c>
      <c r="J124">
        <v>1</v>
      </c>
      <c r="K124">
        <v>0</v>
      </c>
      <c r="L124" t="s">
        <v>3</v>
      </c>
      <c r="M124" t="s">
        <v>3</v>
      </c>
      <c r="N124">
        <v>1</v>
      </c>
      <c r="P124" t="s">
        <v>228</v>
      </c>
    </row>
    <row r="125" spans="1:28" x14ac:dyDescent="0.2">
      <c r="A125">
        <v>70</v>
      </c>
      <c r="B125">
        <v>1</v>
      </c>
      <c r="D125">
        <v>4</v>
      </c>
      <c r="E125" t="s">
        <v>229</v>
      </c>
      <c r="F125" t="s">
        <v>230</v>
      </c>
      <c r="G125">
        <v>1</v>
      </c>
      <c r="H125">
        <v>0</v>
      </c>
      <c r="I125" t="s">
        <v>3</v>
      </c>
      <c r="J125">
        <v>2</v>
      </c>
      <c r="K125">
        <v>0</v>
      </c>
      <c r="L125" t="s">
        <v>3</v>
      </c>
      <c r="M125" t="s">
        <v>3</v>
      </c>
      <c r="N125">
        <v>0</v>
      </c>
      <c r="P125" t="s">
        <v>3</v>
      </c>
    </row>
    <row r="126" spans="1:28" x14ac:dyDescent="0.2">
      <c r="A126">
        <v>70</v>
      </c>
      <c r="B126">
        <v>1</v>
      </c>
      <c r="D126">
        <v>5</v>
      </c>
      <c r="E126" t="s">
        <v>231</v>
      </c>
      <c r="F126" t="s">
        <v>232</v>
      </c>
      <c r="G126">
        <v>0</v>
      </c>
      <c r="H126">
        <v>0</v>
      </c>
      <c r="I126" t="s">
        <v>3</v>
      </c>
      <c r="J126">
        <v>2</v>
      </c>
      <c r="K126">
        <v>0</v>
      </c>
      <c r="L126" t="s">
        <v>3</v>
      </c>
      <c r="M126" t="s">
        <v>3</v>
      </c>
      <c r="N126">
        <v>0</v>
      </c>
      <c r="P126" t="s">
        <v>3</v>
      </c>
    </row>
    <row r="127" spans="1:28" x14ac:dyDescent="0.2">
      <c r="A127">
        <v>70</v>
      </c>
      <c r="B127">
        <v>1</v>
      </c>
      <c r="D127">
        <v>6</v>
      </c>
      <c r="E127" t="s">
        <v>233</v>
      </c>
      <c r="F127" t="s">
        <v>234</v>
      </c>
      <c r="G127">
        <v>0</v>
      </c>
      <c r="H127">
        <v>0</v>
      </c>
      <c r="I127" t="s">
        <v>3</v>
      </c>
      <c r="J127">
        <v>2</v>
      </c>
      <c r="K127">
        <v>0</v>
      </c>
      <c r="L127" t="s">
        <v>3</v>
      </c>
      <c r="M127" t="s">
        <v>3</v>
      </c>
      <c r="N127">
        <v>0</v>
      </c>
      <c r="P127" t="s">
        <v>3</v>
      </c>
    </row>
    <row r="128" spans="1:28" x14ac:dyDescent="0.2">
      <c r="A128">
        <v>70</v>
      </c>
      <c r="B128">
        <v>1</v>
      </c>
      <c r="D128">
        <v>7</v>
      </c>
      <c r="E128" t="s">
        <v>235</v>
      </c>
      <c r="F128" t="s">
        <v>236</v>
      </c>
      <c r="G128">
        <v>0</v>
      </c>
      <c r="H128">
        <v>0</v>
      </c>
      <c r="I128" t="s">
        <v>237</v>
      </c>
      <c r="J128">
        <v>0</v>
      </c>
      <c r="K128">
        <v>0</v>
      </c>
      <c r="L128" t="s">
        <v>3</v>
      </c>
      <c r="M128" t="s">
        <v>3</v>
      </c>
      <c r="N128">
        <v>0</v>
      </c>
      <c r="P128" t="s">
        <v>238</v>
      </c>
    </row>
    <row r="129" spans="1:16" x14ac:dyDescent="0.2">
      <c r="A129">
        <v>70</v>
      </c>
      <c r="B129">
        <v>1</v>
      </c>
      <c r="D129">
        <v>8</v>
      </c>
      <c r="E129" t="s">
        <v>239</v>
      </c>
      <c r="F129" t="s">
        <v>240</v>
      </c>
      <c r="G129">
        <v>1</v>
      </c>
      <c r="H129">
        <v>0</v>
      </c>
      <c r="I129" t="s">
        <v>3</v>
      </c>
      <c r="J129">
        <v>5</v>
      </c>
      <c r="K129">
        <v>0</v>
      </c>
      <c r="L129" t="s">
        <v>3</v>
      </c>
      <c r="M129" t="s">
        <v>3</v>
      </c>
      <c r="N129">
        <v>0</v>
      </c>
      <c r="P129" t="s">
        <v>3</v>
      </c>
    </row>
    <row r="130" spans="1:16" x14ac:dyDescent="0.2">
      <c r="A130">
        <v>70</v>
      </c>
      <c r="B130">
        <v>1</v>
      </c>
      <c r="D130">
        <v>9</v>
      </c>
      <c r="E130" t="s">
        <v>241</v>
      </c>
      <c r="F130" t="s">
        <v>242</v>
      </c>
      <c r="G130">
        <v>0</v>
      </c>
      <c r="H130">
        <v>0</v>
      </c>
      <c r="I130" t="s">
        <v>3</v>
      </c>
      <c r="J130">
        <v>5</v>
      </c>
      <c r="K130">
        <v>0</v>
      </c>
      <c r="L130" t="s">
        <v>3</v>
      </c>
      <c r="M130" t="s">
        <v>3</v>
      </c>
      <c r="N130">
        <v>0</v>
      </c>
      <c r="P130" t="s">
        <v>3</v>
      </c>
    </row>
    <row r="131" spans="1:16" x14ac:dyDescent="0.2">
      <c r="A131">
        <v>70</v>
      </c>
      <c r="B131">
        <v>1</v>
      </c>
      <c r="D131">
        <v>10</v>
      </c>
      <c r="E131" t="s">
        <v>243</v>
      </c>
      <c r="F131" t="s">
        <v>244</v>
      </c>
      <c r="G131">
        <v>0</v>
      </c>
      <c r="H131">
        <v>0</v>
      </c>
      <c r="I131" t="s">
        <v>245</v>
      </c>
      <c r="J131">
        <v>5</v>
      </c>
      <c r="K131">
        <v>0</v>
      </c>
      <c r="L131" t="s">
        <v>3</v>
      </c>
      <c r="M131" t="s">
        <v>3</v>
      </c>
      <c r="N131">
        <v>0</v>
      </c>
      <c r="P131" t="s">
        <v>246</v>
      </c>
    </row>
    <row r="132" spans="1:16" x14ac:dyDescent="0.2">
      <c r="A132">
        <v>70</v>
      </c>
      <c r="B132">
        <v>1</v>
      </c>
      <c r="D132">
        <v>11</v>
      </c>
      <c r="E132" t="s">
        <v>247</v>
      </c>
      <c r="F132" t="s">
        <v>248</v>
      </c>
      <c r="G132">
        <v>0</v>
      </c>
      <c r="H132">
        <v>0</v>
      </c>
      <c r="I132" t="s">
        <v>249</v>
      </c>
      <c r="J132">
        <v>0</v>
      </c>
      <c r="K132">
        <v>0</v>
      </c>
      <c r="L132" t="s">
        <v>3</v>
      </c>
      <c r="M132" t="s">
        <v>3</v>
      </c>
      <c r="N132">
        <v>0</v>
      </c>
      <c r="P132" t="s">
        <v>250</v>
      </c>
    </row>
    <row r="133" spans="1:16" x14ac:dyDescent="0.2">
      <c r="A133">
        <v>70</v>
      </c>
      <c r="B133">
        <v>1</v>
      </c>
      <c r="D133">
        <v>12</v>
      </c>
      <c r="E133" t="s">
        <v>251</v>
      </c>
      <c r="F133" t="s">
        <v>252</v>
      </c>
      <c r="G133">
        <v>0</v>
      </c>
      <c r="H133">
        <v>0</v>
      </c>
      <c r="I133" t="s">
        <v>253</v>
      </c>
      <c r="J133">
        <v>0</v>
      </c>
      <c r="K133">
        <v>0</v>
      </c>
      <c r="L133" t="s">
        <v>3</v>
      </c>
      <c r="M133" t="s">
        <v>3</v>
      </c>
      <c r="N133">
        <v>0</v>
      </c>
      <c r="P133" t="s">
        <v>254</v>
      </c>
    </row>
    <row r="134" spans="1:16" x14ac:dyDescent="0.2">
      <c r="A134">
        <v>70</v>
      </c>
      <c r="B134">
        <v>1</v>
      </c>
      <c r="D134">
        <v>13</v>
      </c>
      <c r="E134" t="s">
        <v>255</v>
      </c>
      <c r="F134" t="s">
        <v>256</v>
      </c>
      <c r="G134">
        <v>0</v>
      </c>
      <c r="H134">
        <v>0</v>
      </c>
      <c r="I134" t="s">
        <v>257</v>
      </c>
      <c r="J134">
        <v>0</v>
      </c>
      <c r="K134">
        <v>0</v>
      </c>
      <c r="L134" t="s">
        <v>3</v>
      </c>
      <c r="M134" t="s">
        <v>3</v>
      </c>
      <c r="N134">
        <v>0</v>
      </c>
      <c r="P134" t="s">
        <v>258</v>
      </c>
    </row>
    <row r="135" spans="1:16" x14ac:dyDescent="0.2">
      <c r="A135">
        <v>70</v>
      </c>
      <c r="B135">
        <v>1</v>
      </c>
      <c r="D135">
        <v>14</v>
      </c>
      <c r="E135" t="s">
        <v>259</v>
      </c>
      <c r="F135" t="s">
        <v>260</v>
      </c>
      <c r="G135">
        <v>0</v>
      </c>
      <c r="H135">
        <v>0</v>
      </c>
      <c r="I135" t="s">
        <v>3</v>
      </c>
      <c r="J135">
        <v>0</v>
      </c>
      <c r="K135">
        <v>0</v>
      </c>
      <c r="L135" t="s">
        <v>3</v>
      </c>
      <c r="M135" t="s">
        <v>3</v>
      </c>
      <c r="N135">
        <v>0</v>
      </c>
      <c r="P135" t="s">
        <v>261</v>
      </c>
    </row>
    <row r="136" spans="1:16" x14ac:dyDescent="0.2">
      <c r="A136">
        <v>70</v>
      </c>
      <c r="B136">
        <v>1</v>
      </c>
      <c r="D136">
        <v>15</v>
      </c>
      <c r="E136" t="s">
        <v>262</v>
      </c>
      <c r="F136" t="s">
        <v>263</v>
      </c>
      <c r="G136">
        <v>0</v>
      </c>
      <c r="H136">
        <v>0</v>
      </c>
      <c r="I136" t="s">
        <v>3</v>
      </c>
      <c r="J136">
        <v>3</v>
      </c>
      <c r="K136">
        <v>0</v>
      </c>
      <c r="L136" t="s">
        <v>3</v>
      </c>
      <c r="M136" t="s">
        <v>3</v>
      </c>
      <c r="N136">
        <v>0</v>
      </c>
      <c r="P136" t="s">
        <v>3</v>
      </c>
    </row>
    <row r="137" spans="1:16" x14ac:dyDescent="0.2">
      <c r="A137">
        <v>70</v>
      </c>
      <c r="B137">
        <v>1</v>
      </c>
      <c r="D137">
        <v>16</v>
      </c>
      <c r="E137" t="s">
        <v>264</v>
      </c>
      <c r="F137" t="s">
        <v>265</v>
      </c>
      <c r="G137">
        <v>1</v>
      </c>
      <c r="H137">
        <v>0</v>
      </c>
      <c r="I137" t="s">
        <v>3</v>
      </c>
      <c r="J137">
        <v>3</v>
      </c>
      <c r="K137">
        <v>0</v>
      </c>
      <c r="L137" t="s">
        <v>3</v>
      </c>
      <c r="M137" t="s">
        <v>3</v>
      </c>
      <c r="N137">
        <v>0</v>
      </c>
      <c r="P137" t="s">
        <v>3</v>
      </c>
    </row>
    <row r="138" spans="1:16" x14ac:dyDescent="0.2">
      <c r="A138">
        <v>70</v>
      </c>
      <c r="B138">
        <v>1</v>
      </c>
      <c r="D138">
        <v>1</v>
      </c>
      <c r="E138" t="s">
        <v>266</v>
      </c>
      <c r="F138" t="s">
        <v>267</v>
      </c>
      <c r="G138">
        <v>0.9</v>
      </c>
      <c r="H138">
        <v>1</v>
      </c>
      <c r="I138" t="s">
        <v>268</v>
      </c>
      <c r="J138">
        <v>0</v>
      </c>
      <c r="K138">
        <v>0</v>
      </c>
      <c r="L138" t="s">
        <v>3</v>
      </c>
      <c r="M138" t="s">
        <v>3</v>
      </c>
      <c r="N138">
        <v>0</v>
      </c>
      <c r="P138" t="s">
        <v>269</v>
      </c>
    </row>
    <row r="139" spans="1:16" x14ac:dyDescent="0.2">
      <c r="A139">
        <v>70</v>
      </c>
      <c r="B139">
        <v>1</v>
      </c>
      <c r="D139">
        <v>2</v>
      </c>
      <c r="E139" t="s">
        <v>270</v>
      </c>
      <c r="F139" t="s">
        <v>271</v>
      </c>
      <c r="G139">
        <v>0.85</v>
      </c>
      <c r="H139">
        <v>1</v>
      </c>
      <c r="I139" t="s">
        <v>272</v>
      </c>
      <c r="J139">
        <v>0</v>
      </c>
      <c r="K139">
        <v>0</v>
      </c>
      <c r="L139" t="s">
        <v>3</v>
      </c>
      <c r="M139" t="s">
        <v>3</v>
      </c>
      <c r="N139">
        <v>0</v>
      </c>
      <c r="P139" t="s">
        <v>273</v>
      </c>
    </row>
    <row r="140" spans="1:16" x14ac:dyDescent="0.2">
      <c r="A140">
        <v>70</v>
      </c>
      <c r="B140">
        <v>1</v>
      </c>
      <c r="D140">
        <v>3</v>
      </c>
      <c r="E140" t="s">
        <v>274</v>
      </c>
      <c r="F140" t="s">
        <v>275</v>
      </c>
      <c r="G140">
        <v>1.03</v>
      </c>
      <c r="H140">
        <v>0</v>
      </c>
      <c r="I140" t="s">
        <v>3</v>
      </c>
      <c r="J140">
        <v>0</v>
      </c>
      <c r="K140">
        <v>0</v>
      </c>
      <c r="L140" t="s">
        <v>3</v>
      </c>
      <c r="M140" t="s">
        <v>3</v>
      </c>
      <c r="N140">
        <v>0</v>
      </c>
      <c r="P140" t="s">
        <v>276</v>
      </c>
    </row>
    <row r="141" spans="1:16" x14ac:dyDescent="0.2">
      <c r="A141">
        <v>70</v>
      </c>
      <c r="B141">
        <v>1</v>
      </c>
      <c r="D141">
        <v>4</v>
      </c>
      <c r="E141" t="s">
        <v>277</v>
      </c>
      <c r="F141" t="s">
        <v>278</v>
      </c>
      <c r="G141">
        <v>1.1499999999999999</v>
      </c>
      <c r="H141">
        <v>0</v>
      </c>
      <c r="I141" t="s">
        <v>3</v>
      </c>
      <c r="J141">
        <v>0</v>
      </c>
      <c r="K141">
        <v>0</v>
      </c>
      <c r="L141" t="s">
        <v>3</v>
      </c>
      <c r="M141" t="s">
        <v>3</v>
      </c>
      <c r="N141">
        <v>0</v>
      </c>
      <c r="P141" t="s">
        <v>279</v>
      </c>
    </row>
    <row r="142" spans="1:16" x14ac:dyDescent="0.2">
      <c r="A142">
        <v>70</v>
      </c>
      <c r="B142">
        <v>1</v>
      </c>
      <c r="D142">
        <v>5</v>
      </c>
      <c r="E142" t="s">
        <v>280</v>
      </c>
      <c r="F142" t="s">
        <v>281</v>
      </c>
      <c r="G142">
        <v>7</v>
      </c>
      <c r="H142">
        <v>0</v>
      </c>
      <c r="I142" t="s">
        <v>3</v>
      </c>
      <c r="J142">
        <v>0</v>
      </c>
      <c r="K142">
        <v>0</v>
      </c>
      <c r="L142" t="s">
        <v>3</v>
      </c>
      <c r="M142" t="s">
        <v>3</v>
      </c>
      <c r="N142">
        <v>0</v>
      </c>
      <c r="P142" t="s">
        <v>3</v>
      </c>
    </row>
    <row r="143" spans="1:16" x14ac:dyDescent="0.2">
      <c r="A143">
        <v>70</v>
      </c>
      <c r="B143">
        <v>1</v>
      </c>
      <c r="D143">
        <v>6</v>
      </c>
      <c r="E143" t="s">
        <v>282</v>
      </c>
      <c r="F143" t="s">
        <v>3</v>
      </c>
      <c r="G143">
        <v>2</v>
      </c>
      <c r="H143">
        <v>0</v>
      </c>
      <c r="I143" t="s">
        <v>3</v>
      </c>
      <c r="J143">
        <v>0</v>
      </c>
      <c r="K143">
        <v>0</v>
      </c>
      <c r="L143" t="s">
        <v>3</v>
      </c>
      <c r="M143" t="s">
        <v>3</v>
      </c>
      <c r="N143">
        <v>0</v>
      </c>
      <c r="P143" t="s">
        <v>3</v>
      </c>
    </row>
    <row r="145" spans="1:40" x14ac:dyDescent="0.2">
      <c r="A145">
        <v>-1</v>
      </c>
    </row>
    <row r="147" spans="1:40" x14ac:dyDescent="0.2">
      <c r="A147" s="3">
        <v>75</v>
      </c>
      <c r="B147" s="3" t="s">
        <v>283</v>
      </c>
      <c r="C147" s="3">
        <v>2024</v>
      </c>
      <c r="D147" s="3">
        <v>1</v>
      </c>
      <c r="E147" s="3">
        <v>0</v>
      </c>
      <c r="F147" s="3">
        <v>0</v>
      </c>
      <c r="G147" s="3">
        <v>0</v>
      </c>
      <c r="H147" s="3">
        <v>1</v>
      </c>
      <c r="I147" s="3">
        <v>0</v>
      </c>
      <c r="J147" s="3">
        <v>3</v>
      </c>
      <c r="K147" s="3">
        <v>0</v>
      </c>
      <c r="L147" s="3">
        <v>0</v>
      </c>
      <c r="M147" s="3">
        <v>0</v>
      </c>
      <c r="N147" s="3">
        <v>145016711</v>
      </c>
      <c r="O147" s="3">
        <v>1</v>
      </c>
    </row>
    <row r="148" spans="1:40" x14ac:dyDescent="0.2">
      <c r="A148" s="6">
        <v>3</v>
      </c>
      <c r="B148" s="6" t="s">
        <v>284</v>
      </c>
      <c r="C148" s="6">
        <v>12.43</v>
      </c>
      <c r="D148" s="6">
        <v>8.98</v>
      </c>
      <c r="E148" s="6">
        <v>12.43</v>
      </c>
      <c r="F148" s="6">
        <v>32.159999999999997</v>
      </c>
      <c r="G148" s="6">
        <v>32.159999999999997</v>
      </c>
      <c r="H148" s="6">
        <v>1</v>
      </c>
      <c r="I148" s="6">
        <v>1</v>
      </c>
      <c r="J148" s="6">
        <v>2</v>
      </c>
      <c r="K148" s="6">
        <v>32.159999999999997</v>
      </c>
      <c r="L148" s="6">
        <v>12.43</v>
      </c>
      <c r="M148" s="6">
        <v>12.43</v>
      </c>
      <c r="N148" s="6">
        <v>8.98</v>
      </c>
      <c r="O148" s="6">
        <v>1</v>
      </c>
      <c r="P148" s="6">
        <v>1</v>
      </c>
      <c r="Q148" s="6">
        <v>32.159999999999997</v>
      </c>
      <c r="R148" s="6">
        <v>12.43</v>
      </c>
      <c r="S148" s="6" t="s">
        <v>3</v>
      </c>
      <c r="T148" s="6" t="s">
        <v>3</v>
      </c>
      <c r="U148" s="6" t="s">
        <v>3</v>
      </c>
      <c r="V148" s="6" t="s">
        <v>3</v>
      </c>
      <c r="W148" s="6" t="s">
        <v>3</v>
      </c>
      <c r="X148" s="6" t="s">
        <v>3</v>
      </c>
      <c r="Y148" s="6" t="s">
        <v>3</v>
      </c>
      <c r="Z148" s="6" t="s">
        <v>3</v>
      </c>
      <c r="AA148" s="6" t="s">
        <v>3</v>
      </c>
      <c r="AB148" s="6" t="s">
        <v>3</v>
      </c>
      <c r="AC148" s="6" t="s">
        <v>3</v>
      </c>
      <c r="AD148" s="6" t="s">
        <v>3</v>
      </c>
      <c r="AE148" s="6" t="s">
        <v>3</v>
      </c>
      <c r="AF148" s="6" t="s">
        <v>3</v>
      </c>
      <c r="AG148" s="6" t="s">
        <v>3</v>
      </c>
      <c r="AH148" s="6" t="s">
        <v>3</v>
      </c>
      <c r="AI148" s="6"/>
      <c r="AJ148" s="6"/>
      <c r="AK148" s="6"/>
      <c r="AL148" s="6"/>
      <c r="AM148" s="6"/>
      <c r="AN148" s="6">
        <v>145016712</v>
      </c>
    </row>
    <row r="152" spans="1:40" x14ac:dyDescent="0.2">
      <c r="A152">
        <v>65</v>
      </c>
      <c r="C152">
        <v>1</v>
      </c>
      <c r="D152">
        <v>0</v>
      </c>
      <c r="E152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285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18266318</v>
      </c>
      <c r="N1">
        <v>11</v>
      </c>
      <c r="O1">
        <v>6</v>
      </c>
      <c r="P1">
        <v>5</v>
      </c>
      <c r="Q1">
        <v>6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6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17301512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371</v>
      </c>
      <c r="CR12" s="1" t="s">
        <v>13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1</v>
      </c>
      <c r="C14" s="1">
        <v>0</v>
      </c>
      <c r="D14" s="1">
        <v>145016711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0</v>
      </c>
      <c r="C16" s="7" t="s">
        <v>14</v>
      </c>
      <c r="D16" s="7" t="s">
        <v>14</v>
      </c>
      <c r="E16" s="8">
        <f>ROUND((Source!F72)/1000,2)</f>
        <v>4340.96</v>
      </c>
      <c r="F16" s="8">
        <f>ROUND((Source!F73)/1000,2)</f>
        <v>0</v>
      </c>
      <c r="G16" s="8">
        <f>ROUND((Source!F64)/1000,2)</f>
        <v>0</v>
      </c>
      <c r="H16" s="8">
        <f>ROUND((Source!F74)/1000+(Source!F75)/1000,2)</f>
        <v>0</v>
      </c>
      <c r="I16" s="8">
        <f>E16+F16+G16+H16</f>
        <v>4340.96</v>
      </c>
      <c r="J16" s="8">
        <f>ROUND((Source!F70+Source!F69)/1000,2)</f>
        <v>1109.1600000000001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2548903.62</v>
      </c>
      <c r="AU16" s="8">
        <v>1289914.6599999999</v>
      </c>
      <c r="AV16" s="8">
        <v>0</v>
      </c>
      <c r="AW16" s="8">
        <v>0</v>
      </c>
      <c r="AX16" s="8">
        <v>0</v>
      </c>
      <c r="AY16" s="8">
        <v>203048.07</v>
      </c>
      <c r="AZ16" s="8">
        <v>53214.63</v>
      </c>
      <c r="BA16" s="8">
        <v>1055940.8899999999</v>
      </c>
      <c r="BB16" s="8">
        <v>4340964.72</v>
      </c>
      <c r="BC16" s="8">
        <v>0</v>
      </c>
      <c r="BD16" s="8">
        <v>0</v>
      </c>
      <c r="BE16" s="8">
        <v>0</v>
      </c>
      <c r="BF16" s="8">
        <v>3792.1987749999998</v>
      </c>
      <c r="BG16" s="8">
        <v>144.33359999999999</v>
      </c>
      <c r="BH16" s="8">
        <v>0</v>
      </c>
      <c r="BI16" s="8">
        <v>1195467.8400000001</v>
      </c>
      <c r="BJ16" s="8">
        <v>571360.36</v>
      </c>
      <c r="BK16" s="8">
        <v>4340964.72</v>
      </c>
    </row>
    <row r="18" spans="1:19" x14ac:dyDescent="0.2">
      <c r="A18">
        <v>51</v>
      </c>
      <c r="E18" s="5">
        <f>SUMIF(A16:A17,3,E16:E17)</f>
        <v>4340.96</v>
      </c>
      <c r="F18" s="5">
        <f>SUMIF(A16:A17,3,F16:F17)</f>
        <v>0</v>
      </c>
      <c r="G18" s="5">
        <f>SUMIF(A16:A17,3,G16:G17)</f>
        <v>0</v>
      </c>
      <c r="H18" s="5">
        <f>SUMIF(A16:A17,3,H16:H17)</f>
        <v>0</v>
      </c>
      <c r="I18" s="5">
        <f>SUMIF(A16:A17,3,I16:I17)</f>
        <v>4340.96</v>
      </c>
      <c r="J18" s="5">
        <f>SUMIF(A16:A17,3,J16:J17)</f>
        <v>1109.1600000000001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f>IF(SourceObSm!F20&lt;&gt;0,1,0)</f>
        <v>1</v>
      </c>
      <c r="C20" s="4">
        <v>0</v>
      </c>
      <c r="D20" s="4">
        <v>1</v>
      </c>
      <c r="E20" s="4">
        <v>201</v>
      </c>
      <c r="F20" s="4">
        <v>2548903.62</v>
      </c>
      <c r="G20" s="4" t="s">
        <v>158</v>
      </c>
      <c r="H20" s="4" t="s">
        <v>159</v>
      </c>
      <c r="I20" s="4"/>
      <c r="J20" s="4"/>
      <c r="K20" s="4">
        <v>201</v>
      </c>
      <c r="L20" s="4">
        <v>1</v>
      </c>
      <c r="M20" s="4">
        <v>1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f>IF(SourceObSm!F21&lt;&gt;0,1,0)</f>
        <v>1</v>
      </c>
      <c r="C21" s="4">
        <v>0</v>
      </c>
      <c r="D21" s="4">
        <v>1</v>
      </c>
      <c r="E21" s="4">
        <v>202</v>
      </c>
      <c r="F21" s="4">
        <v>1289914.6599999999</v>
      </c>
      <c r="G21" s="4" t="s">
        <v>160</v>
      </c>
      <c r="H21" s="4" t="s">
        <v>161</v>
      </c>
      <c r="I21" s="4"/>
      <c r="J21" s="4"/>
      <c r="K21" s="4">
        <v>202</v>
      </c>
      <c r="L21" s="4">
        <v>2</v>
      </c>
      <c r="M21" s="4">
        <v>1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f>IF(SourceObSm!F22&lt;&gt;0,1,0)</f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162</v>
      </c>
      <c r="H22" s="4" t="s">
        <v>163</v>
      </c>
      <c r="I22" s="4"/>
      <c r="J22" s="4"/>
      <c r="K22" s="4">
        <v>222</v>
      </c>
      <c r="L22" s="4">
        <v>3</v>
      </c>
      <c r="M22" s="4">
        <v>1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f>IF(SourceObSm!F23&lt;&gt;0,1,0)</f>
        <v>1</v>
      </c>
      <c r="C23" s="4">
        <v>0</v>
      </c>
      <c r="D23" s="4">
        <v>1</v>
      </c>
      <c r="E23" s="4">
        <v>225</v>
      </c>
      <c r="F23" s="4">
        <v>1289914.6599999999</v>
      </c>
      <c r="G23" s="4" t="s">
        <v>164</v>
      </c>
      <c r="H23" s="4" t="s">
        <v>165</v>
      </c>
      <c r="I23" s="4"/>
      <c r="J23" s="4"/>
      <c r="K23" s="4">
        <v>225</v>
      </c>
      <c r="L23" s="4">
        <v>4</v>
      </c>
      <c r="M23" s="4">
        <v>1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f>IF(SourceObSm!F24&lt;&gt;0,1,0)</f>
        <v>1</v>
      </c>
      <c r="C24" s="4">
        <v>0</v>
      </c>
      <c r="D24" s="4">
        <v>1</v>
      </c>
      <c r="E24" s="4">
        <v>226</v>
      </c>
      <c r="F24" s="4">
        <v>1289914.6599999999</v>
      </c>
      <c r="G24" s="4" t="s">
        <v>166</v>
      </c>
      <c r="H24" s="4" t="s">
        <v>167</v>
      </c>
      <c r="I24" s="4"/>
      <c r="J24" s="4"/>
      <c r="K24" s="4">
        <v>226</v>
      </c>
      <c r="L24" s="4">
        <v>5</v>
      </c>
      <c r="M24" s="4">
        <v>1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f>IF(SourceObSm!F25&lt;&gt;0,1,0)</f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168</v>
      </c>
      <c r="H25" s="4" t="s">
        <v>169</v>
      </c>
      <c r="I25" s="4"/>
      <c r="J25" s="4"/>
      <c r="K25" s="4">
        <v>227</v>
      </c>
      <c r="L25" s="4">
        <v>6</v>
      </c>
      <c r="M25" s="4">
        <v>1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f>IF(SourceObSm!F26&lt;&gt;0,1,0)</f>
        <v>1</v>
      </c>
      <c r="C26" s="4">
        <v>0</v>
      </c>
      <c r="D26" s="4">
        <v>1</v>
      </c>
      <c r="E26" s="4">
        <v>228</v>
      </c>
      <c r="F26" s="4">
        <v>1289914.6599999999</v>
      </c>
      <c r="G26" s="4" t="s">
        <v>170</v>
      </c>
      <c r="H26" s="4" t="s">
        <v>171</v>
      </c>
      <c r="I26" s="4"/>
      <c r="J26" s="4"/>
      <c r="K26" s="4">
        <v>228</v>
      </c>
      <c r="L26" s="4">
        <v>7</v>
      </c>
      <c r="M26" s="4">
        <v>1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f>IF(SourceObSm!F27&lt;&gt;0,1,0)</f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172</v>
      </c>
      <c r="H27" s="4" t="s">
        <v>173</v>
      </c>
      <c r="I27" s="4"/>
      <c r="J27" s="4"/>
      <c r="K27" s="4">
        <v>216</v>
      </c>
      <c r="L27" s="4">
        <v>8</v>
      </c>
      <c r="M27" s="4">
        <v>1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f>IF(SourceObSm!F28&lt;&gt;0,1,0)</f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174</v>
      </c>
      <c r="H28" s="4" t="s">
        <v>175</v>
      </c>
      <c r="I28" s="4"/>
      <c r="J28" s="4"/>
      <c r="K28" s="4">
        <v>223</v>
      </c>
      <c r="L28" s="4">
        <v>9</v>
      </c>
      <c r="M28" s="4">
        <v>1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f>IF(SourceObSm!F29&lt;&gt;0,1,0)</f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176</v>
      </c>
      <c r="H29" s="4" t="s">
        <v>177</v>
      </c>
      <c r="I29" s="4"/>
      <c r="J29" s="4"/>
      <c r="K29" s="4">
        <v>229</v>
      </c>
      <c r="L29" s="4">
        <v>10</v>
      </c>
      <c r="M29" s="4">
        <v>1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f>IF(SourceObSm!F30&lt;&gt;0,1,0)</f>
        <v>1</v>
      </c>
      <c r="C30" s="4">
        <v>0</v>
      </c>
      <c r="D30" s="4">
        <v>1</v>
      </c>
      <c r="E30" s="4">
        <v>203</v>
      </c>
      <c r="F30" s="4">
        <v>203048.07</v>
      </c>
      <c r="G30" s="4" t="s">
        <v>178</v>
      </c>
      <c r="H30" s="4" t="s">
        <v>179</v>
      </c>
      <c r="I30" s="4"/>
      <c r="J30" s="4"/>
      <c r="K30" s="4">
        <v>203</v>
      </c>
      <c r="L30" s="4">
        <v>11</v>
      </c>
      <c r="M30" s="4">
        <v>1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180</v>
      </c>
      <c r="H31" s="4" t="s">
        <v>181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f>IF(SourceObSm!F32&lt;&gt;0,1,0)</f>
        <v>1</v>
      </c>
      <c r="C32" s="4">
        <v>0</v>
      </c>
      <c r="D32" s="4">
        <v>1</v>
      </c>
      <c r="E32" s="4">
        <v>204</v>
      </c>
      <c r="F32" s="4">
        <v>53214.63</v>
      </c>
      <c r="G32" s="4" t="s">
        <v>182</v>
      </c>
      <c r="H32" s="4" t="s">
        <v>183</v>
      </c>
      <c r="I32" s="4"/>
      <c r="J32" s="4"/>
      <c r="K32" s="4">
        <v>204</v>
      </c>
      <c r="L32" s="4">
        <v>13</v>
      </c>
      <c r="M32" s="4">
        <v>1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f>IF(SourceObSm!F33&lt;&gt;0,1,0)</f>
        <v>1</v>
      </c>
      <c r="C33" s="4">
        <v>0</v>
      </c>
      <c r="D33" s="4">
        <v>1</v>
      </c>
      <c r="E33" s="4">
        <v>205</v>
      </c>
      <c r="F33" s="4">
        <v>1055940.8899999999</v>
      </c>
      <c r="G33" s="4" t="s">
        <v>184</v>
      </c>
      <c r="H33" s="4" t="s">
        <v>185</v>
      </c>
      <c r="I33" s="4"/>
      <c r="J33" s="4"/>
      <c r="K33" s="4">
        <v>205</v>
      </c>
      <c r="L33" s="4">
        <v>14</v>
      </c>
      <c r="M33" s="4">
        <v>1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186</v>
      </c>
      <c r="H34" s="4" t="s">
        <v>187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f>IF(SourceObSm!F35&lt;&gt;0,1,0)</f>
        <v>1</v>
      </c>
      <c r="C35" s="4">
        <v>0</v>
      </c>
      <c r="D35" s="4">
        <v>1</v>
      </c>
      <c r="E35" s="4">
        <v>214</v>
      </c>
      <c r="F35" s="4">
        <v>4340964.72</v>
      </c>
      <c r="G35" s="4" t="s">
        <v>188</v>
      </c>
      <c r="H35" s="4" t="s">
        <v>189</v>
      </c>
      <c r="I35" s="4"/>
      <c r="J35" s="4"/>
      <c r="K35" s="4">
        <v>214</v>
      </c>
      <c r="L35" s="4">
        <v>16</v>
      </c>
      <c r="M35" s="4">
        <v>1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f>IF(SourceObSm!F36&lt;&gt;0,1,0)</f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190</v>
      </c>
      <c r="H36" s="4" t="s">
        <v>191</v>
      </c>
      <c r="I36" s="4"/>
      <c r="J36" s="4"/>
      <c r="K36" s="4">
        <v>215</v>
      </c>
      <c r="L36" s="4">
        <v>17</v>
      </c>
      <c r="M36" s="4">
        <v>1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f>IF(SourceObSm!F37&lt;&gt;0,1,0)</f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192</v>
      </c>
      <c r="H37" s="4" t="s">
        <v>193</v>
      </c>
      <c r="I37" s="4"/>
      <c r="J37" s="4"/>
      <c r="K37" s="4">
        <v>217</v>
      </c>
      <c r="L37" s="4">
        <v>18</v>
      </c>
      <c r="M37" s="4">
        <v>1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194</v>
      </c>
      <c r="H38" s="4" t="s">
        <v>195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f>IF(SourceObSm!F39&lt;&gt;0,1,0)</f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196</v>
      </c>
      <c r="H39" s="4" t="s">
        <v>197</v>
      </c>
      <c r="I39" s="4"/>
      <c r="J39" s="4"/>
      <c r="K39" s="4">
        <v>206</v>
      </c>
      <c r="L39" s="4">
        <v>20</v>
      </c>
      <c r="M39" s="4">
        <v>1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f>IF(SourceObSm!F40&lt;&gt;0,1,0)</f>
        <v>1</v>
      </c>
      <c r="C40" s="4">
        <v>0</v>
      </c>
      <c r="D40" s="4">
        <v>1</v>
      </c>
      <c r="E40" s="4">
        <v>207</v>
      </c>
      <c r="F40" s="4">
        <v>3792.1987749999998</v>
      </c>
      <c r="G40" s="4" t="s">
        <v>198</v>
      </c>
      <c r="H40" s="4" t="s">
        <v>199</v>
      </c>
      <c r="I40" s="4"/>
      <c r="J40" s="4"/>
      <c r="K40" s="4">
        <v>207</v>
      </c>
      <c r="L40" s="4">
        <v>21</v>
      </c>
      <c r="M40" s="4">
        <v>1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f>IF(SourceObSm!F41&lt;&gt;0,1,0)</f>
        <v>1</v>
      </c>
      <c r="C41" s="4">
        <v>0</v>
      </c>
      <c r="D41" s="4">
        <v>1</v>
      </c>
      <c r="E41" s="4">
        <v>208</v>
      </c>
      <c r="F41" s="4">
        <v>144.33359999999999</v>
      </c>
      <c r="G41" s="4" t="s">
        <v>200</v>
      </c>
      <c r="H41" s="4" t="s">
        <v>201</v>
      </c>
      <c r="I41" s="4"/>
      <c r="J41" s="4"/>
      <c r="K41" s="4">
        <v>208</v>
      </c>
      <c r="L41" s="4">
        <v>22</v>
      </c>
      <c r="M41" s="4">
        <v>1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f>IF(SourceObSm!F42&lt;&gt;0,1,0)</f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202</v>
      </c>
      <c r="H42" s="4" t="s">
        <v>203</v>
      </c>
      <c r="I42" s="4"/>
      <c r="J42" s="4"/>
      <c r="K42" s="4">
        <v>209</v>
      </c>
      <c r="L42" s="4">
        <v>23</v>
      </c>
      <c r="M42" s="4">
        <v>1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f>IF(SourceObSm!F43&lt;&gt;0,1,0)</f>
        <v>1</v>
      </c>
      <c r="C43" s="4">
        <v>0</v>
      </c>
      <c r="D43" s="4">
        <v>1</v>
      </c>
      <c r="E43" s="4">
        <v>233</v>
      </c>
      <c r="F43" s="4">
        <v>25232.9</v>
      </c>
      <c r="G43" s="4" t="s">
        <v>204</v>
      </c>
      <c r="H43" s="4" t="s">
        <v>205</v>
      </c>
      <c r="I43" s="4"/>
      <c r="J43" s="4"/>
      <c r="K43" s="4">
        <v>233</v>
      </c>
      <c r="L43" s="4">
        <v>24</v>
      </c>
      <c r="M43" s="4">
        <v>1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f>IF(SourceObSm!F44&lt;&gt;0,1,0)</f>
        <v>1</v>
      </c>
      <c r="C44" s="4">
        <v>0</v>
      </c>
      <c r="D44" s="4">
        <v>1</v>
      </c>
      <c r="E44" s="4">
        <v>210</v>
      </c>
      <c r="F44" s="4">
        <v>1195467.8400000001</v>
      </c>
      <c r="G44" s="4" t="s">
        <v>206</v>
      </c>
      <c r="H44" s="4" t="s">
        <v>207</v>
      </c>
      <c r="I44" s="4"/>
      <c r="J44" s="4"/>
      <c r="K44" s="4">
        <v>210</v>
      </c>
      <c r="L44" s="4">
        <v>25</v>
      </c>
      <c r="M44" s="4">
        <v>1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f>IF(SourceObSm!F45&lt;&gt;0,1,0)</f>
        <v>1</v>
      </c>
      <c r="C45" s="4">
        <v>0</v>
      </c>
      <c r="D45" s="4">
        <v>1</v>
      </c>
      <c r="E45" s="4">
        <v>211</v>
      </c>
      <c r="F45" s="4">
        <v>571360.36</v>
      </c>
      <c r="G45" s="4" t="s">
        <v>208</v>
      </c>
      <c r="H45" s="4" t="s">
        <v>209</v>
      </c>
      <c r="I45" s="4"/>
      <c r="J45" s="4"/>
      <c r="K45" s="4">
        <v>211</v>
      </c>
      <c r="L45" s="4">
        <v>26</v>
      </c>
      <c r="M45" s="4">
        <v>1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1</v>
      </c>
      <c r="E46" s="4">
        <v>224</v>
      </c>
      <c r="F46" s="4">
        <v>4340964.72</v>
      </c>
      <c r="G46" s="4" t="s">
        <v>210</v>
      </c>
      <c r="H46" s="4" t="s">
        <v>211</v>
      </c>
      <c r="I46" s="4"/>
      <c r="J46" s="4"/>
      <c r="K46" s="4">
        <v>224</v>
      </c>
      <c r="L46" s="4">
        <v>27</v>
      </c>
      <c r="M46" s="4">
        <v>1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868192.94</v>
      </c>
      <c r="G47" s="4" t="s">
        <v>212</v>
      </c>
      <c r="H47" s="4" t="s">
        <v>213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5209157.66</v>
      </c>
      <c r="G48" s="4" t="s">
        <v>214</v>
      </c>
      <c r="H48" s="4" t="s">
        <v>215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40" x14ac:dyDescent="0.2">
      <c r="A50">
        <v>-1</v>
      </c>
    </row>
    <row r="53" spans="1:40" x14ac:dyDescent="0.2">
      <c r="A53" s="3">
        <v>75</v>
      </c>
      <c r="B53" s="3" t="s">
        <v>283</v>
      </c>
      <c r="C53" s="3">
        <v>2024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3</v>
      </c>
      <c r="K53" s="3">
        <v>0</v>
      </c>
      <c r="L53" s="3">
        <v>0</v>
      </c>
      <c r="M53" s="3">
        <v>0</v>
      </c>
      <c r="N53" s="3">
        <v>145016711</v>
      </c>
      <c r="O53" s="3">
        <v>1</v>
      </c>
    </row>
    <row r="54" spans="1:40" x14ac:dyDescent="0.2">
      <c r="A54" s="6">
        <v>3</v>
      </c>
      <c r="B54" s="6" t="s">
        <v>284</v>
      </c>
      <c r="C54" s="6">
        <v>12.43</v>
      </c>
      <c r="D54" s="6">
        <v>8.98</v>
      </c>
      <c r="E54" s="6">
        <v>12.43</v>
      </c>
      <c r="F54" s="6">
        <v>32.159999999999997</v>
      </c>
      <c r="G54" s="6">
        <v>32.159999999999997</v>
      </c>
      <c r="H54" s="6">
        <v>1</v>
      </c>
      <c r="I54" s="6">
        <v>1</v>
      </c>
      <c r="J54" s="6">
        <v>2</v>
      </c>
      <c r="K54" s="6">
        <v>32.159999999999997</v>
      </c>
      <c r="L54" s="6">
        <v>12.43</v>
      </c>
      <c r="M54" s="6">
        <v>12.43</v>
      </c>
      <c r="N54" s="6">
        <v>8.98</v>
      </c>
      <c r="O54" s="6">
        <v>1</v>
      </c>
      <c r="P54" s="6">
        <v>1</v>
      </c>
      <c r="Q54" s="6">
        <v>32.159999999999997</v>
      </c>
      <c r="R54" s="6">
        <v>12.43</v>
      </c>
      <c r="S54" s="6" t="s">
        <v>3</v>
      </c>
      <c r="T54" s="6" t="s">
        <v>3</v>
      </c>
      <c r="U54" s="6" t="s">
        <v>3</v>
      </c>
      <c r="V54" s="6" t="s">
        <v>3</v>
      </c>
      <c r="W54" s="6" t="s">
        <v>3</v>
      </c>
      <c r="X54" s="6" t="s">
        <v>3</v>
      </c>
      <c r="Y54" s="6" t="s">
        <v>3</v>
      </c>
      <c r="Z54" s="6" t="s">
        <v>3</v>
      </c>
      <c r="AA54" s="6" t="s">
        <v>3</v>
      </c>
      <c r="AB54" s="6" t="s">
        <v>3</v>
      </c>
      <c r="AC54" s="6" t="s">
        <v>3</v>
      </c>
      <c r="AD54" s="6" t="s">
        <v>3</v>
      </c>
      <c r="AE54" s="6" t="s">
        <v>3</v>
      </c>
      <c r="AF54" s="6" t="s">
        <v>3</v>
      </c>
      <c r="AG54" s="6" t="s">
        <v>3</v>
      </c>
      <c r="AH54" s="6" t="s">
        <v>3</v>
      </c>
      <c r="AI54" s="6"/>
      <c r="AJ54" s="6"/>
      <c r="AK54" s="6"/>
      <c r="AL54" s="6"/>
      <c r="AM54" s="6"/>
      <c r="AN54" s="6">
        <v>145016712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19" x14ac:dyDescent="0.2">
      <c r="A1">
        <f>ROW(Source!A24)</f>
        <v>24</v>
      </c>
      <c r="B1">
        <v>145016711</v>
      </c>
      <c r="C1">
        <v>145016775</v>
      </c>
      <c r="D1">
        <v>134450423</v>
      </c>
      <c r="E1">
        <v>56</v>
      </c>
      <c r="F1">
        <v>1</v>
      </c>
      <c r="G1">
        <v>1</v>
      </c>
      <c r="H1">
        <v>1</v>
      </c>
      <c r="I1" t="s">
        <v>286</v>
      </c>
      <c r="J1" t="s">
        <v>3</v>
      </c>
      <c r="K1" t="s">
        <v>287</v>
      </c>
      <c r="L1">
        <v>1191</v>
      </c>
      <c r="N1">
        <v>1013</v>
      </c>
      <c r="O1" t="s">
        <v>288</v>
      </c>
      <c r="P1" t="s">
        <v>288</v>
      </c>
      <c r="Q1">
        <v>1</v>
      </c>
      <c r="W1">
        <v>0</v>
      </c>
      <c r="X1">
        <v>735429535</v>
      </c>
      <c r="Y1">
        <f>AT1</f>
        <v>14.38</v>
      </c>
      <c r="AA1">
        <v>0</v>
      </c>
      <c r="AB1">
        <v>0</v>
      </c>
      <c r="AC1">
        <v>0</v>
      </c>
      <c r="AD1">
        <v>250.85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32.159999999999997</v>
      </c>
      <c r="AM1">
        <v>4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14.38</v>
      </c>
      <c r="AU1" t="s">
        <v>3</v>
      </c>
      <c r="AV1">
        <v>1</v>
      </c>
      <c r="AW1">
        <v>2</v>
      </c>
      <c r="AX1">
        <v>145016778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ROUND(Y1*Source!I24,9)</f>
        <v>299.10399999999998</v>
      </c>
      <c r="CY1">
        <f>AD1</f>
        <v>250.85</v>
      </c>
      <c r="CZ1">
        <f>AH1</f>
        <v>7.8</v>
      </c>
      <c r="DA1">
        <f>AL1</f>
        <v>32.159999999999997</v>
      </c>
      <c r="DB1">
        <f>ROUND(ROUND(AT1*CZ1,2),2)</f>
        <v>112.16</v>
      </c>
      <c r="DC1">
        <f>ROUND(ROUND(AT1*AG1,2),2)</f>
        <v>0</v>
      </c>
      <c r="DD1" t="s">
        <v>3</v>
      </c>
      <c r="DE1" t="s">
        <v>3</v>
      </c>
      <c r="DF1">
        <f t="shared" ref="DF1:DF7" si="0">ROUND(ROUND(AE1,2)*CX1,2)</f>
        <v>0</v>
      </c>
      <c r="DG1">
        <f>ROUND(ROUND(AF1,2)*CX1,2)</f>
        <v>0</v>
      </c>
      <c r="DH1">
        <f>ROUND(ROUND(AG1,2)*CX1,2)</f>
        <v>0</v>
      </c>
      <c r="DI1">
        <f>ROUND(ROUND(AH1*AL1,2)*CX1,2)</f>
        <v>75030.240000000005</v>
      </c>
      <c r="DJ1">
        <f>DI1</f>
        <v>75030.240000000005</v>
      </c>
      <c r="DK1">
        <v>0</v>
      </c>
      <c r="DL1" t="s">
        <v>3</v>
      </c>
      <c r="DM1">
        <v>0</v>
      </c>
      <c r="DN1" t="s">
        <v>3</v>
      </c>
      <c r="DO1">
        <v>0</v>
      </c>
    </row>
    <row r="2" spans="1:119" x14ac:dyDescent="0.2">
      <c r="A2">
        <f>ROW(Source!A24)</f>
        <v>24</v>
      </c>
      <c r="B2">
        <v>145016711</v>
      </c>
      <c r="C2">
        <v>145016775</v>
      </c>
      <c r="D2">
        <v>134664083</v>
      </c>
      <c r="E2">
        <v>1</v>
      </c>
      <c r="F2">
        <v>1</v>
      </c>
      <c r="G2">
        <v>1</v>
      </c>
      <c r="H2">
        <v>2</v>
      </c>
      <c r="I2" t="s">
        <v>289</v>
      </c>
      <c r="J2" t="s">
        <v>290</v>
      </c>
      <c r="K2" t="s">
        <v>291</v>
      </c>
      <c r="L2">
        <v>1368</v>
      </c>
      <c r="N2">
        <v>1011</v>
      </c>
      <c r="O2" t="s">
        <v>292</v>
      </c>
      <c r="P2" t="s">
        <v>292</v>
      </c>
      <c r="Q2">
        <v>1</v>
      </c>
      <c r="W2">
        <v>0</v>
      </c>
      <c r="X2">
        <v>-486821515</v>
      </c>
      <c r="Y2">
        <f>AT2</f>
        <v>6.22</v>
      </c>
      <c r="AA2">
        <v>0</v>
      </c>
      <c r="AB2">
        <v>82.78</v>
      </c>
      <c r="AC2">
        <v>0</v>
      </c>
      <c r="AD2">
        <v>0</v>
      </c>
      <c r="AE2">
        <v>0</v>
      </c>
      <c r="AF2">
        <v>6.66</v>
      </c>
      <c r="AG2">
        <v>0</v>
      </c>
      <c r="AH2">
        <v>0</v>
      </c>
      <c r="AI2">
        <v>1</v>
      </c>
      <c r="AJ2">
        <v>12.43</v>
      </c>
      <c r="AK2">
        <v>32.159999999999997</v>
      </c>
      <c r="AL2">
        <v>1</v>
      </c>
      <c r="AM2">
        <v>4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6.22</v>
      </c>
      <c r="AU2" t="s">
        <v>3</v>
      </c>
      <c r="AV2">
        <v>0</v>
      </c>
      <c r="AW2">
        <v>2</v>
      </c>
      <c r="AX2">
        <v>145016779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ROUND(Y2*Source!I24,9)</f>
        <v>129.376</v>
      </c>
      <c r="CY2">
        <f>AB2</f>
        <v>82.78</v>
      </c>
      <c r="CZ2">
        <f>AF2</f>
        <v>6.66</v>
      </c>
      <c r="DA2">
        <f>AJ2</f>
        <v>12.43</v>
      </c>
      <c r="DB2">
        <f>ROUND(ROUND(AT2*CZ2,2),2)</f>
        <v>41.43</v>
      </c>
      <c r="DC2">
        <f>ROUND(ROUND(AT2*AG2,2),2)</f>
        <v>0</v>
      </c>
      <c r="DD2" t="s">
        <v>3</v>
      </c>
      <c r="DE2" t="s">
        <v>3</v>
      </c>
      <c r="DF2">
        <f t="shared" si="0"/>
        <v>0</v>
      </c>
      <c r="DG2">
        <f>ROUND(ROUND(AF2*AJ2,2)*CX2,2)</f>
        <v>10709.75</v>
      </c>
      <c r="DH2">
        <f>ROUND(ROUND(AG2*AK2,2)*CX2,2)</f>
        <v>0</v>
      </c>
      <c r="DI2">
        <f>ROUND(ROUND(AH2,2)*CX2,2)</f>
        <v>0</v>
      </c>
      <c r="DJ2">
        <f>DG2</f>
        <v>10709.75</v>
      </c>
      <c r="DK2">
        <v>0</v>
      </c>
      <c r="DL2" t="s">
        <v>3</v>
      </c>
      <c r="DM2">
        <v>0</v>
      </c>
      <c r="DN2" t="s">
        <v>3</v>
      </c>
      <c r="DO2">
        <v>0</v>
      </c>
    </row>
    <row r="3" spans="1:119" x14ac:dyDescent="0.2">
      <c r="A3">
        <f>ROW(Source!A25)</f>
        <v>25</v>
      </c>
      <c r="B3">
        <v>145016711</v>
      </c>
      <c r="C3">
        <v>145016780</v>
      </c>
      <c r="D3">
        <v>140759982</v>
      </c>
      <c r="E3">
        <v>70</v>
      </c>
      <c r="F3">
        <v>1</v>
      </c>
      <c r="G3">
        <v>1</v>
      </c>
      <c r="H3">
        <v>1</v>
      </c>
      <c r="I3" t="s">
        <v>293</v>
      </c>
      <c r="J3" t="s">
        <v>3</v>
      </c>
      <c r="K3" t="s">
        <v>294</v>
      </c>
      <c r="L3">
        <v>1191</v>
      </c>
      <c r="N3">
        <v>1013</v>
      </c>
      <c r="O3" t="s">
        <v>288</v>
      </c>
      <c r="P3" t="s">
        <v>288</v>
      </c>
      <c r="Q3">
        <v>1</v>
      </c>
      <c r="W3">
        <v>0</v>
      </c>
      <c r="X3">
        <v>-983457869</v>
      </c>
      <c r="Y3">
        <f>(AT3*0.8)</f>
        <v>19.440000000000001</v>
      </c>
      <c r="AA3">
        <v>0</v>
      </c>
      <c r="AB3">
        <v>0</v>
      </c>
      <c r="AC3">
        <v>0</v>
      </c>
      <c r="AD3">
        <v>277.86</v>
      </c>
      <c r="AE3">
        <v>0</v>
      </c>
      <c r="AF3">
        <v>0</v>
      </c>
      <c r="AG3">
        <v>0</v>
      </c>
      <c r="AH3">
        <v>8.64</v>
      </c>
      <c r="AI3">
        <v>1</v>
      </c>
      <c r="AJ3">
        <v>1</v>
      </c>
      <c r="AK3">
        <v>1</v>
      </c>
      <c r="AL3">
        <v>32.159999999999997</v>
      </c>
      <c r="AM3">
        <v>4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24.3</v>
      </c>
      <c r="AU3" t="s">
        <v>32</v>
      </c>
      <c r="AV3">
        <v>1</v>
      </c>
      <c r="AW3">
        <v>2</v>
      </c>
      <c r="AX3">
        <v>145016789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ROUND(Y3*Source!I25,9)</f>
        <v>404.35199999999998</v>
      </c>
      <c r="CY3">
        <f>AD3</f>
        <v>277.86</v>
      </c>
      <c r="CZ3">
        <f>AH3</f>
        <v>8.64</v>
      </c>
      <c r="DA3">
        <f>AL3</f>
        <v>32.159999999999997</v>
      </c>
      <c r="DB3">
        <f>ROUND((ROUND(AT3*CZ3,2)*0.8),2)</f>
        <v>167.96</v>
      </c>
      <c r="DC3">
        <f>ROUND((ROUND(AT3*AG3,2)*0.8),2)</f>
        <v>0</v>
      </c>
      <c r="DD3" t="s">
        <v>3</v>
      </c>
      <c r="DE3" t="s">
        <v>3</v>
      </c>
      <c r="DF3">
        <f t="shared" si="0"/>
        <v>0</v>
      </c>
      <c r="DG3">
        <f>ROUND(ROUND(AF3,2)*CX3,2)</f>
        <v>0</v>
      </c>
      <c r="DH3">
        <f>ROUND(ROUND(AG3,2)*CX3,2)</f>
        <v>0</v>
      </c>
      <c r="DI3">
        <f>ROUND(ROUND(AH3*AL3,2)*CX3,2)</f>
        <v>112353.25</v>
      </c>
      <c r="DJ3">
        <f>DI3</f>
        <v>112353.25</v>
      </c>
      <c r="DK3">
        <v>0</v>
      </c>
      <c r="DL3" t="s">
        <v>3</v>
      </c>
      <c r="DM3">
        <v>0</v>
      </c>
      <c r="DN3" t="s">
        <v>3</v>
      </c>
      <c r="DO3">
        <v>0</v>
      </c>
    </row>
    <row r="4" spans="1:119" x14ac:dyDescent="0.2">
      <c r="A4">
        <f>ROW(Source!A25)</f>
        <v>25</v>
      </c>
      <c r="B4">
        <v>145016711</v>
      </c>
      <c r="C4">
        <v>145016780</v>
      </c>
      <c r="D4">
        <v>140760225</v>
      </c>
      <c r="E4">
        <v>70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288</v>
      </c>
      <c r="P4" t="s">
        <v>288</v>
      </c>
      <c r="Q4">
        <v>1</v>
      </c>
      <c r="W4">
        <v>0</v>
      </c>
      <c r="X4">
        <v>-1417349443</v>
      </c>
      <c r="Y4">
        <f>(AT4*0.8)</f>
        <v>1.552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32.159999999999997</v>
      </c>
      <c r="AL4">
        <v>1</v>
      </c>
      <c r="AM4">
        <v>4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1.94</v>
      </c>
      <c r="AU4" t="s">
        <v>32</v>
      </c>
      <c r="AV4">
        <v>2</v>
      </c>
      <c r="AW4">
        <v>2</v>
      </c>
      <c r="AX4">
        <v>145016790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ROUND(Y4*Source!I25,9)</f>
        <v>32.281599999999997</v>
      </c>
      <c r="CY4">
        <f>AD4</f>
        <v>0</v>
      </c>
      <c r="CZ4">
        <f>AH4</f>
        <v>0</v>
      </c>
      <c r="DA4">
        <f>AL4</f>
        <v>1</v>
      </c>
      <c r="DB4">
        <f>ROUND((ROUND(AT4*CZ4,2)*0.8),2)</f>
        <v>0</v>
      </c>
      <c r="DC4">
        <f>ROUND((ROUND(AT4*AG4,2)*0.8),2)</f>
        <v>0</v>
      </c>
      <c r="DD4" t="s">
        <v>3</v>
      </c>
      <c r="DE4" t="s">
        <v>3</v>
      </c>
      <c r="DF4">
        <f t="shared" si="0"/>
        <v>0</v>
      </c>
      <c r="DG4">
        <f>ROUND(ROUND(AF4,2)*CX4,2)</f>
        <v>0</v>
      </c>
      <c r="DH4">
        <f>ROUND(ROUND(AG4*AK4,2)*CX4,2)</f>
        <v>0</v>
      </c>
      <c r="DI4">
        <f t="shared" ref="DI4:DI10" si="1">ROUND(ROUND(AH4,2)*CX4,2)</f>
        <v>0</v>
      </c>
      <c r="DJ4">
        <f>DI4</f>
        <v>0</v>
      </c>
      <c r="DK4">
        <v>0</v>
      </c>
      <c r="DL4" t="s">
        <v>3</v>
      </c>
      <c r="DM4">
        <v>0</v>
      </c>
      <c r="DN4" t="s">
        <v>3</v>
      </c>
      <c r="DO4">
        <v>0</v>
      </c>
    </row>
    <row r="5" spans="1:119" x14ac:dyDescent="0.2">
      <c r="A5">
        <f>ROW(Source!A25)</f>
        <v>25</v>
      </c>
      <c r="B5">
        <v>145016711</v>
      </c>
      <c r="C5">
        <v>145016780</v>
      </c>
      <c r="D5">
        <v>140922893</v>
      </c>
      <c r="E5">
        <v>1</v>
      </c>
      <c r="F5">
        <v>1</v>
      </c>
      <c r="G5">
        <v>1</v>
      </c>
      <c r="H5">
        <v>2</v>
      </c>
      <c r="I5" t="s">
        <v>297</v>
      </c>
      <c r="J5" t="s">
        <v>298</v>
      </c>
      <c r="K5" t="s">
        <v>299</v>
      </c>
      <c r="L5">
        <v>1367</v>
      </c>
      <c r="N5">
        <v>1011</v>
      </c>
      <c r="O5" t="s">
        <v>300</v>
      </c>
      <c r="P5" t="s">
        <v>300</v>
      </c>
      <c r="Q5">
        <v>1</v>
      </c>
      <c r="W5">
        <v>0</v>
      </c>
      <c r="X5">
        <v>-130837057</v>
      </c>
      <c r="Y5">
        <f>(AT5*0.8)</f>
        <v>0.54400000000000004</v>
      </c>
      <c r="AA5">
        <v>0</v>
      </c>
      <c r="AB5">
        <v>1073.95</v>
      </c>
      <c r="AC5">
        <v>434.16</v>
      </c>
      <c r="AD5">
        <v>0</v>
      </c>
      <c r="AE5">
        <v>0</v>
      </c>
      <c r="AF5">
        <v>86.4</v>
      </c>
      <c r="AG5">
        <v>13.5</v>
      </c>
      <c r="AH5">
        <v>0</v>
      </c>
      <c r="AI5">
        <v>1</v>
      </c>
      <c r="AJ5">
        <v>12.43</v>
      </c>
      <c r="AK5">
        <v>32.159999999999997</v>
      </c>
      <c r="AL5">
        <v>1</v>
      </c>
      <c r="AM5">
        <v>4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0.68</v>
      </c>
      <c r="AU5" t="s">
        <v>32</v>
      </c>
      <c r="AV5">
        <v>0</v>
      </c>
      <c r="AW5">
        <v>2</v>
      </c>
      <c r="AX5">
        <v>145016791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ROUND(Y5*Source!I25,9)</f>
        <v>11.315200000000001</v>
      </c>
      <c r="CY5">
        <f>AB5</f>
        <v>1073.95</v>
      </c>
      <c r="CZ5">
        <f>AF5</f>
        <v>86.4</v>
      </c>
      <c r="DA5">
        <f>AJ5</f>
        <v>12.43</v>
      </c>
      <c r="DB5">
        <f>ROUND((ROUND(AT5*CZ5,2)*0.8),2)</f>
        <v>47</v>
      </c>
      <c r="DC5">
        <f>ROUND((ROUND(AT5*AG5,2)*0.8),2)</f>
        <v>7.34</v>
      </c>
      <c r="DD5" t="s">
        <v>3</v>
      </c>
      <c r="DE5" t="s">
        <v>3</v>
      </c>
      <c r="DF5">
        <f t="shared" si="0"/>
        <v>0</v>
      </c>
      <c r="DG5">
        <f>ROUND(ROUND(AF5*AJ5,2)*CX5,2)</f>
        <v>12151.96</v>
      </c>
      <c r="DH5">
        <f>ROUND(ROUND(AG5*AK5,2)*CX5,2)</f>
        <v>4912.6099999999997</v>
      </c>
      <c r="DI5">
        <f t="shared" si="1"/>
        <v>0</v>
      </c>
      <c r="DJ5">
        <f>DG5</f>
        <v>12151.96</v>
      </c>
      <c r="DK5">
        <v>0</v>
      </c>
      <c r="DL5" t="s">
        <v>3</v>
      </c>
      <c r="DM5">
        <v>0</v>
      </c>
      <c r="DN5" t="s">
        <v>3</v>
      </c>
      <c r="DO5">
        <v>0</v>
      </c>
    </row>
    <row r="6" spans="1:119" x14ac:dyDescent="0.2">
      <c r="A6">
        <f>ROW(Source!A25)</f>
        <v>25</v>
      </c>
      <c r="B6">
        <v>145016711</v>
      </c>
      <c r="C6">
        <v>145016780</v>
      </c>
      <c r="D6">
        <v>140923105</v>
      </c>
      <c r="E6">
        <v>1</v>
      </c>
      <c r="F6">
        <v>1</v>
      </c>
      <c r="G6">
        <v>1</v>
      </c>
      <c r="H6">
        <v>2</v>
      </c>
      <c r="I6" t="s">
        <v>301</v>
      </c>
      <c r="J6" t="s">
        <v>302</v>
      </c>
      <c r="K6" t="s">
        <v>303</v>
      </c>
      <c r="L6">
        <v>1367</v>
      </c>
      <c r="N6">
        <v>1011</v>
      </c>
      <c r="O6" t="s">
        <v>300</v>
      </c>
      <c r="P6" t="s">
        <v>300</v>
      </c>
      <c r="Q6">
        <v>1</v>
      </c>
      <c r="W6">
        <v>0</v>
      </c>
      <c r="X6">
        <v>-896236776</v>
      </c>
      <c r="Y6">
        <f>(AT6*0.8)</f>
        <v>1.008</v>
      </c>
      <c r="AA6">
        <v>0</v>
      </c>
      <c r="AB6">
        <v>1118.58</v>
      </c>
      <c r="AC6">
        <v>323.52999999999997</v>
      </c>
      <c r="AD6">
        <v>0</v>
      </c>
      <c r="AE6">
        <v>0</v>
      </c>
      <c r="AF6">
        <v>89.99</v>
      </c>
      <c r="AG6">
        <v>10.06</v>
      </c>
      <c r="AH6">
        <v>0</v>
      </c>
      <c r="AI6">
        <v>1</v>
      </c>
      <c r="AJ6">
        <v>12.43</v>
      </c>
      <c r="AK6">
        <v>32.159999999999997</v>
      </c>
      <c r="AL6">
        <v>1</v>
      </c>
      <c r="AM6">
        <v>4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1.26</v>
      </c>
      <c r="AU6" t="s">
        <v>32</v>
      </c>
      <c r="AV6">
        <v>0</v>
      </c>
      <c r="AW6">
        <v>2</v>
      </c>
      <c r="AX6">
        <v>145016792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ROUND(Y6*Source!I25,9)</f>
        <v>20.9664</v>
      </c>
      <c r="CY6">
        <f>AB6</f>
        <v>1118.58</v>
      </c>
      <c r="CZ6">
        <f>AF6</f>
        <v>89.99</v>
      </c>
      <c r="DA6">
        <f>AJ6</f>
        <v>12.43</v>
      </c>
      <c r="DB6">
        <f>ROUND((ROUND(AT6*CZ6,2)*0.8),2)</f>
        <v>90.71</v>
      </c>
      <c r="DC6">
        <f>ROUND((ROUND(AT6*AG6,2)*0.8),2)</f>
        <v>10.14</v>
      </c>
      <c r="DD6" t="s">
        <v>3</v>
      </c>
      <c r="DE6" t="s">
        <v>3</v>
      </c>
      <c r="DF6">
        <f t="shared" si="0"/>
        <v>0</v>
      </c>
      <c r="DG6">
        <f>ROUND(ROUND(AF6*AJ6,2)*CX6,2)</f>
        <v>23452.6</v>
      </c>
      <c r="DH6">
        <f>ROUND(ROUND(AG6*AK6,2)*CX6,2)</f>
        <v>6783.26</v>
      </c>
      <c r="DI6">
        <f t="shared" si="1"/>
        <v>0</v>
      </c>
      <c r="DJ6">
        <f>DG6</f>
        <v>23452.6</v>
      </c>
      <c r="DK6">
        <v>0</v>
      </c>
      <c r="DL6" t="s">
        <v>3</v>
      </c>
      <c r="DM6">
        <v>0</v>
      </c>
      <c r="DN6" t="s">
        <v>3</v>
      </c>
      <c r="DO6">
        <v>0</v>
      </c>
    </row>
    <row r="7" spans="1:119" x14ac:dyDescent="0.2">
      <c r="A7">
        <f>ROW(Source!A25)</f>
        <v>25</v>
      </c>
      <c r="B7">
        <v>145016711</v>
      </c>
      <c r="C7">
        <v>145016780</v>
      </c>
      <c r="D7">
        <v>140923250</v>
      </c>
      <c r="E7">
        <v>1</v>
      </c>
      <c r="F7">
        <v>1</v>
      </c>
      <c r="G7">
        <v>1</v>
      </c>
      <c r="H7">
        <v>2</v>
      </c>
      <c r="I7" t="s">
        <v>304</v>
      </c>
      <c r="J7" t="s">
        <v>305</v>
      </c>
      <c r="K7" t="s">
        <v>306</v>
      </c>
      <c r="L7">
        <v>1367</v>
      </c>
      <c r="N7">
        <v>1011</v>
      </c>
      <c r="O7" t="s">
        <v>300</v>
      </c>
      <c r="P7" t="s">
        <v>300</v>
      </c>
      <c r="Q7">
        <v>1</v>
      </c>
      <c r="W7">
        <v>0</v>
      </c>
      <c r="X7">
        <v>-1841954318</v>
      </c>
      <c r="Y7">
        <f>(AT7*0.8)</f>
        <v>1.8320000000000001</v>
      </c>
      <c r="AA7">
        <v>0</v>
      </c>
      <c r="AB7">
        <v>96.58</v>
      </c>
      <c r="AC7">
        <v>0</v>
      </c>
      <c r="AD7">
        <v>0</v>
      </c>
      <c r="AE7">
        <v>0</v>
      </c>
      <c r="AF7">
        <v>7.77</v>
      </c>
      <c r="AG7">
        <v>0</v>
      </c>
      <c r="AH7">
        <v>0</v>
      </c>
      <c r="AI7">
        <v>1</v>
      </c>
      <c r="AJ7">
        <v>12.43</v>
      </c>
      <c r="AK7">
        <v>32.159999999999997</v>
      </c>
      <c r="AL7">
        <v>1</v>
      </c>
      <c r="AM7">
        <v>4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2.29</v>
      </c>
      <c r="AU7" t="s">
        <v>32</v>
      </c>
      <c r="AV7">
        <v>0</v>
      </c>
      <c r="AW7">
        <v>2</v>
      </c>
      <c r="AX7">
        <v>145016793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ROUND(Y7*Source!I25,9)</f>
        <v>38.105600000000003</v>
      </c>
      <c r="CY7">
        <f>AB7</f>
        <v>96.58</v>
      </c>
      <c r="CZ7">
        <f>AF7</f>
        <v>7.77</v>
      </c>
      <c r="DA7">
        <f>AJ7</f>
        <v>12.43</v>
      </c>
      <c r="DB7">
        <f>ROUND((ROUND(AT7*CZ7,2)*0.8),2)</f>
        <v>14.23</v>
      </c>
      <c r="DC7">
        <f>ROUND((ROUND(AT7*AG7,2)*0.8),2)</f>
        <v>0</v>
      </c>
      <c r="DD7" t="s">
        <v>3</v>
      </c>
      <c r="DE7" t="s">
        <v>3</v>
      </c>
      <c r="DF7">
        <f t="shared" si="0"/>
        <v>0</v>
      </c>
      <c r="DG7">
        <f>ROUND(ROUND(AF7*AJ7,2)*CX7,2)</f>
        <v>3680.24</v>
      </c>
      <c r="DH7">
        <f>ROUND(ROUND(AG7*AK7,2)*CX7,2)</f>
        <v>0</v>
      </c>
      <c r="DI7">
        <f t="shared" si="1"/>
        <v>0</v>
      </c>
      <c r="DJ7">
        <f>DG7</f>
        <v>3680.24</v>
      </c>
      <c r="DK7">
        <v>0</v>
      </c>
      <c r="DL7" t="s">
        <v>3</v>
      </c>
      <c r="DM7">
        <v>0</v>
      </c>
      <c r="DN7" t="s">
        <v>3</v>
      </c>
      <c r="DO7">
        <v>0</v>
      </c>
    </row>
    <row r="8" spans="1:119" x14ac:dyDescent="0.2">
      <c r="A8">
        <f>ROW(Source!A25)</f>
        <v>25</v>
      </c>
      <c r="B8">
        <v>145016711</v>
      </c>
      <c r="C8">
        <v>145016780</v>
      </c>
      <c r="D8">
        <v>140772680</v>
      </c>
      <c r="E8">
        <v>1</v>
      </c>
      <c r="F8">
        <v>1</v>
      </c>
      <c r="G8">
        <v>1</v>
      </c>
      <c r="H8">
        <v>3</v>
      </c>
      <c r="I8" t="s">
        <v>307</v>
      </c>
      <c r="J8" t="s">
        <v>308</v>
      </c>
      <c r="K8" t="s">
        <v>309</v>
      </c>
      <c r="L8">
        <v>1339</v>
      </c>
      <c r="N8">
        <v>1007</v>
      </c>
      <c r="O8" t="s">
        <v>58</v>
      </c>
      <c r="P8" t="s">
        <v>58</v>
      </c>
      <c r="Q8">
        <v>1</v>
      </c>
      <c r="W8">
        <v>0</v>
      </c>
      <c r="X8">
        <v>-143474561</v>
      </c>
      <c r="Y8">
        <f>(AT8*0)</f>
        <v>0</v>
      </c>
      <c r="AA8">
        <v>21.91</v>
      </c>
      <c r="AB8">
        <v>0</v>
      </c>
      <c r="AC8">
        <v>0</v>
      </c>
      <c r="AD8">
        <v>0</v>
      </c>
      <c r="AE8">
        <v>2.44</v>
      </c>
      <c r="AF8">
        <v>0</v>
      </c>
      <c r="AG8">
        <v>0</v>
      </c>
      <c r="AH8">
        <v>0</v>
      </c>
      <c r="AI8">
        <v>8.98</v>
      </c>
      <c r="AJ8">
        <v>1</v>
      </c>
      <c r="AK8">
        <v>1</v>
      </c>
      <c r="AL8">
        <v>1</v>
      </c>
      <c r="AM8">
        <v>4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3.85</v>
      </c>
      <c r="AU8" t="s">
        <v>31</v>
      </c>
      <c r="AV8">
        <v>0</v>
      </c>
      <c r="AW8">
        <v>2</v>
      </c>
      <c r="AX8">
        <v>145016794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ROUND(Y8*Source!I25,9)</f>
        <v>0</v>
      </c>
      <c r="CY8">
        <f>AA8</f>
        <v>21.91</v>
      </c>
      <c r="CZ8">
        <f>AE8</f>
        <v>2.44</v>
      </c>
      <c r="DA8">
        <f>AI8</f>
        <v>8.98</v>
      </c>
      <c r="DB8">
        <f>ROUND((ROUND(AT8*CZ8,2)*0),2)</f>
        <v>0</v>
      </c>
      <c r="DC8">
        <f>ROUND((ROUND(AT8*AG8,2)*0),2)</f>
        <v>0</v>
      </c>
      <c r="DD8" t="s">
        <v>3</v>
      </c>
      <c r="DE8" t="s">
        <v>3</v>
      </c>
      <c r="DF8">
        <f>ROUND(ROUND(AE8*AI8,2)*CX8,2)</f>
        <v>0</v>
      </c>
      <c r="DG8">
        <f>ROUND(ROUND(AF8,2)*CX8,2)</f>
        <v>0</v>
      </c>
      <c r="DH8">
        <f>ROUND(ROUND(AG8,2)*CX8,2)</f>
        <v>0</v>
      </c>
      <c r="DI8">
        <f t="shared" si="1"/>
        <v>0</v>
      </c>
      <c r="DJ8">
        <f>DF8</f>
        <v>0</v>
      </c>
      <c r="DK8">
        <v>0</v>
      </c>
      <c r="DL8" t="s">
        <v>3</v>
      </c>
      <c r="DM8">
        <v>0</v>
      </c>
      <c r="DN8" t="s">
        <v>3</v>
      </c>
      <c r="DO8">
        <v>0</v>
      </c>
    </row>
    <row r="9" spans="1:119" x14ac:dyDescent="0.2">
      <c r="A9">
        <f>ROW(Source!A25)</f>
        <v>25</v>
      </c>
      <c r="B9">
        <v>145016711</v>
      </c>
      <c r="C9">
        <v>145016780</v>
      </c>
      <c r="D9">
        <v>140761117</v>
      </c>
      <c r="E9">
        <v>70</v>
      </c>
      <c r="F9">
        <v>1</v>
      </c>
      <c r="G9">
        <v>1</v>
      </c>
      <c r="H9">
        <v>3</v>
      </c>
      <c r="I9" t="s">
        <v>310</v>
      </c>
      <c r="J9" t="s">
        <v>3</v>
      </c>
      <c r="K9" t="s">
        <v>311</v>
      </c>
      <c r="L9">
        <v>1339</v>
      </c>
      <c r="N9">
        <v>1007</v>
      </c>
      <c r="O9" t="s">
        <v>58</v>
      </c>
      <c r="P9" t="s">
        <v>58</v>
      </c>
      <c r="Q9">
        <v>1</v>
      </c>
      <c r="W9">
        <v>0</v>
      </c>
      <c r="X9">
        <v>-2113302258</v>
      </c>
      <c r="Y9">
        <f>(AT9*0)</f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8.98</v>
      </c>
      <c r="AJ9">
        <v>1</v>
      </c>
      <c r="AK9">
        <v>1</v>
      </c>
      <c r="AL9">
        <v>1</v>
      </c>
      <c r="AM9">
        <v>4</v>
      </c>
      <c r="AN9">
        <v>0</v>
      </c>
      <c r="AO9">
        <v>0</v>
      </c>
      <c r="AP9">
        <v>1</v>
      </c>
      <c r="AQ9">
        <v>0</v>
      </c>
      <c r="AR9">
        <v>0</v>
      </c>
      <c r="AS9" t="s">
        <v>3</v>
      </c>
      <c r="AT9">
        <v>1.53</v>
      </c>
      <c r="AU9" t="s">
        <v>31</v>
      </c>
      <c r="AV9">
        <v>0</v>
      </c>
      <c r="AW9">
        <v>2</v>
      </c>
      <c r="AX9">
        <v>145016795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ROUND(Y9*Source!I25,9)</f>
        <v>0</v>
      </c>
      <c r="CY9">
        <f>AA9</f>
        <v>0</v>
      </c>
      <c r="CZ9">
        <f>AE9</f>
        <v>0</v>
      </c>
      <c r="DA9">
        <f>AI9</f>
        <v>8.98</v>
      </c>
      <c r="DB9">
        <f>ROUND((ROUND(AT9*CZ9,2)*0),2)</f>
        <v>0</v>
      </c>
      <c r="DC9">
        <f>ROUND((ROUND(AT9*AG9,2)*0),2)</f>
        <v>0</v>
      </c>
      <c r="DD9" t="s">
        <v>3</v>
      </c>
      <c r="DE9" t="s">
        <v>3</v>
      </c>
      <c r="DF9">
        <f>ROUND(ROUND(AE9*AI9,2)*CX9,2)</f>
        <v>0</v>
      </c>
      <c r="DG9">
        <f>ROUND(ROUND(AF9,2)*CX9,2)</f>
        <v>0</v>
      </c>
      <c r="DH9">
        <f>ROUND(ROUND(AG9,2)*CX9,2)</f>
        <v>0</v>
      </c>
      <c r="DI9">
        <f t="shared" si="1"/>
        <v>0</v>
      </c>
      <c r="DJ9">
        <f>DF9</f>
        <v>0</v>
      </c>
      <c r="DK9">
        <v>0</v>
      </c>
      <c r="DL9" t="s">
        <v>3</v>
      </c>
      <c r="DM9">
        <v>0</v>
      </c>
      <c r="DN9" t="s">
        <v>3</v>
      </c>
      <c r="DO9">
        <v>0</v>
      </c>
    </row>
    <row r="10" spans="1:119" x14ac:dyDescent="0.2">
      <c r="A10">
        <f>ROW(Source!A25)</f>
        <v>25</v>
      </c>
      <c r="B10">
        <v>145016711</v>
      </c>
      <c r="C10">
        <v>145016780</v>
      </c>
      <c r="D10">
        <v>140798958</v>
      </c>
      <c r="E10">
        <v>1</v>
      </c>
      <c r="F10">
        <v>1</v>
      </c>
      <c r="G10">
        <v>1</v>
      </c>
      <c r="H10">
        <v>3</v>
      </c>
      <c r="I10" t="s">
        <v>312</v>
      </c>
      <c r="J10" t="s">
        <v>313</v>
      </c>
      <c r="K10" t="s">
        <v>314</v>
      </c>
      <c r="L10">
        <v>1327</v>
      </c>
      <c r="N10">
        <v>1005</v>
      </c>
      <c r="O10" t="s">
        <v>74</v>
      </c>
      <c r="P10" t="s">
        <v>74</v>
      </c>
      <c r="Q10">
        <v>1</v>
      </c>
      <c r="W10">
        <v>0</v>
      </c>
      <c r="X10">
        <v>1282098800</v>
      </c>
      <c r="Y10">
        <f>(AT10*0)</f>
        <v>0</v>
      </c>
      <c r="AA10">
        <v>55.68</v>
      </c>
      <c r="AB10">
        <v>0</v>
      </c>
      <c r="AC10">
        <v>0</v>
      </c>
      <c r="AD10">
        <v>0</v>
      </c>
      <c r="AE10">
        <v>6.2</v>
      </c>
      <c r="AF10">
        <v>0</v>
      </c>
      <c r="AG10">
        <v>0</v>
      </c>
      <c r="AH10">
        <v>0</v>
      </c>
      <c r="AI10">
        <v>8.98</v>
      </c>
      <c r="AJ10">
        <v>1</v>
      </c>
      <c r="AK10">
        <v>1</v>
      </c>
      <c r="AL10">
        <v>1</v>
      </c>
      <c r="AM10">
        <v>4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4.4000000000000004</v>
      </c>
      <c r="AU10" t="s">
        <v>31</v>
      </c>
      <c r="AV10">
        <v>0</v>
      </c>
      <c r="AW10">
        <v>2</v>
      </c>
      <c r="AX10">
        <v>145016796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ROUND(Y10*Source!I25,9)</f>
        <v>0</v>
      </c>
      <c r="CY10">
        <f>AA10</f>
        <v>55.68</v>
      </c>
      <c r="CZ10">
        <f>AE10</f>
        <v>6.2</v>
      </c>
      <c r="DA10">
        <f>AI10</f>
        <v>8.98</v>
      </c>
      <c r="DB10">
        <f>ROUND((ROUND(AT10*CZ10,2)*0),2)</f>
        <v>0</v>
      </c>
      <c r="DC10">
        <f>ROUND((ROUND(AT10*AG10,2)*0),2)</f>
        <v>0</v>
      </c>
      <c r="DD10" t="s">
        <v>3</v>
      </c>
      <c r="DE10" t="s">
        <v>3</v>
      </c>
      <c r="DF10">
        <f>ROUND(ROUND(AE10*AI10,2)*CX10,2)</f>
        <v>0</v>
      </c>
      <c r="DG10">
        <f>ROUND(ROUND(AF10,2)*CX10,2)</f>
        <v>0</v>
      </c>
      <c r="DH10">
        <f>ROUND(ROUND(AG10,2)*CX10,2)</f>
        <v>0</v>
      </c>
      <c r="DI10">
        <f t="shared" si="1"/>
        <v>0</v>
      </c>
      <c r="DJ10">
        <f>DF10</f>
        <v>0</v>
      </c>
      <c r="DK10">
        <v>0</v>
      </c>
      <c r="DL10" t="s">
        <v>3</v>
      </c>
      <c r="DM10">
        <v>0</v>
      </c>
      <c r="DN10" t="s">
        <v>3</v>
      </c>
      <c r="DO10">
        <v>0</v>
      </c>
    </row>
    <row r="11" spans="1:119" x14ac:dyDescent="0.2">
      <c r="A11">
        <f>ROW(Source!A26)</f>
        <v>26</v>
      </c>
      <c r="B11">
        <v>145016711</v>
      </c>
      <c r="C11">
        <v>145016797</v>
      </c>
      <c r="D11">
        <v>140759982</v>
      </c>
      <c r="E11">
        <v>70</v>
      </c>
      <c r="F11">
        <v>1</v>
      </c>
      <c r="G11">
        <v>1</v>
      </c>
      <c r="H11">
        <v>1</v>
      </c>
      <c r="I11" t="s">
        <v>293</v>
      </c>
      <c r="J11" t="s">
        <v>3</v>
      </c>
      <c r="K11" t="s">
        <v>294</v>
      </c>
      <c r="L11">
        <v>1191</v>
      </c>
      <c r="N11">
        <v>1013</v>
      </c>
      <c r="O11" t="s">
        <v>288</v>
      </c>
      <c r="P11" t="s">
        <v>288</v>
      </c>
      <c r="Q11">
        <v>1</v>
      </c>
      <c r="W11">
        <v>0</v>
      </c>
      <c r="X11">
        <v>-983457869</v>
      </c>
      <c r="Y11">
        <f>((AT11*0.8)*35)</f>
        <v>28</v>
      </c>
      <c r="AA11">
        <v>0</v>
      </c>
      <c r="AB11">
        <v>0</v>
      </c>
      <c r="AC11">
        <v>0</v>
      </c>
      <c r="AD11">
        <v>277.86</v>
      </c>
      <c r="AE11">
        <v>0</v>
      </c>
      <c r="AF11">
        <v>0</v>
      </c>
      <c r="AG11">
        <v>0</v>
      </c>
      <c r="AH11">
        <v>8.64</v>
      </c>
      <c r="AI11">
        <v>1</v>
      </c>
      <c r="AJ11">
        <v>1</v>
      </c>
      <c r="AK11">
        <v>1</v>
      </c>
      <c r="AL11">
        <v>32.159999999999997</v>
      </c>
      <c r="AM11">
        <v>4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</v>
      </c>
      <c r="AU11" t="s">
        <v>43</v>
      </c>
      <c r="AV11">
        <v>1</v>
      </c>
      <c r="AW11">
        <v>2</v>
      </c>
      <c r="AX11">
        <v>145016803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ROUND(Y11*Source!I26,9)</f>
        <v>582.4</v>
      </c>
      <c r="CY11">
        <f>AD11</f>
        <v>277.86</v>
      </c>
      <c r="CZ11">
        <f>AH11</f>
        <v>8.64</v>
      </c>
      <c r="DA11">
        <f>AL11</f>
        <v>32.159999999999997</v>
      </c>
      <c r="DB11">
        <f>ROUND(((ROUND(AT11*CZ11,2)*0.8)*35),2)</f>
        <v>241.92</v>
      </c>
      <c r="DC11">
        <f>ROUND(((ROUND(AT11*AG11,2)*0.8)*35),2)</f>
        <v>0</v>
      </c>
      <c r="DD11" t="s">
        <v>3</v>
      </c>
      <c r="DE11" t="s">
        <v>3</v>
      </c>
      <c r="DF11">
        <f>ROUND(ROUND(AE11,2)*CX11,2)</f>
        <v>0</v>
      </c>
      <c r="DG11">
        <f>ROUND(ROUND(AF11,2)*CX11,2)</f>
        <v>0</v>
      </c>
      <c r="DH11">
        <f>ROUND(ROUND(AG11,2)*CX11,2)</f>
        <v>0</v>
      </c>
      <c r="DI11">
        <f>ROUND(ROUND(AH11*AL11,2)*CX11,2)</f>
        <v>161825.66</v>
      </c>
      <c r="DJ11">
        <f>DI11</f>
        <v>161825.66</v>
      </c>
      <c r="DK11">
        <v>0</v>
      </c>
      <c r="DL11" t="s">
        <v>3</v>
      </c>
      <c r="DM11">
        <v>0</v>
      </c>
      <c r="DN11" t="s">
        <v>3</v>
      </c>
      <c r="DO11">
        <v>0</v>
      </c>
    </row>
    <row r="12" spans="1:119" x14ac:dyDescent="0.2">
      <c r="A12">
        <f>ROW(Source!A26)</f>
        <v>26</v>
      </c>
      <c r="B12">
        <v>145016711</v>
      </c>
      <c r="C12">
        <v>145016797</v>
      </c>
      <c r="D12">
        <v>140760225</v>
      </c>
      <c r="E12">
        <v>70</v>
      </c>
      <c r="F12">
        <v>1</v>
      </c>
      <c r="G12">
        <v>1</v>
      </c>
      <c r="H12">
        <v>1</v>
      </c>
      <c r="I12" t="s">
        <v>295</v>
      </c>
      <c r="J12" t="s">
        <v>3</v>
      </c>
      <c r="K12" t="s">
        <v>296</v>
      </c>
      <c r="L12">
        <v>1191</v>
      </c>
      <c r="N12">
        <v>1013</v>
      </c>
      <c r="O12" t="s">
        <v>288</v>
      </c>
      <c r="P12" t="s">
        <v>288</v>
      </c>
      <c r="Q12">
        <v>1</v>
      </c>
      <c r="W12">
        <v>0</v>
      </c>
      <c r="X12">
        <v>-1417349443</v>
      </c>
      <c r="Y12">
        <f>((AT12*0.8)*35)</f>
        <v>0.84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32.159999999999997</v>
      </c>
      <c r="AL12">
        <v>1</v>
      </c>
      <c r="AM12">
        <v>4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0.03</v>
      </c>
      <c r="AU12" t="s">
        <v>43</v>
      </c>
      <c r="AV12">
        <v>2</v>
      </c>
      <c r="AW12">
        <v>2</v>
      </c>
      <c r="AX12">
        <v>145016804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ROUND(Y12*Source!I26,9)</f>
        <v>17.472000000000001</v>
      </c>
      <c r="CY12">
        <f>AD12</f>
        <v>0</v>
      </c>
      <c r="CZ12">
        <f>AH12</f>
        <v>0</v>
      </c>
      <c r="DA12">
        <f>AL12</f>
        <v>1</v>
      </c>
      <c r="DB12">
        <f>ROUND(((ROUND(AT12*CZ12,2)*0.8)*35),2)</f>
        <v>0</v>
      </c>
      <c r="DC12">
        <f>ROUND(((ROUND(AT12*AG12,2)*0.8)*35),2)</f>
        <v>0</v>
      </c>
      <c r="DD12" t="s">
        <v>3</v>
      </c>
      <c r="DE12" t="s">
        <v>3</v>
      </c>
      <c r="DF12">
        <f>ROUND(ROUND(AE12,2)*CX12,2)</f>
        <v>0</v>
      </c>
      <c r="DG12">
        <f>ROUND(ROUND(AF12,2)*CX12,2)</f>
        <v>0</v>
      </c>
      <c r="DH12">
        <f>ROUND(ROUND(AG12*AK12,2)*CX12,2)</f>
        <v>0</v>
      </c>
      <c r="DI12">
        <f>ROUND(ROUND(AH12,2)*CX12,2)</f>
        <v>0</v>
      </c>
      <c r="DJ12">
        <f>DI12</f>
        <v>0</v>
      </c>
      <c r="DK12">
        <v>0</v>
      </c>
      <c r="DL12" t="s">
        <v>3</v>
      </c>
      <c r="DM12">
        <v>0</v>
      </c>
      <c r="DN12" t="s">
        <v>3</v>
      </c>
      <c r="DO12">
        <v>0</v>
      </c>
    </row>
    <row r="13" spans="1:119" x14ac:dyDescent="0.2">
      <c r="A13">
        <f>ROW(Source!A26)</f>
        <v>26</v>
      </c>
      <c r="B13">
        <v>145016711</v>
      </c>
      <c r="C13">
        <v>145016797</v>
      </c>
      <c r="D13">
        <v>140922893</v>
      </c>
      <c r="E13">
        <v>1</v>
      </c>
      <c r="F13">
        <v>1</v>
      </c>
      <c r="G13">
        <v>1</v>
      </c>
      <c r="H13">
        <v>2</v>
      </c>
      <c r="I13" t="s">
        <v>297</v>
      </c>
      <c r="J13" t="s">
        <v>298</v>
      </c>
      <c r="K13" t="s">
        <v>299</v>
      </c>
      <c r="L13">
        <v>1367</v>
      </c>
      <c r="N13">
        <v>1011</v>
      </c>
      <c r="O13" t="s">
        <v>300</v>
      </c>
      <c r="P13" t="s">
        <v>300</v>
      </c>
      <c r="Q13">
        <v>1</v>
      </c>
      <c r="W13">
        <v>0</v>
      </c>
      <c r="X13">
        <v>-130837057</v>
      </c>
      <c r="Y13">
        <f>((AT13*0.8)*35)</f>
        <v>0.28000000000000003</v>
      </c>
      <c r="AA13">
        <v>0</v>
      </c>
      <c r="AB13">
        <v>1073.95</v>
      </c>
      <c r="AC13">
        <v>434.16</v>
      </c>
      <c r="AD13">
        <v>0</v>
      </c>
      <c r="AE13">
        <v>0</v>
      </c>
      <c r="AF13">
        <v>86.4</v>
      </c>
      <c r="AG13">
        <v>13.5</v>
      </c>
      <c r="AH13">
        <v>0</v>
      </c>
      <c r="AI13">
        <v>1</v>
      </c>
      <c r="AJ13">
        <v>12.43</v>
      </c>
      <c r="AK13">
        <v>32.159999999999997</v>
      </c>
      <c r="AL13">
        <v>1</v>
      </c>
      <c r="AM13">
        <v>4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0.01</v>
      </c>
      <c r="AU13" t="s">
        <v>43</v>
      </c>
      <c r="AV13">
        <v>0</v>
      </c>
      <c r="AW13">
        <v>2</v>
      </c>
      <c r="AX13">
        <v>145016805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ROUND(Y13*Source!I26,9)</f>
        <v>5.8239999999999998</v>
      </c>
      <c r="CY13">
        <f>AB13</f>
        <v>1073.95</v>
      </c>
      <c r="CZ13">
        <f>AF13</f>
        <v>86.4</v>
      </c>
      <c r="DA13">
        <f>AJ13</f>
        <v>12.43</v>
      </c>
      <c r="DB13">
        <f>ROUND(((ROUND(AT13*CZ13,2)*0.8)*35),2)</f>
        <v>24.08</v>
      </c>
      <c r="DC13">
        <f>ROUND(((ROUND(AT13*AG13,2)*0.8)*35),2)</f>
        <v>3.92</v>
      </c>
      <c r="DD13" t="s">
        <v>3</v>
      </c>
      <c r="DE13" t="s">
        <v>3</v>
      </c>
      <c r="DF13">
        <f>ROUND(ROUND(AE13,2)*CX13,2)</f>
        <v>0</v>
      </c>
      <c r="DG13">
        <f>ROUND(ROUND(AF13*AJ13,2)*CX13,2)</f>
        <v>6254.68</v>
      </c>
      <c r="DH13">
        <f>ROUND(ROUND(AG13*AK13,2)*CX13,2)</f>
        <v>2528.5500000000002</v>
      </c>
      <c r="DI13">
        <f>ROUND(ROUND(AH13,2)*CX13,2)</f>
        <v>0</v>
      </c>
      <c r="DJ13">
        <f>DG13</f>
        <v>6254.68</v>
      </c>
      <c r="DK13">
        <v>0</v>
      </c>
      <c r="DL13" t="s">
        <v>3</v>
      </c>
      <c r="DM13">
        <v>0</v>
      </c>
      <c r="DN13" t="s">
        <v>3</v>
      </c>
      <c r="DO13">
        <v>0</v>
      </c>
    </row>
    <row r="14" spans="1:119" x14ac:dyDescent="0.2">
      <c r="A14">
        <f>ROW(Source!A26)</f>
        <v>26</v>
      </c>
      <c r="B14">
        <v>145016711</v>
      </c>
      <c r="C14">
        <v>145016797</v>
      </c>
      <c r="D14">
        <v>140923105</v>
      </c>
      <c r="E14">
        <v>1</v>
      </c>
      <c r="F14">
        <v>1</v>
      </c>
      <c r="G14">
        <v>1</v>
      </c>
      <c r="H14">
        <v>2</v>
      </c>
      <c r="I14" t="s">
        <v>301</v>
      </c>
      <c r="J14" t="s">
        <v>302</v>
      </c>
      <c r="K14" t="s">
        <v>303</v>
      </c>
      <c r="L14">
        <v>1367</v>
      </c>
      <c r="N14">
        <v>1011</v>
      </c>
      <c r="O14" t="s">
        <v>300</v>
      </c>
      <c r="P14" t="s">
        <v>300</v>
      </c>
      <c r="Q14">
        <v>1</v>
      </c>
      <c r="W14">
        <v>0</v>
      </c>
      <c r="X14">
        <v>-896236776</v>
      </c>
      <c r="Y14">
        <f>((AT14*0.8)*35)</f>
        <v>0.56000000000000005</v>
      </c>
      <c r="AA14">
        <v>0</v>
      </c>
      <c r="AB14">
        <v>1118.58</v>
      </c>
      <c r="AC14">
        <v>323.52999999999997</v>
      </c>
      <c r="AD14">
        <v>0</v>
      </c>
      <c r="AE14">
        <v>0</v>
      </c>
      <c r="AF14">
        <v>89.99</v>
      </c>
      <c r="AG14">
        <v>10.06</v>
      </c>
      <c r="AH14">
        <v>0</v>
      </c>
      <c r="AI14">
        <v>1</v>
      </c>
      <c r="AJ14">
        <v>12.43</v>
      </c>
      <c r="AK14">
        <v>32.159999999999997</v>
      </c>
      <c r="AL14">
        <v>1</v>
      </c>
      <c r="AM14">
        <v>4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0.02</v>
      </c>
      <c r="AU14" t="s">
        <v>43</v>
      </c>
      <c r="AV14">
        <v>0</v>
      </c>
      <c r="AW14">
        <v>2</v>
      </c>
      <c r="AX14">
        <v>145016806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ROUND(Y14*Source!I26,9)</f>
        <v>11.648</v>
      </c>
      <c r="CY14">
        <f>AB14</f>
        <v>1118.58</v>
      </c>
      <c r="CZ14">
        <f>AF14</f>
        <v>89.99</v>
      </c>
      <c r="DA14">
        <f>AJ14</f>
        <v>12.43</v>
      </c>
      <c r="DB14">
        <f>ROUND(((ROUND(AT14*CZ14,2)*0.8)*35),2)</f>
        <v>50.4</v>
      </c>
      <c r="DC14">
        <f>ROUND(((ROUND(AT14*AG14,2)*0.8)*35),2)</f>
        <v>5.6</v>
      </c>
      <c r="DD14" t="s">
        <v>3</v>
      </c>
      <c r="DE14" t="s">
        <v>3</v>
      </c>
      <c r="DF14">
        <f>ROUND(ROUND(AE14,2)*CX14,2)</f>
        <v>0</v>
      </c>
      <c r="DG14">
        <f>ROUND(ROUND(AF14*AJ14,2)*CX14,2)</f>
        <v>13029.22</v>
      </c>
      <c r="DH14">
        <f>ROUND(ROUND(AG14*AK14,2)*CX14,2)</f>
        <v>3768.48</v>
      </c>
      <c r="DI14">
        <f>ROUND(ROUND(AH14,2)*CX14,2)</f>
        <v>0</v>
      </c>
      <c r="DJ14">
        <f>DG14</f>
        <v>13029.22</v>
      </c>
      <c r="DK14">
        <v>0</v>
      </c>
      <c r="DL14" t="s">
        <v>3</v>
      </c>
      <c r="DM14">
        <v>0</v>
      </c>
      <c r="DN14" t="s">
        <v>3</v>
      </c>
      <c r="DO14">
        <v>0</v>
      </c>
    </row>
    <row r="15" spans="1:119" x14ac:dyDescent="0.2">
      <c r="A15">
        <f>ROW(Source!A26)</f>
        <v>26</v>
      </c>
      <c r="B15">
        <v>145016711</v>
      </c>
      <c r="C15">
        <v>145016797</v>
      </c>
      <c r="D15">
        <v>140761117</v>
      </c>
      <c r="E15">
        <v>70</v>
      </c>
      <c r="F15">
        <v>1</v>
      </c>
      <c r="G15">
        <v>1</v>
      </c>
      <c r="H15">
        <v>3</v>
      </c>
      <c r="I15" t="s">
        <v>310</v>
      </c>
      <c r="J15" t="s">
        <v>3</v>
      </c>
      <c r="K15" t="s">
        <v>311</v>
      </c>
      <c r="L15">
        <v>1339</v>
      </c>
      <c r="N15">
        <v>1007</v>
      </c>
      <c r="O15" t="s">
        <v>58</v>
      </c>
      <c r="P15" t="s">
        <v>58</v>
      </c>
      <c r="Q15">
        <v>1</v>
      </c>
      <c r="W15">
        <v>0</v>
      </c>
      <c r="X15">
        <v>-2113302258</v>
      </c>
      <c r="Y15">
        <f>((AT15*0)*35)</f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8.98</v>
      </c>
      <c r="AJ15">
        <v>1</v>
      </c>
      <c r="AK15">
        <v>1</v>
      </c>
      <c r="AL15">
        <v>1</v>
      </c>
      <c r="AM15">
        <v>4</v>
      </c>
      <c r="AN15">
        <v>0</v>
      </c>
      <c r="AO15">
        <v>0</v>
      </c>
      <c r="AP15">
        <v>1</v>
      </c>
      <c r="AQ15">
        <v>0</v>
      </c>
      <c r="AR15">
        <v>0</v>
      </c>
      <c r="AS15" t="s">
        <v>3</v>
      </c>
      <c r="AT15">
        <v>0.10199999999999999</v>
      </c>
      <c r="AU15" t="s">
        <v>42</v>
      </c>
      <c r="AV15">
        <v>0</v>
      </c>
      <c r="AW15">
        <v>2</v>
      </c>
      <c r="AX15">
        <v>145016807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ROUND(Y15*Source!I26,9)</f>
        <v>0</v>
      </c>
      <c r="CY15">
        <f>AA15</f>
        <v>0</v>
      </c>
      <c r="CZ15">
        <f>AE15</f>
        <v>0</v>
      </c>
      <c r="DA15">
        <f>AI15</f>
        <v>8.98</v>
      </c>
      <c r="DB15">
        <f>ROUND(((ROUND(AT15*CZ15,2)*0)*35),2)</f>
        <v>0</v>
      </c>
      <c r="DC15">
        <f>ROUND(((ROUND(AT15*AG15,2)*0)*35),2)</f>
        <v>0</v>
      </c>
      <c r="DD15" t="s">
        <v>3</v>
      </c>
      <c r="DE15" t="s">
        <v>3</v>
      </c>
      <c r="DF15">
        <f>ROUND(ROUND(AE15*AI15,2)*CX15,2)</f>
        <v>0</v>
      </c>
      <c r="DG15">
        <f>ROUND(ROUND(AF15,2)*CX15,2)</f>
        <v>0</v>
      </c>
      <c r="DH15">
        <f>ROUND(ROUND(AG15,2)*CX15,2)</f>
        <v>0</v>
      </c>
      <c r="DI15">
        <f>ROUND(ROUND(AH15,2)*CX15,2)</f>
        <v>0</v>
      </c>
      <c r="DJ15">
        <f>DF15</f>
        <v>0</v>
      </c>
      <c r="DK15">
        <v>0</v>
      </c>
      <c r="DL15" t="s">
        <v>3</v>
      </c>
      <c r="DM15">
        <v>0</v>
      </c>
      <c r="DN15" t="s">
        <v>3</v>
      </c>
      <c r="DO15">
        <v>0</v>
      </c>
    </row>
    <row r="16" spans="1:119" x14ac:dyDescent="0.2">
      <c r="A16">
        <f>ROW(Source!A27)</f>
        <v>27</v>
      </c>
      <c r="B16">
        <v>145016711</v>
      </c>
      <c r="C16">
        <v>145016808</v>
      </c>
      <c r="D16">
        <v>140759982</v>
      </c>
      <c r="E16">
        <v>70</v>
      </c>
      <c r="F16">
        <v>1</v>
      </c>
      <c r="G16">
        <v>1</v>
      </c>
      <c r="H16">
        <v>1</v>
      </c>
      <c r="I16" t="s">
        <v>293</v>
      </c>
      <c r="J16" t="s">
        <v>3</v>
      </c>
      <c r="K16" t="s">
        <v>294</v>
      </c>
      <c r="L16">
        <v>1191</v>
      </c>
      <c r="N16">
        <v>1013</v>
      </c>
      <c r="O16" t="s">
        <v>288</v>
      </c>
      <c r="P16" t="s">
        <v>288</v>
      </c>
      <c r="Q16">
        <v>1</v>
      </c>
      <c r="W16">
        <v>0</v>
      </c>
      <c r="X16">
        <v>-983457869</v>
      </c>
      <c r="Y16">
        <f>(AT16*1.15)</f>
        <v>27.945</v>
      </c>
      <c r="AA16">
        <v>0</v>
      </c>
      <c r="AB16">
        <v>0</v>
      </c>
      <c r="AC16">
        <v>0</v>
      </c>
      <c r="AD16">
        <v>277.86</v>
      </c>
      <c r="AE16">
        <v>0</v>
      </c>
      <c r="AF16">
        <v>0</v>
      </c>
      <c r="AG16">
        <v>0</v>
      </c>
      <c r="AH16">
        <v>8.64</v>
      </c>
      <c r="AI16">
        <v>1</v>
      </c>
      <c r="AJ16">
        <v>1</v>
      </c>
      <c r="AK16">
        <v>1</v>
      </c>
      <c r="AL16">
        <v>32.159999999999997</v>
      </c>
      <c r="AM16">
        <v>4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24.3</v>
      </c>
      <c r="AU16" t="s">
        <v>48</v>
      </c>
      <c r="AV16">
        <v>1</v>
      </c>
      <c r="AW16">
        <v>2</v>
      </c>
      <c r="AX16">
        <v>145016817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ROUND(Y16*Source!I27,9)</f>
        <v>581.25599999999997</v>
      </c>
      <c r="CY16">
        <f>AD16</f>
        <v>277.86</v>
      </c>
      <c r="CZ16">
        <f>AH16</f>
        <v>8.64</v>
      </c>
      <c r="DA16">
        <f>AL16</f>
        <v>32.159999999999997</v>
      </c>
      <c r="DB16">
        <f>ROUND((ROUND(AT16*CZ16,2)*1.15),2)</f>
        <v>241.44</v>
      </c>
      <c r="DC16">
        <f>ROUND((ROUND(AT16*AG16,2)*1.15),2)</f>
        <v>0</v>
      </c>
      <c r="DD16" t="s">
        <v>3</v>
      </c>
      <c r="DE16" t="s">
        <v>3</v>
      </c>
      <c r="DF16">
        <f>ROUND(ROUND(AE16,2)*CX16,2)</f>
        <v>0</v>
      </c>
      <c r="DG16">
        <f>ROUND(ROUND(AF16,2)*CX16,2)</f>
        <v>0</v>
      </c>
      <c r="DH16">
        <f>ROUND(ROUND(AG16,2)*CX16,2)</f>
        <v>0</v>
      </c>
      <c r="DI16">
        <f>ROUND(ROUND(AH16*AL16,2)*CX16,2)</f>
        <v>161507.79</v>
      </c>
      <c r="DJ16">
        <f>DI16</f>
        <v>161507.79</v>
      </c>
      <c r="DK16">
        <v>0</v>
      </c>
      <c r="DL16" t="s">
        <v>3</v>
      </c>
      <c r="DM16">
        <v>0</v>
      </c>
      <c r="DN16" t="s">
        <v>3</v>
      </c>
      <c r="DO16">
        <v>0</v>
      </c>
    </row>
    <row r="17" spans="1:119" x14ac:dyDescent="0.2">
      <c r="A17">
        <f>ROW(Source!A27)</f>
        <v>27</v>
      </c>
      <c r="B17">
        <v>145016711</v>
      </c>
      <c r="C17">
        <v>145016808</v>
      </c>
      <c r="D17">
        <v>140760225</v>
      </c>
      <c r="E17">
        <v>70</v>
      </c>
      <c r="F17">
        <v>1</v>
      </c>
      <c r="G17">
        <v>1</v>
      </c>
      <c r="H17">
        <v>1</v>
      </c>
      <c r="I17" t="s">
        <v>295</v>
      </c>
      <c r="J17" t="s">
        <v>3</v>
      </c>
      <c r="K17" t="s">
        <v>296</v>
      </c>
      <c r="L17">
        <v>1191</v>
      </c>
      <c r="N17">
        <v>1013</v>
      </c>
      <c r="O17" t="s">
        <v>288</v>
      </c>
      <c r="P17" t="s">
        <v>288</v>
      </c>
      <c r="Q17">
        <v>1</v>
      </c>
      <c r="W17">
        <v>0</v>
      </c>
      <c r="X17">
        <v>-1417349443</v>
      </c>
      <c r="Y17">
        <f>(AT17*1.25)</f>
        <v>2.4249999999999998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32.159999999999997</v>
      </c>
      <c r="AL17">
        <v>1</v>
      </c>
      <c r="AM17">
        <v>4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1.94</v>
      </c>
      <c r="AU17" t="s">
        <v>47</v>
      </c>
      <c r="AV17">
        <v>2</v>
      </c>
      <c r="AW17">
        <v>2</v>
      </c>
      <c r="AX17">
        <v>145016818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ROUND(Y17*Source!I27,9)</f>
        <v>50.44</v>
      </c>
      <c r="CY17">
        <f>AD17</f>
        <v>0</v>
      </c>
      <c r="CZ17">
        <f>AH17</f>
        <v>0</v>
      </c>
      <c r="DA17">
        <f>AL17</f>
        <v>1</v>
      </c>
      <c r="DB17">
        <f>ROUND((ROUND(AT17*CZ17,2)*1.25),2)</f>
        <v>0</v>
      </c>
      <c r="DC17">
        <f>ROUND((ROUND(AT17*AG17,2)*1.25),2)</f>
        <v>0</v>
      </c>
      <c r="DD17" t="s">
        <v>3</v>
      </c>
      <c r="DE17" t="s">
        <v>3</v>
      </c>
      <c r="DF17">
        <f>ROUND(ROUND(AE17,2)*CX17,2)</f>
        <v>0</v>
      </c>
      <c r="DG17">
        <f>ROUND(ROUND(AF17,2)*CX17,2)</f>
        <v>0</v>
      </c>
      <c r="DH17">
        <f>ROUND(ROUND(AG17*AK17,2)*CX17,2)</f>
        <v>0</v>
      </c>
      <c r="DI17">
        <f t="shared" ref="DI17:DI23" si="2">ROUND(ROUND(AH17,2)*CX17,2)</f>
        <v>0</v>
      </c>
      <c r="DJ17">
        <f>DI17</f>
        <v>0</v>
      </c>
      <c r="DK17">
        <v>0</v>
      </c>
      <c r="DL17" t="s">
        <v>3</v>
      </c>
      <c r="DM17">
        <v>0</v>
      </c>
      <c r="DN17" t="s">
        <v>3</v>
      </c>
      <c r="DO17">
        <v>0</v>
      </c>
    </row>
    <row r="18" spans="1:119" x14ac:dyDescent="0.2">
      <c r="A18">
        <f>ROW(Source!A27)</f>
        <v>27</v>
      </c>
      <c r="B18">
        <v>145016711</v>
      </c>
      <c r="C18">
        <v>145016808</v>
      </c>
      <c r="D18">
        <v>140922893</v>
      </c>
      <c r="E18">
        <v>1</v>
      </c>
      <c r="F18">
        <v>1</v>
      </c>
      <c r="G18">
        <v>1</v>
      </c>
      <c r="H18">
        <v>2</v>
      </c>
      <c r="I18" t="s">
        <v>297</v>
      </c>
      <c r="J18" t="s">
        <v>298</v>
      </c>
      <c r="K18" t="s">
        <v>299</v>
      </c>
      <c r="L18">
        <v>1367</v>
      </c>
      <c r="N18">
        <v>1011</v>
      </c>
      <c r="O18" t="s">
        <v>300</v>
      </c>
      <c r="P18" t="s">
        <v>300</v>
      </c>
      <c r="Q18">
        <v>1</v>
      </c>
      <c r="W18">
        <v>0</v>
      </c>
      <c r="X18">
        <v>-130837057</v>
      </c>
      <c r="Y18">
        <f>(AT18*1.25)</f>
        <v>0.85000000000000009</v>
      </c>
      <c r="AA18">
        <v>0</v>
      </c>
      <c r="AB18">
        <v>1073.95</v>
      </c>
      <c r="AC18">
        <v>434.16</v>
      </c>
      <c r="AD18">
        <v>0</v>
      </c>
      <c r="AE18">
        <v>0</v>
      </c>
      <c r="AF18">
        <v>86.4</v>
      </c>
      <c r="AG18">
        <v>13.5</v>
      </c>
      <c r="AH18">
        <v>0</v>
      </c>
      <c r="AI18">
        <v>1</v>
      </c>
      <c r="AJ18">
        <v>12.43</v>
      </c>
      <c r="AK18">
        <v>32.159999999999997</v>
      </c>
      <c r="AL18">
        <v>1</v>
      </c>
      <c r="AM18">
        <v>4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0.68</v>
      </c>
      <c r="AU18" t="s">
        <v>47</v>
      </c>
      <c r="AV18">
        <v>0</v>
      </c>
      <c r="AW18">
        <v>2</v>
      </c>
      <c r="AX18">
        <v>145016819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ROUND(Y18*Source!I27,9)</f>
        <v>17.68</v>
      </c>
      <c r="CY18">
        <f>AB18</f>
        <v>1073.95</v>
      </c>
      <c r="CZ18">
        <f>AF18</f>
        <v>86.4</v>
      </c>
      <c r="DA18">
        <f>AJ18</f>
        <v>12.43</v>
      </c>
      <c r="DB18">
        <f>ROUND((ROUND(AT18*CZ18,2)*1.25),2)</f>
        <v>73.44</v>
      </c>
      <c r="DC18">
        <f>ROUND((ROUND(AT18*AG18,2)*1.25),2)</f>
        <v>11.48</v>
      </c>
      <c r="DD18" t="s">
        <v>3</v>
      </c>
      <c r="DE18" t="s">
        <v>3</v>
      </c>
      <c r="DF18">
        <f>ROUND(ROUND(AE18,2)*CX18,2)</f>
        <v>0</v>
      </c>
      <c r="DG18">
        <f>ROUND(ROUND(AF18*AJ18,2)*CX18,2)</f>
        <v>18987.439999999999</v>
      </c>
      <c r="DH18">
        <f>ROUND(ROUND(AG18*AK18,2)*CX18,2)</f>
        <v>7675.95</v>
      </c>
      <c r="DI18">
        <f t="shared" si="2"/>
        <v>0</v>
      </c>
      <c r="DJ18">
        <f>DG18</f>
        <v>18987.439999999999</v>
      </c>
      <c r="DK18">
        <v>0</v>
      </c>
      <c r="DL18" t="s">
        <v>3</v>
      </c>
      <c r="DM18">
        <v>0</v>
      </c>
      <c r="DN18" t="s">
        <v>3</v>
      </c>
      <c r="DO18">
        <v>0</v>
      </c>
    </row>
    <row r="19" spans="1:119" x14ac:dyDescent="0.2">
      <c r="A19">
        <f>ROW(Source!A27)</f>
        <v>27</v>
      </c>
      <c r="B19">
        <v>145016711</v>
      </c>
      <c r="C19">
        <v>145016808</v>
      </c>
      <c r="D19">
        <v>140923105</v>
      </c>
      <c r="E19">
        <v>1</v>
      </c>
      <c r="F19">
        <v>1</v>
      </c>
      <c r="G19">
        <v>1</v>
      </c>
      <c r="H19">
        <v>2</v>
      </c>
      <c r="I19" t="s">
        <v>301</v>
      </c>
      <c r="J19" t="s">
        <v>302</v>
      </c>
      <c r="K19" t="s">
        <v>303</v>
      </c>
      <c r="L19">
        <v>1367</v>
      </c>
      <c r="N19">
        <v>1011</v>
      </c>
      <c r="O19" t="s">
        <v>300</v>
      </c>
      <c r="P19" t="s">
        <v>300</v>
      </c>
      <c r="Q19">
        <v>1</v>
      </c>
      <c r="W19">
        <v>0</v>
      </c>
      <c r="X19">
        <v>-896236776</v>
      </c>
      <c r="Y19">
        <f>(AT19*1.25)</f>
        <v>1.575</v>
      </c>
      <c r="AA19">
        <v>0</v>
      </c>
      <c r="AB19">
        <v>1118.58</v>
      </c>
      <c r="AC19">
        <v>323.52999999999997</v>
      </c>
      <c r="AD19">
        <v>0</v>
      </c>
      <c r="AE19">
        <v>0</v>
      </c>
      <c r="AF19">
        <v>89.99</v>
      </c>
      <c r="AG19">
        <v>10.06</v>
      </c>
      <c r="AH19">
        <v>0</v>
      </c>
      <c r="AI19">
        <v>1</v>
      </c>
      <c r="AJ19">
        <v>12.43</v>
      </c>
      <c r="AK19">
        <v>32.159999999999997</v>
      </c>
      <c r="AL19">
        <v>1</v>
      </c>
      <c r="AM19">
        <v>4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1.26</v>
      </c>
      <c r="AU19" t="s">
        <v>47</v>
      </c>
      <c r="AV19">
        <v>0</v>
      </c>
      <c r="AW19">
        <v>2</v>
      </c>
      <c r="AX19">
        <v>145016820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ROUND(Y19*Source!I27,9)</f>
        <v>32.76</v>
      </c>
      <c r="CY19">
        <f>AB19</f>
        <v>1118.58</v>
      </c>
      <c r="CZ19">
        <f>AF19</f>
        <v>89.99</v>
      </c>
      <c r="DA19">
        <f>AJ19</f>
        <v>12.43</v>
      </c>
      <c r="DB19">
        <f>ROUND((ROUND(AT19*CZ19,2)*1.25),2)</f>
        <v>141.74</v>
      </c>
      <c r="DC19">
        <f>ROUND((ROUND(AT19*AG19,2)*1.25),2)</f>
        <v>15.85</v>
      </c>
      <c r="DD19" t="s">
        <v>3</v>
      </c>
      <c r="DE19" t="s">
        <v>3</v>
      </c>
      <c r="DF19">
        <f>ROUND(ROUND(AE19,2)*CX19,2)</f>
        <v>0</v>
      </c>
      <c r="DG19">
        <f>ROUND(ROUND(AF19*AJ19,2)*CX19,2)</f>
        <v>36644.68</v>
      </c>
      <c r="DH19">
        <f>ROUND(ROUND(AG19*AK19,2)*CX19,2)</f>
        <v>10598.84</v>
      </c>
      <c r="DI19">
        <f t="shared" si="2"/>
        <v>0</v>
      </c>
      <c r="DJ19">
        <f>DG19</f>
        <v>36644.68</v>
      </c>
      <c r="DK19">
        <v>0</v>
      </c>
      <c r="DL19" t="s">
        <v>3</v>
      </c>
      <c r="DM19">
        <v>0</v>
      </c>
      <c r="DN19" t="s">
        <v>3</v>
      </c>
      <c r="DO19">
        <v>0</v>
      </c>
    </row>
    <row r="20" spans="1:119" x14ac:dyDescent="0.2">
      <c r="A20">
        <f>ROW(Source!A27)</f>
        <v>27</v>
      </c>
      <c r="B20">
        <v>145016711</v>
      </c>
      <c r="C20">
        <v>145016808</v>
      </c>
      <c r="D20">
        <v>140923250</v>
      </c>
      <c r="E20">
        <v>1</v>
      </c>
      <c r="F20">
        <v>1</v>
      </c>
      <c r="G20">
        <v>1</v>
      </c>
      <c r="H20">
        <v>2</v>
      </c>
      <c r="I20" t="s">
        <v>304</v>
      </c>
      <c r="J20" t="s">
        <v>305</v>
      </c>
      <c r="K20" t="s">
        <v>306</v>
      </c>
      <c r="L20">
        <v>1367</v>
      </c>
      <c r="N20">
        <v>1011</v>
      </c>
      <c r="O20" t="s">
        <v>300</v>
      </c>
      <c r="P20" t="s">
        <v>300</v>
      </c>
      <c r="Q20">
        <v>1</v>
      </c>
      <c r="W20">
        <v>0</v>
      </c>
      <c r="X20">
        <v>-1841954318</v>
      </c>
      <c r="Y20">
        <f>(AT20*1.25)</f>
        <v>2.8624999999999998</v>
      </c>
      <c r="AA20">
        <v>0</v>
      </c>
      <c r="AB20">
        <v>96.58</v>
      </c>
      <c r="AC20">
        <v>0</v>
      </c>
      <c r="AD20">
        <v>0</v>
      </c>
      <c r="AE20">
        <v>0</v>
      </c>
      <c r="AF20">
        <v>7.77</v>
      </c>
      <c r="AG20">
        <v>0</v>
      </c>
      <c r="AH20">
        <v>0</v>
      </c>
      <c r="AI20">
        <v>1</v>
      </c>
      <c r="AJ20">
        <v>12.43</v>
      </c>
      <c r="AK20">
        <v>32.159999999999997</v>
      </c>
      <c r="AL20">
        <v>1</v>
      </c>
      <c r="AM20">
        <v>4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2.29</v>
      </c>
      <c r="AU20" t="s">
        <v>47</v>
      </c>
      <c r="AV20">
        <v>0</v>
      </c>
      <c r="AW20">
        <v>2</v>
      </c>
      <c r="AX20">
        <v>145016821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ROUND(Y20*Source!I27,9)</f>
        <v>59.54</v>
      </c>
      <c r="CY20">
        <f>AB20</f>
        <v>96.58</v>
      </c>
      <c r="CZ20">
        <f>AF20</f>
        <v>7.77</v>
      </c>
      <c r="DA20">
        <f>AJ20</f>
        <v>12.43</v>
      </c>
      <c r="DB20">
        <f>ROUND((ROUND(AT20*CZ20,2)*1.25),2)</f>
        <v>22.24</v>
      </c>
      <c r="DC20">
        <f>ROUND((ROUND(AT20*AG20,2)*1.25),2)</f>
        <v>0</v>
      </c>
      <c r="DD20" t="s">
        <v>3</v>
      </c>
      <c r="DE20" t="s">
        <v>3</v>
      </c>
      <c r="DF20">
        <f>ROUND(ROUND(AE20,2)*CX20,2)</f>
        <v>0</v>
      </c>
      <c r="DG20">
        <f>ROUND(ROUND(AF20*AJ20,2)*CX20,2)</f>
        <v>5750.37</v>
      </c>
      <c r="DH20">
        <f>ROUND(ROUND(AG20*AK20,2)*CX20,2)</f>
        <v>0</v>
      </c>
      <c r="DI20">
        <f t="shared" si="2"/>
        <v>0</v>
      </c>
      <c r="DJ20">
        <f>DG20</f>
        <v>5750.37</v>
      </c>
      <c r="DK20">
        <v>0</v>
      </c>
      <c r="DL20" t="s">
        <v>3</v>
      </c>
      <c r="DM20">
        <v>0</v>
      </c>
      <c r="DN20" t="s">
        <v>3</v>
      </c>
      <c r="DO20">
        <v>0</v>
      </c>
    </row>
    <row r="21" spans="1:119" x14ac:dyDescent="0.2">
      <c r="A21">
        <f>ROW(Source!A27)</f>
        <v>27</v>
      </c>
      <c r="B21">
        <v>145016711</v>
      </c>
      <c r="C21">
        <v>145016808</v>
      </c>
      <c r="D21">
        <v>140772680</v>
      </c>
      <c r="E21">
        <v>1</v>
      </c>
      <c r="F21">
        <v>1</v>
      </c>
      <c r="G21">
        <v>1</v>
      </c>
      <c r="H21">
        <v>3</v>
      </c>
      <c r="I21" t="s">
        <v>307</v>
      </c>
      <c r="J21" t="s">
        <v>308</v>
      </c>
      <c r="K21" t="s">
        <v>309</v>
      </c>
      <c r="L21">
        <v>1339</v>
      </c>
      <c r="N21">
        <v>1007</v>
      </c>
      <c r="O21" t="s">
        <v>58</v>
      </c>
      <c r="P21" t="s">
        <v>58</v>
      </c>
      <c r="Q21">
        <v>1</v>
      </c>
      <c r="W21">
        <v>0</v>
      </c>
      <c r="X21">
        <v>-143474561</v>
      </c>
      <c r="Y21">
        <f>AT21</f>
        <v>3.85</v>
      </c>
      <c r="AA21">
        <v>21.91</v>
      </c>
      <c r="AB21">
        <v>0</v>
      </c>
      <c r="AC21">
        <v>0</v>
      </c>
      <c r="AD21">
        <v>0</v>
      </c>
      <c r="AE21">
        <v>2.44</v>
      </c>
      <c r="AF21">
        <v>0</v>
      </c>
      <c r="AG21">
        <v>0</v>
      </c>
      <c r="AH21">
        <v>0</v>
      </c>
      <c r="AI21">
        <v>8.98</v>
      </c>
      <c r="AJ21">
        <v>1</v>
      </c>
      <c r="AK21">
        <v>1</v>
      </c>
      <c r="AL21">
        <v>1</v>
      </c>
      <c r="AM21">
        <v>4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3.85</v>
      </c>
      <c r="AU21" t="s">
        <v>3</v>
      </c>
      <c r="AV21">
        <v>0</v>
      </c>
      <c r="AW21">
        <v>2</v>
      </c>
      <c r="AX21">
        <v>145016822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ROUND(Y21*Source!I27,9)</f>
        <v>80.08</v>
      </c>
      <c r="CY21">
        <f>AA21</f>
        <v>21.91</v>
      </c>
      <c r="CZ21">
        <f>AE21</f>
        <v>2.44</v>
      </c>
      <c r="DA21">
        <f>AI21</f>
        <v>8.98</v>
      </c>
      <c r="DB21">
        <f>ROUND(ROUND(AT21*CZ21,2),2)</f>
        <v>9.39</v>
      </c>
      <c r="DC21">
        <f>ROUND(ROUND(AT21*AG21,2),2)</f>
        <v>0</v>
      </c>
      <c r="DD21" t="s">
        <v>3</v>
      </c>
      <c r="DE21" t="s">
        <v>3</v>
      </c>
      <c r="DF21">
        <f>ROUND(ROUND(AE21*AI21,2)*CX21,2)</f>
        <v>1754.55</v>
      </c>
      <c r="DG21">
        <f>ROUND(ROUND(AF21,2)*CX21,2)</f>
        <v>0</v>
      </c>
      <c r="DH21">
        <f>ROUND(ROUND(AG21,2)*CX21,2)</f>
        <v>0</v>
      </c>
      <c r="DI21">
        <f t="shared" si="2"/>
        <v>0</v>
      </c>
      <c r="DJ21">
        <f>DF21</f>
        <v>1754.55</v>
      </c>
      <c r="DK21">
        <v>0</v>
      </c>
      <c r="DL21" t="s">
        <v>3</v>
      </c>
      <c r="DM21">
        <v>0</v>
      </c>
      <c r="DN21" t="s">
        <v>3</v>
      </c>
      <c r="DO21">
        <v>0</v>
      </c>
    </row>
    <row r="22" spans="1:119" x14ac:dyDescent="0.2">
      <c r="A22">
        <f>ROW(Source!A27)</f>
        <v>27</v>
      </c>
      <c r="B22">
        <v>145016711</v>
      </c>
      <c r="C22">
        <v>145016808</v>
      </c>
      <c r="D22">
        <v>140761117</v>
      </c>
      <c r="E22">
        <v>70</v>
      </c>
      <c r="F22">
        <v>1</v>
      </c>
      <c r="G22">
        <v>1</v>
      </c>
      <c r="H22">
        <v>3</v>
      </c>
      <c r="I22" t="s">
        <v>310</v>
      </c>
      <c r="J22" t="s">
        <v>3</v>
      </c>
      <c r="K22" t="s">
        <v>311</v>
      </c>
      <c r="L22">
        <v>1339</v>
      </c>
      <c r="N22">
        <v>1007</v>
      </c>
      <c r="O22" t="s">
        <v>58</v>
      </c>
      <c r="P22" t="s">
        <v>58</v>
      </c>
      <c r="Q22">
        <v>1</v>
      </c>
      <c r="W22">
        <v>0</v>
      </c>
      <c r="X22">
        <v>-2113302258</v>
      </c>
      <c r="Y22">
        <f>AT22</f>
        <v>1.53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8.98</v>
      </c>
      <c r="AJ22">
        <v>1</v>
      </c>
      <c r="AK22">
        <v>1</v>
      </c>
      <c r="AL22">
        <v>1</v>
      </c>
      <c r="AM22">
        <v>4</v>
      </c>
      <c r="AN22">
        <v>0</v>
      </c>
      <c r="AO22">
        <v>0</v>
      </c>
      <c r="AP22">
        <v>1</v>
      </c>
      <c r="AQ22">
        <v>0</v>
      </c>
      <c r="AR22">
        <v>0</v>
      </c>
      <c r="AS22" t="s">
        <v>3</v>
      </c>
      <c r="AT22">
        <v>1.53</v>
      </c>
      <c r="AU22" t="s">
        <v>3</v>
      </c>
      <c r="AV22">
        <v>0</v>
      </c>
      <c r="AW22">
        <v>2</v>
      </c>
      <c r="AX22">
        <v>145016823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ROUND(Y22*Source!I27,9)</f>
        <v>31.824000000000002</v>
      </c>
      <c r="CY22">
        <f>AA22</f>
        <v>0</v>
      </c>
      <c r="CZ22">
        <f>AE22</f>
        <v>0</v>
      </c>
      <c r="DA22">
        <f>AI22</f>
        <v>8.98</v>
      </c>
      <c r="DB22">
        <f>ROUND(ROUND(AT22*CZ22,2),2)</f>
        <v>0</v>
      </c>
      <c r="DC22">
        <f>ROUND(ROUND(AT22*AG22,2),2)</f>
        <v>0</v>
      </c>
      <c r="DD22" t="s">
        <v>3</v>
      </c>
      <c r="DE22" t="s">
        <v>3</v>
      </c>
      <c r="DF22">
        <f>ROUND(ROUND(AE22*AI22,2)*CX22,2)</f>
        <v>0</v>
      </c>
      <c r="DG22">
        <f>ROUND(ROUND(AF22,2)*CX22,2)</f>
        <v>0</v>
      </c>
      <c r="DH22">
        <f>ROUND(ROUND(AG22,2)*CX22,2)</f>
        <v>0</v>
      </c>
      <c r="DI22">
        <f t="shared" si="2"/>
        <v>0</v>
      </c>
      <c r="DJ22">
        <f>DF22</f>
        <v>0</v>
      </c>
      <c r="DK22">
        <v>0</v>
      </c>
      <c r="DL22" t="s">
        <v>3</v>
      </c>
      <c r="DM22">
        <v>0</v>
      </c>
      <c r="DN22" t="s">
        <v>3</v>
      </c>
      <c r="DO22">
        <v>0</v>
      </c>
    </row>
    <row r="23" spans="1:119" x14ac:dyDescent="0.2">
      <c r="A23">
        <f>ROW(Source!A27)</f>
        <v>27</v>
      </c>
      <c r="B23">
        <v>145016711</v>
      </c>
      <c r="C23">
        <v>145016808</v>
      </c>
      <c r="D23">
        <v>140798958</v>
      </c>
      <c r="E23">
        <v>1</v>
      </c>
      <c r="F23">
        <v>1</v>
      </c>
      <c r="G23">
        <v>1</v>
      </c>
      <c r="H23">
        <v>3</v>
      </c>
      <c r="I23" t="s">
        <v>312</v>
      </c>
      <c r="J23" t="s">
        <v>313</v>
      </c>
      <c r="K23" t="s">
        <v>314</v>
      </c>
      <c r="L23">
        <v>1327</v>
      </c>
      <c r="N23">
        <v>1005</v>
      </c>
      <c r="O23" t="s">
        <v>74</v>
      </c>
      <c r="P23" t="s">
        <v>74</v>
      </c>
      <c r="Q23">
        <v>1</v>
      </c>
      <c r="W23">
        <v>0</v>
      </c>
      <c r="X23">
        <v>1282098800</v>
      </c>
      <c r="Y23">
        <f>AT23</f>
        <v>4.4000000000000004</v>
      </c>
      <c r="AA23">
        <v>55.68</v>
      </c>
      <c r="AB23">
        <v>0</v>
      </c>
      <c r="AC23">
        <v>0</v>
      </c>
      <c r="AD23">
        <v>0</v>
      </c>
      <c r="AE23">
        <v>6.2</v>
      </c>
      <c r="AF23">
        <v>0</v>
      </c>
      <c r="AG23">
        <v>0</v>
      </c>
      <c r="AH23">
        <v>0</v>
      </c>
      <c r="AI23">
        <v>8.98</v>
      </c>
      <c r="AJ23">
        <v>1</v>
      </c>
      <c r="AK23">
        <v>1</v>
      </c>
      <c r="AL23">
        <v>1</v>
      </c>
      <c r="AM23">
        <v>4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4.4000000000000004</v>
      </c>
      <c r="AU23" t="s">
        <v>3</v>
      </c>
      <c r="AV23">
        <v>0</v>
      </c>
      <c r="AW23">
        <v>2</v>
      </c>
      <c r="AX23">
        <v>145016824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ROUND(Y23*Source!I27,9)</f>
        <v>91.52</v>
      </c>
      <c r="CY23">
        <f>AA23</f>
        <v>55.68</v>
      </c>
      <c r="CZ23">
        <f>AE23</f>
        <v>6.2</v>
      </c>
      <c r="DA23">
        <f>AI23</f>
        <v>8.98</v>
      </c>
      <c r="DB23">
        <f>ROUND(ROUND(AT23*CZ23,2),2)</f>
        <v>27.28</v>
      </c>
      <c r="DC23">
        <f>ROUND(ROUND(AT23*AG23,2),2)</f>
        <v>0</v>
      </c>
      <c r="DD23" t="s">
        <v>3</v>
      </c>
      <c r="DE23" t="s">
        <v>3</v>
      </c>
      <c r="DF23">
        <f>ROUND(ROUND(AE23*AI23,2)*CX23,2)</f>
        <v>5095.83</v>
      </c>
      <c r="DG23">
        <f>ROUND(ROUND(AF23,2)*CX23,2)</f>
        <v>0</v>
      </c>
      <c r="DH23">
        <f>ROUND(ROUND(AG23,2)*CX23,2)</f>
        <v>0</v>
      </c>
      <c r="DI23">
        <f t="shared" si="2"/>
        <v>0</v>
      </c>
      <c r="DJ23">
        <f>DF23</f>
        <v>5095.83</v>
      </c>
      <c r="DK23">
        <v>0</v>
      </c>
      <c r="DL23" t="s">
        <v>3</v>
      </c>
      <c r="DM23">
        <v>0</v>
      </c>
      <c r="DN23" t="s">
        <v>3</v>
      </c>
      <c r="DO23">
        <v>0</v>
      </c>
    </row>
    <row r="24" spans="1:119" x14ac:dyDescent="0.2">
      <c r="A24">
        <f>ROW(Source!A28)</f>
        <v>28</v>
      </c>
      <c r="B24">
        <v>145016711</v>
      </c>
      <c r="C24">
        <v>145016825</v>
      </c>
      <c r="D24">
        <v>140759982</v>
      </c>
      <c r="E24">
        <v>70</v>
      </c>
      <c r="F24">
        <v>1</v>
      </c>
      <c r="G24">
        <v>1</v>
      </c>
      <c r="H24">
        <v>1</v>
      </c>
      <c r="I24" t="s">
        <v>293</v>
      </c>
      <c r="J24" t="s">
        <v>3</v>
      </c>
      <c r="K24" t="s">
        <v>294</v>
      </c>
      <c r="L24">
        <v>1191</v>
      </c>
      <c r="N24">
        <v>1013</v>
      </c>
      <c r="O24" t="s">
        <v>288</v>
      </c>
      <c r="P24" t="s">
        <v>288</v>
      </c>
      <c r="Q24">
        <v>1</v>
      </c>
      <c r="W24">
        <v>0</v>
      </c>
      <c r="X24">
        <v>-983457869</v>
      </c>
      <c r="Y24">
        <f>((AT24*1.15)*35)</f>
        <v>40.25</v>
      </c>
      <c r="AA24">
        <v>0</v>
      </c>
      <c r="AB24">
        <v>0</v>
      </c>
      <c r="AC24">
        <v>0</v>
      </c>
      <c r="AD24">
        <v>277.86</v>
      </c>
      <c r="AE24">
        <v>0</v>
      </c>
      <c r="AF24">
        <v>0</v>
      </c>
      <c r="AG24">
        <v>0</v>
      </c>
      <c r="AH24">
        <v>8.64</v>
      </c>
      <c r="AI24">
        <v>1</v>
      </c>
      <c r="AJ24">
        <v>1</v>
      </c>
      <c r="AK24">
        <v>1</v>
      </c>
      <c r="AL24">
        <v>32.159999999999997</v>
      </c>
      <c r="AM24">
        <v>4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1</v>
      </c>
      <c r="AU24" t="s">
        <v>54</v>
      </c>
      <c r="AV24">
        <v>1</v>
      </c>
      <c r="AW24">
        <v>2</v>
      </c>
      <c r="AX24">
        <v>145016831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ROUND(Y24*Source!I28,9)</f>
        <v>837.2</v>
      </c>
      <c r="CY24">
        <f>AD24</f>
        <v>277.86</v>
      </c>
      <c r="CZ24">
        <f>AH24</f>
        <v>8.64</v>
      </c>
      <c r="DA24">
        <f>AL24</f>
        <v>32.159999999999997</v>
      </c>
      <c r="DB24">
        <f>ROUND(((ROUND(AT24*CZ24,2)*1.15)*35),2)</f>
        <v>347.76</v>
      </c>
      <c r="DC24">
        <f>ROUND(((ROUND(AT24*AG24,2)*1.15)*35),2)</f>
        <v>0</v>
      </c>
      <c r="DD24" t="s">
        <v>3</v>
      </c>
      <c r="DE24" t="s">
        <v>3</v>
      </c>
      <c r="DF24">
        <f>ROUND(ROUND(AE24,2)*CX24,2)</f>
        <v>0</v>
      </c>
      <c r="DG24">
        <f>ROUND(ROUND(AF24,2)*CX24,2)</f>
        <v>0</v>
      </c>
      <c r="DH24">
        <f>ROUND(ROUND(AG24,2)*CX24,2)</f>
        <v>0</v>
      </c>
      <c r="DI24">
        <f>ROUND(ROUND(AH24*AL24,2)*CX24,2)</f>
        <v>232624.39</v>
      </c>
      <c r="DJ24">
        <f>DI24</f>
        <v>232624.39</v>
      </c>
      <c r="DK24">
        <v>0</v>
      </c>
      <c r="DL24" t="s">
        <v>3</v>
      </c>
      <c r="DM24">
        <v>0</v>
      </c>
      <c r="DN24" t="s">
        <v>3</v>
      </c>
      <c r="DO24">
        <v>0</v>
      </c>
    </row>
    <row r="25" spans="1:119" x14ac:dyDescent="0.2">
      <c r="A25">
        <f>ROW(Source!A28)</f>
        <v>28</v>
      </c>
      <c r="B25">
        <v>145016711</v>
      </c>
      <c r="C25">
        <v>145016825</v>
      </c>
      <c r="D25">
        <v>140760225</v>
      </c>
      <c r="E25">
        <v>70</v>
      </c>
      <c r="F25">
        <v>1</v>
      </c>
      <c r="G25">
        <v>1</v>
      </c>
      <c r="H25">
        <v>1</v>
      </c>
      <c r="I25" t="s">
        <v>295</v>
      </c>
      <c r="J25" t="s">
        <v>3</v>
      </c>
      <c r="K25" t="s">
        <v>296</v>
      </c>
      <c r="L25">
        <v>1191</v>
      </c>
      <c r="N25">
        <v>1013</v>
      </c>
      <c r="O25" t="s">
        <v>288</v>
      </c>
      <c r="P25" t="s">
        <v>288</v>
      </c>
      <c r="Q25">
        <v>1</v>
      </c>
      <c r="W25">
        <v>0</v>
      </c>
      <c r="X25">
        <v>-1417349443</v>
      </c>
      <c r="Y25">
        <f>((AT25*1.25)*35)</f>
        <v>1.3125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32.159999999999997</v>
      </c>
      <c r="AL25">
        <v>1</v>
      </c>
      <c r="AM25">
        <v>4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0.03</v>
      </c>
      <c r="AU25" t="s">
        <v>53</v>
      </c>
      <c r="AV25">
        <v>2</v>
      </c>
      <c r="AW25">
        <v>2</v>
      </c>
      <c r="AX25">
        <v>145016832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ROUND(Y25*Source!I28,9)</f>
        <v>27.3</v>
      </c>
      <c r="CY25">
        <f>AD25</f>
        <v>0</v>
      </c>
      <c r="CZ25">
        <f>AH25</f>
        <v>0</v>
      </c>
      <c r="DA25">
        <f>AL25</f>
        <v>1</v>
      </c>
      <c r="DB25">
        <f>ROUND(((ROUND(AT25*CZ25,2)*1.25)*35),2)</f>
        <v>0</v>
      </c>
      <c r="DC25">
        <f>ROUND(((ROUND(AT25*AG25,2)*1.25)*35),2)</f>
        <v>0</v>
      </c>
      <c r="DD25" t="s">
        <v>3</v>
      </c>
      <c r="DE25" t="s">
        <v>3</v>
      </c>
      <c r="DF25">
        <f>ROUND(ROUND(AE25,2)*CX25,2)</f>
        <v>0</v>
      </c>
      <c r="DG25">
        <f>ROUND(ROUND(AF25,2)*CX25,2)</f>
        <v>0</v>
      </c>
      <c r="DH25">
        <f>ROUND(ROUND(AG25*AK25,2)*CX25,2)</f>
        <v>0</v>
      </c>
      <c r="DI25">
        <f>ROUND(ROUND(AH25,2)*CX25,2)</f>
        <v>0</v>
      </c>
      <c r="DJ25">
        <f>DI25</f>
        <v>0</v>
      </c>
      <c r="DK25">
        <v>0</v>
      </c>
      <c r="DL25" t="s">
        <v>3</v>
      </c>
      <c r="DM25">
        <v>0</v>
      </c>
      <c r="DN25" t="s">
        <v>3</v>
      </c>
      <c r="DO25">
        <v>0</v>
      </c>
    </row>
    <row r="26" spans="1:119" x14ac:dyDescent="0.2">
      <c r="A26">
        <f>ROW(Source!A28)</f>
        <v>28</v>
      </c>
      <c r="B26">
        <v>145016711</v>
      </c>
      <c r="C26">
        <v>145016825</v>
      </c>
      <c r="D26">
        <v>140922893</v>
      </c>
      <c r="E26">
        <v>1</v>
      </c>
      <c r="F26">
        <v>1</v>
      </c>
      <c r="G26">
        <v>1</v>
      </c>
      <c r="H26">
        <v>2</v>
      </c>
      <c r="I26" t="s">
        <v>297</v>
      </c>
      <c r="J26" t="s">
        <v>298</v>
      </c>
      <c r="K26" t="s">
        <v>299</v>
      </c>
      <c r="L26">
        <v>1367</v>
      </c>
      <c r="N26">
        <v>1011</v>
      </c>
      <c r="O26" t="s">
        <v>300</v>
      </c>
      <c r="P26" t="s">
        <v>300</v>
      </c>
      <c r="Q26">
        <v>1</v>
      </c>
      <c r="W26">
        <v>0</v>
      </c>
      <c r="X26">
        <v>-130837057</v>
      </c>
      <c r="Y26">
        <f>((AT26*1.25)*35)</f>
        <v>0.4375</v>
      </c>
      <c r="AA26">
        <v>0</v>
      </c>
      <c r="AB26">
        <v>1073.95</v>
      </c>
      <c r="AC26">
        <v>434.16</v>
      </c>
      <c r="AD26">
        <v>0</v>
      </c>
      <c r="AE26">
        <v>0</v>
      </c>
      <c r="AF26">
        <v>86.4</v>
      </c>
      <c r="AG26">
        <v>13.5</v>
      </c>
      <c r="AH26">
        <v>0</v>
      </c>
      <c r="AI26">
        <v>1</v>
      </c>
      <c r="AJ26">
        <v>12.43</v>
      </c>
      <c r="AK26">
        <v>32.159999999999997</v>
      </c>
      <c r="AL26">
        <v>1</v>
      </c>
      <c r="AM26">
        <v>4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0.01</v>
      </c>
      <c r="AU26" t="s">
        <v>53</v>
      </c>
      <c r="AV26">
        <v>0</v>
      </c>
      <c r="AW26">
        <v>2</v>
      </c>
      <c r="AX26">
        <v>145016833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ROUND(Y26*Source!I28,9)</f>
        <v>9.1</v>
      </c>
      <c r="CY26">
        <f>AB26</f>
        <v>1073.95</v>
      </c>
      <c r="CZ26">
        <f>AF26</f>
        <v>86.4</v>
      </c>
      <c r="DA26">
        <f>AJ26</f>
        <v>12.43</v>
      </c>
      <c r="DB26">
        <f>ROUND(((ROUND(AT26*CZ26,2)*1.25)*35),2)</f>
        <v>37.630000000000003</v>
      </c>
      <c r="DC26">
        <f>ROUND(((ROUND(AT26*AG26,2)*1.25)*35),2)</f>
        <v>6.13</v>
      </c>
      <c r="DD26" t="s">
        <v>3</v>
      </c>
      <c r="DE26" t="s">
        <v>3</v>
      </c>
      <c r="DF26">
        <f>ROUND(ROUND(AE26,2)*CX26,2)</f>
        <v>0</v>
      </c>
      <c r="DG26">
        <f>ROUND(ROUND(AF26*AJ26,2)*CX26,2)</f>
        <v>9772.9500000000007</v>
      </c>
      <c r="DH26">
        <f>ROUND(ROUND(AG26*AK26,2)*CX26,2)</f>
        <v>3950.86</v>
      </c>
      <c r="DI26">
        <f>ROUND(ROUND(AH26,2)*CX26,2)</f>
        <v>0</v>
      </c>
      <c r="DJ26">
        <f>DG26</f>
        <v>9772.9500000000007</v>
      </c>
      <c r="DK26">
        <v>0</v>
      </c>
      <c r="DL26" t="s">
        <v>3</v>
      </c>
      <c r="DM26">
        <v>0</v>
      </c>
      <c r="DN26" t="s">
        <v>3</v>
      </c>
      <c r="DO26">
        <v>0</v>
      </c>
    </row>
    <row r="27" spans="1:119" x14ac:dyDescent="0.2">
      <c r="A27">
        <f>ROW(Source!A28)</f>
        <v>28</v>
      </c>
      <c r="B27">
        <v>145016711</v>
      </c>
      <c r="C27">
        <v>145016825</v>
      </c>
      <c r="D27">
        <v>140923105</v>
      </c>
      <c r="E27">
        <v>1</v>
      </c>
      <c r="F27">
        <v>1</v>
      </c>
      <c r="G27">
        <v>1</v>
      </c>
      <c r="H27">
        <v>2</v>
      </c>
      <c r="I27" t="s">
        <v>301</v>
      </c>
      <c r="J27" t="s">
        <v>302</v>
      </c>
      <c r="K27" t="s">
        <v>303</v>
      </c>
      <c r="L27">
        <v>1367</v>
      </c>
      <c r="N27">
        <v>1011</v>
      </c>
      <c r="O27" t="s">
        <v>300</v>
      </c>
      <c r="P27" t="s">
        <v>300</v>
      </c>
      <c r="Q27">
        <v>1</v>
      </c>
      <c r="W27">
        <v>0</v>
      </c>
      <c r="X27">
        <v>-896236776</v>
      </c>
      <c r="Y27">
        <f>((AT27*1.25)*35)</f>
        <v>0.875</v>
      </c>
      <c r="AA27">
        <v>0</v>
      </c>
      <c r="AB27">
        <v>1118.58</v>
      </c>
      <c r="AC27">
        <v>323.52999999999997</v>
      </c>
      <c r="AD27">
        <v>0</v>
      </c>
      <c r="AE27">
        <v>0</v>
      </c>
      <c r="AF27">
        <v>89.99</v>
      </c>
      <c r="AG27">
        <v>10.06</v>
      </c>
      <c r="AH27">
        <v>0</v>
      </c>
      <c r="AI27">
        <v>1</v>
      </c>
      <c r="AJ27">
        <v>12.43</v>
      </c>
      <c r="AK27">
        <v>32.159999999999997</v>
      </c>
      <c r="AL27">
        <v>1</v>
      </c>
      <c r="AM27">
        <v>4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0.02</v>
      </c>
      <c r="AU27" t="s">
        <v>53</v>
      </c>
      <c r="AV27">
        <v>0</v>
      </c>
      <c r="AW27">
        <v>2</v>
      </c>
      <c r="AX27">
        <v>145016834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ROUND(Y27*Source!I28,9)</f>
        <v>18.2</v>
      </c>
      <c r="CY27">
        <f>AB27</f>
        <v>1118.58</v>
      </c>
      <c r="CZ27">
        <f>AF27</f>
        <v>89.99</v>
      </c>
      <c r="DA27">
        <f>AJ27</f>
        <v>12.43</v>
      </c>
      <c r="DB27">
        <f>ROUND(((ROUND(AT27*CZ27,2)*1.25)*35),2)</f>
        <v>78.75</v>
      </c>
      <c r="DC27">
        <f>ROUND(((ROUND(AT27*AG27,2)*1.25)*35),2)</f>
        <v>8.75</v>
      </c>
      <c r="DD27" t="s">
        <v>3</v>
      </c>
      <c r="DE27" t="s">
        <v>3</v>
      </c>
      <c r="DF27">
        <f>ROUND(ROUND(AE27,2)*CX27,2)</f>
        <v>0</v>
      </c>
      <c r="DG27">
        <f>ROUND(ROUND(AF27*AJ27,2)*CX27,2)</f>
        <v>20358.16</v>
      </c>
      <c r="DH27">
        <f>ROUND(ROUND(AG27*AK27,2)*CX27,2)</f>
        <v>5888.25</v>
      </c>
      <c r="DI27">
        <f>ROUND(ROUND(AH27,2)*CX27,2)</f>
        <v>0</v>
      </c>
      <c r="DJ27">
        <f>DG27</f>
        <v>20358.16</v>
      </c>
      <c r="DK27">
        <v>0</v>
      </c>
      <c r="DL27" t="s">
        <v>3</v>
      </c>
      <c r="DM27">
        <v>0</v>
      </c>
      <c r="DN27" t="s">
        <v>3</v>
      </c>
      <c r="DO27">
        <v>0</v>
      </c>
    </row>
    <row r="28" spans="1:119" x14ac:dyDescent="0.2">
      <c r="A28">
        <f>ROW(Source!A28)</f>
        <v>28</v>
      </c>
      <c r="B28">
        <v>145016711</v>
      </c>
      <c r="C28">
        <v>145016825</v>
      </c>
      <c r="D28">
        <v>140761117</v>
      </c>
      <c r="E28">
        <v>70</v>
      </c>
      <c r="F28">
        <v>1</v>
      </c>
      <c r="G28">
        <v>1</v>
      </c>
      <c r="H28">
        <v>3</v>
      </c>
      <c r="I28" t="s">
        <v>310</v>
      </c>
      <c r="J28" t="s">
        <v>3</v>
      </c>
      <c r="K28" t="s">
        <v>311</v>
      </c>
      <c r="L28">
        <v>1339</v>
      </c>
      <c r="N28">
        <v>1007</v>
      </c>
      <c r="O28" t="s">
        <v>58</v>
      </c>
      <c r="P28" t="s">
        <v>58</v>
      </c>
      <c r="Q28">
        <v>1</v>
      </c>
      <c r="W28">
        <v>0</v>
      </c>
      <c r="X28">
        <v>-2113302258</v>
      </c>
      <c r="Y28">
        <f>(AT28*35)</f>
        <v>3.57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8.98</v>
      </c>
      <c r="AJ28">
        <v>1</v>
      </c>
      <c r="AK28">
        <v>1</v>
      </c>
      <c r="AL28">
        <v>1</v>
      </c>
      <c r="AM28">
        <v>4</v>
      </c>
      <c r="AN28">
        <v>0</v>
      </c>
      <c r="AO28">
        <v>0</v>
      </c>
      <c r="AP28">
        <v>1</v>
      </c>
      <c r="AQ28">
        <v>0</v>
      </c>
      <c r="AR28">
        <v>0</v>
      </c>
      <c r="AS28" t="s">
        <v>3</v>
      </c>
      <c r="AT28">
        <v>0.10199999999999999</v>
      </c>
      <c r="AU28" t="s">
        <v>44</v>
      </c>
      <c r="AV28">
        <v>0</v>
      </c>
      <c r="AW28">
        <v>2</v>
      </c>
      <c r="AX28">
        <v>145016835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ROUND(Y28*Source!I28,9)</f>
        <v>74.256</v>
      </c>
      <c r="CY28">
        <f>AA28</f>
        <v>0</v>
      </c>
      <c r="CZ28">
        <f>AE28</f>
        <v>0</v>
      </c>
      <c r="DA28">
        <f>AI28</f>
        <v>8.98</v>
      </c>
      <c r="DB28">
        <f>ROUND((ROUND(AT28*CZ28,2)*35),2)</f>
        <v>0</v>
      </c>
      <c r="DC28">
        <f>ROUND((ROUND(AT28*AG28,2)*35),2)</f>
        <v>0</v>
      </c>
      <c r="DD28" t="s">
        <v>3</v>
      </c>
      <c r="DE28" t="s">
        <v>3</v>
      </c>
      <c r="DF28">
        <f>ROUND(ROUND(AE28*AI28,2)*CX28,2)</f>
        <v>0</v>
      </c>
      <c r="DG28">
        <f>ROUND(ROUND(AF28,2)*CX28,2)</f>
        <v>0</v>
      </c>
      <c r="DH28">
        <f>ROUND(ROUND(AG28,2)*CX28,2)</f>
        <v>0</v>
      </c>
      <c r="DI28">
        <f>ROUND(ROUND(AH28,2)*CX28,2)</f>
        <v>0</v>
      </c>
      <c r="DJ28">
        <f>DF28</f>
        <v>0</v>
      </c>
      <c r="DK28">
        <v>0</v>
      </c>
      <c r="DL28" t="s">
        <v>3</v>
      </c>
      <c r="DM28">
        <v>0</v>
      </c>
      <c r="DN28" t="s">
        <v>3</v>
      </c>
      <c r="DO28">
        <v>0</v>
      </c>
    </row>
    <row r="29" spans="1:119" x14ac:dyDescent="0.2">
      <c r="A29">
        <f>ROW(Source!A30)</f>
        <v>30</v>
      </c>
      <c r="B29">
        <v>145016711</v>
      </c>
      <c r="C29">
        <v>145025527</v>
      </c>
      <c r="D29">
        <v>140755436</v>
      </c>
      <c r="E29">
        <v>70</v>
      </c>
      <c r="F29">
        <v>1</v>
      </c>
      <c r="G29">
        <v>1</v>
      </c>
      <c r="H29">
        <v>1</v>
      </c>
      <c r="I29" t="s">
        <v>315</v>
      </c>
      <c r="J29" t="s">
        <v>3</v>
      </c>
      <c r="K29" t="s">
        <v>316</v>
      </c>
      <c r="L29">
        <v>1191</v>
      </c>
      <c r="N29">
        <v>1013</v>
      </c>
      <c r="O29" t="s">
        <v>288</v>
      </c>
      <c r="P29" t="s">
        <v>288</v>
      </c>
      <c r="Q29">
        <v>1</v>
      </c>
      <c r="W29">
        <v>0</v>
      </c>
      <c r="X29">
        <v>-1759674247</v>
      </c>
      <c r="Y29">
        <f>(AT29*1.15)</f>
        <v>13.339999999999998</v>
      </c>
      <c r="AA29">
        <v>0</v>
      </c>
      <c r="AB29">
        <v>0</v>
      </c>
      <c r="AC29">
        <v>0</v>
      </c>
      <c r="AD29">
        <v>284.94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32.159999999999997</v>
      </c>
      <c r="AM29">
        <v>4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11.6</v>
      </c>
      <c r="AU29" t="s">
        <v>48</v>
      </c>
      <c r="AV29">
        <v>1</v>
      </c>
      <c r="AW29">
        <v>2</v>
      </c>
      <c r="AX29">
        <v>145025534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ROUND(Y29*Source!I30,9)</f>
        <v>48.557600000000001</v>
      </c>
      <c r="CY29">
        <f>AD29</f>
        <v>284.94</v>
      </c>
      <c r="CZ29">
        <f>AH29</f>
        <v>8.86</v>
      </c>
      <c r="DA29">
        <f>AL29</f>
        <v>32.159999999999997</v>
      </c>
      <c r="DB29">
        <f>ROUND((ROUND(AT29*CZ29,2)*1.15),2)</f>
        <v>118.2</v>
      </c>
      <c r="DC29">
        <f>ROUND((ROUND(AT29*AG29,2)*1.15),2)</f>
        <v>0</v>
      </c>
      <c r="DD29" t="s">
        <v>3</v>
      </c>
      <c r="DE29" t="s">
        <v>3</v>
      </c>
      <c r="DF29">
        <f>ROUND(ROUND(AE29,2)*CX29,2)</f>
        <v>0</v>
      </c>
      <c r="DG29">
        <f>ROUND(ROUND(AF29,2)*CX29,2)</f>
        <v>0</v>
      </c>
      <c r="DH29">
        <f>ROUND(ROUND(AG29,2)*CX29,2)</f>
        <v>0</v>
      </c>
      <c r="DI29">
        <f>ROUND(ROUND(AH29*AL29,2)*CX29,2)</f>
        <v>13836</v>
      </c>
      <c r="DJ29">
        <f>DI29</f>
        <v>13836</v>
      </c>
      <c r="DK29">
        <v>0</v>
      </c>
      <c r="DL29" t="s">
        <v>3</v>
      </c>
      <c r="DM29">
        <v>0</v>
      </c>
      <c r="DN29" t="s">
        <v>3</v>
      </c>
      <c r="DO29">
        <v>0</v>
      </c>
    </row>
    <row r="30" spans="1:119" x14ac:dyDescent="0.2">
      <c r="A30">
        <f>ROW(Source!A30)</f>
        <v>30</v>
      </c>
      <c r="B30">
        <v>145016711</v>
      </c>
      <c r="C30">
        <v>145025527</v>
      </c>
      <c r="D30">
        <v>140755491</v>
      </c>
      <c r="E30">
        <v>70</v>
      </c>
      <c r="F30">
        <v>1</v>
      </c>
      <c r="G30">
        <v>1</v>
      </c>
      <c r="H30">
        <v>1</v>
      </c>
      <c r="I30" t="s">
        <v>295</v>
      </c>
      <c r="J30" t="s">
        <v>3</v>
      </c>
      <c r="K30" t="s">
        <v>296</v>
      </c>
      <c r="L30">
        <v>1191</v>
      </c>
      <c r="N30">
        <v>1013</v>
      </c>
      <c r="O30" t="s">
        <v>288</v>
      </c>
      <c r="P30" t="s">
        <v>288</v>
      </c>
      <c r="Q30">
        <v>1</v>
      </c>
      <c r="W30">
        <v>0</v>
      </c>
      <c r="X30">
        <v>-1417349443</v>
      </c>
      <c r="Y30">
        <f>(AT30*1.25)</f>
        <v>0.4375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32.159999999999997</v>
      </c>
      <c r="AL30">
        <v>1</v>
      </c>
      <c r="AM30">
        <v>4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0.35</v>
      </c>
      <c r="AU30" t="s">
        <v>47</v>
      </c>
      <c r="AV30">
        <v>2</v>
      </c>
      <c r="AW30">
        <v>2</v>
      </c>
      <c r="AX30">
        <v>145025535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ROUND(Y30*Source!I30,9)</f>
        <v>1.5925</v>
      </c>
      <c r="CY30">
        <f>AD30</f>
        <v>0</v>
      </c>
      <c r="CZ30">
        <f>AH30</f>
        <v>0</v>
      </c>
      <c r="DA30">
        <f>AL30</f>
        <v>1</v>
      </c>
      <c r="DB30">
        <f>ROUND((ROUND(AT30*CZ30,2)*1.25),2)</f>
        <v>0</v>
      </c>
      <c r="DC30">
        <f>ROUND((ROUND(AT30*AG30,2)*1.25),2)</f>
        <v>0</v>
      </c>
      <c r="DD30" t="s">
        <v>3</v>
      </c>
      <c r="DE30" t="s">
        <v>3</v>
      </c>
      <c r="DF30">
        <f>ROUND(ROUND(AE30,2)*CX30,2)</f>
        <v>0</v>
      </c>
      <c r="DG30">
        <f>ROUND(ROUND(AF30,2)*CX30,2)</f>
        <v>0</v>
      </c>
      <c r="DH30">
        <f>ROUND(ROUND(AG30*AK30,2)*CX30,2)</f>
        <v>0</v>
      </c>
      <c r="DI30">
        <f t="shared" ref="DI30:DI37" si="3">ROUND(ROUND(AH30,2)*CX30,2)</f>
        <v>0</v>
      </c>
      <c r="DJ30">
        <f>DI30</f>
        <v>0</v>
      </c>
      <c r="DK30">
        <v>0</v>
      </c>
      <c r="DL30" t="s">
        <v>3</v>
      </c>
      <c r="DM30">
        <v>0</v>
      </c>
      <c r="DN30" t="s">
        <v>3</v>
      </c>
      <c r="DO30">
        <v>0</v>
      </c>
    </row>
    <row r="31" spans="1:119" x14ac:dyDescent="0.2">
      <c r="A31">
        <f>ROW(Source!A30)</f>
        <v>30</v>
      </c>
      <c r="B31">
        <v>145016711</v>
      </c>
      <c r="C31">
        <v>145025527</v>
      </c>
      <c r="D31">
        <v>140922951</v>
      </c>
      <c r="E31">
        <v>1</v>
      </c>
      <c r="F31">
        <v>1</v>
      </c>
      <c r="G31">
        <v>1</v>
      </c>
      <c r="H31">
        <v>2</v>
      </c>
      <c r="I31" t="s">
        <v>317</v>
      </c>
      <c r="J31" t="s">
        <v>318</v>
      </c>
      <c r="K31" t="s">
        <v>319</v>
      </c>
      <c r="L31">
        <v>1367</v>
      </c>
      <c r="N31">
        <v>1011</v>
      </c>
      <c r="O31" t="s">
        <v>300</v>
      </c>
      <c r="P31" t="s">
        <v>300</v>
      </c>
      <c r="Q31">
        <v>1</v>
      </c>
      <c r="W31">
        <v>0</v>
      </c>
      <c r="X31">
        <v>-430484415</v>
      </c>
      <c r="Y31">
        <f>(AT31*1.25)</f>
        <v>0.1875</v>
      </c>
      <c r="AA31">
        <v>0</v>
      </c>
      <c r="AB31">
        <v>1434.42</v>
      </c>
      <c r="AC31">
        <v>434.16</v>
      </c>
      <c r="AD31">
        <v>0</v>
      </c>
      <c r="AE31">
        <v>0</v>
      </c>
      <c r="AF31">
        <v>115.4</v>
      </c>
      <c r="AG31">
        <v>13.5</v>
      </c>
      <c r="AH31">
        <v>0</v>
      </c>
      <c r="AI31">
        <v>1</v>
      </c>
      <c r="AJ31">
        <v>12.43</v>
      </c>
      <c r="AK31">
        <v>32.159999999999997</v>
      </c>
      <c r="AL31">
        <v>1</v>
      </c>
      <c r="AM31">
        <v>4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0.15</v>
      </c>
      <c r="AU31" t="s">
        <v>47</v>
      </c>
      <c r="AV31">
        <v>0</v>
      </c>
      <c r="AW31">
        <v>2</v>
      </c>
      <c r="AX31">
        <v>145025536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ROUND(Y31*Source!I30,9)</f>
        <v>0.6825</v>
      </c>
      <c r="CY31">
        <f>AB31</f>
        <v>1434.42</v>
      </c>
      <c r="CZ31">
        <f>AF31</f>
        <v>115.4</v>
      </c>
      <c r="DA31">
        <f>AJ31</f>
        <v>12.43</v>
      </c>
      <c r="DB31">
        <f>ROUND((ROUND(AT31*CZ31,2)*1.25),2)</f>
        <v>21.64</v>
      </c>
      <c r="DC31">
        <f>ROUND((ROUND(AT31*AG31,2)*1.25),2)</f>
        <v>2.54</v>
      </c>
      <c r="DD31" t="s">
        <v>3</v>
      </c>
      <c r="DE31" t="s">
        <v>3</v>
      </c>
      <c r="DF31">
        <f>ROUND(ROUND(AE31,2)*CX31,2)</f>
        <v>0</v>
      </c>
      <c r="DG31">
        <f>ROUND(ROUND(AF31*AJ31,2)*CX31,2)</f>
        <v>978.99</v>
      </c>
      <c r="DH31">
        <f>ROUND(ROUND(AG31*AK31,2)*CX31,2)</f>
        <v>296.31</v>
      </c>
      <c r="DI31">
        <f t="shared" si="3"/>
        <v>0</v>
      </c>
      <c r="DJ31">
        <f>DG31</f>
        <v>978.99</v>
      </c>
      <c r="DK31">
        <v>0</v>
      </c>
      <c r="DL31" t="s">
        <v>3</v>
      </c>
      <c r="DM31">
        <v>0</v>
      </c>
      <c r="DN31" t="s">
        <v>3</v>
      </c>
      <c r="DO31">
        <v>0</v>
      </c>
    </row>
    <row r="32" spans="1:119" x14ac:dyDescent="0.2">
      <c r="A32">
        <f>ROW(Source!A30)</f>
        <v>30</v>
      </c>
      <c r="B32">
        <v>145016711</v>
      </c>
      <c r="C32">
        <v>145025527</v>
      </c>
      <c r="D32">
        <v>140923885</v>
      </c>
      <c r="E32">
        <v>1</v>
      </c>
      <c r="F32">
        <v>1</v>
      </c>
      <c r="G32">
        <v>1</v>
      </c>
      <c r="H32">
        <v>2</v>
      </c>
      <c r="I32" t="s">
        <v>320</v>
      </c>
      <c r="J32" t="s">
        <v>321</v>
      </c>
      <c r="K32" t="s">
        <v>322</v>
      </c>
      <c r="L32">
        <v>1367</v>
      </c>
      <c r="N32">
        <v>1011</v>
      </c>
      <c r="O32" t="s">
        <v>300</v>
      </c>
      <c r="P32" t="s">
        <v>300</v>
      </c>
      <c r="Q32">
        <v>1</v>
      </c>
      <c r="W32">
        <v>0</v>
      </c>
      <c r="X32">
        <v>509054691</v>
      </c>
      <c r="Y32">
        <f>(AT32*1.25)</f>
        <v>0.25</v>
      </c>
      <c r="AA32">
        <v>0</v>
      </c>
      <c r="AB32">
        <v>816.78</v>
      </c>
      <c r="AC32">
        <v>373.06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12.43</v>
      </c>
      <c r="AK32">
        <v>32.159999999999997</v>
      </c>
      <c r="AL32">
        <v>1</v>
      </c>
      <c r="AM32">
        <v>4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0.2</v>
      </c>
      <c r="AU32" t="s">
        <v>47</v>
      </c>
      <c r="AV32">
        <v>0</v>
      </c>
      <c r="AW32">
        <v>2</v>
      </c>
      <c r="AX32">
        <v>145025537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ROUND(Y32*Source!I30,9)</f>
        <v>0.91</v>
      </c>
      <c r="CY32">
        <f>AB32</f>
        <v>816.78</v>
      </c>
      <c r="CZ32">
        <f>AF32</f>
        <v>65.709999999999994</v>
      </c>
      <c r="DA32">
        <f>AJ32</f>
        <v>12.43</v>
      </c>
      <c r="DB32">
        <f>ROUND((ROUND(AT32*CZ32,2)*1.25),2)</f>
        <v>16.43</v>
      </c>
      <c r="DC32">
        <f>ROUND((ROUND(AT32*AG32,2)*1.25),2)</f>
        <v>2.9</v>
      </c>
      <c r="DD32" t="s">
        <v>3</v>
      </c>
      <c r="DE32" t="s">
        <v>3</v>
      </c>
      <c r="DF32">
        <f>ROUND(ROUND(AE32,2)*CX32,2)</f>
        <v>0</v>
      </c>
      <c r="DG32">
        <f>ROUND(ROUND(AF32*AJ32,2)*CX32,2)</f>
        <v>743.27</v>
      </c>
      <c r="DH32">
        <f>ROUND(ROUND(AG32*AK32,2)*CX32,2)</f>
        <v>339.48</v>
      </c>
      <c r="DI32">
        <f t="shared" si="3"/>
        <v>0</v>
      </c>
      <c r="DJ32">
        <f>DG32</f>
        <v>743.27</v>
      </c>
      <c r="DK32">
        <v>0</v>
      </c>
      <c r="DL32" t="s">
        <v>3</v>
      </c>
      <c r="DM32">
        <v>0</v>
      </c>
      <c r="DN32" t="s">
        <v>3</v>
      </c>
      <c r="DO32">
        <v>0</v>
      </c>
    </row>
    <row r="33" spans="1:119" x14ac:dyDescent="0.2">
      <c r="A33">
        <f>ROW(Source!A30)</f>
        <v>30</v>
      </c>
      <c r="B33">
        <v>145016711</v>
      </c>
      <c r="C33">
        <v>145025527</v>
      </c>
      <c r="D33">
        <v>140792301</v>
      </c>
      <c r="E33">
        <v>1</v>
      </c>
      <c r="F33">
        <v>1</v>
      </c>
      <c r="G33">
        <v>1</v>
      </c>
      <c r="H33">
        <v>3</v>
      </c>
      <c r="I33" t="s">
        <v>323</v>
      </c>
      <c r="J33" t="s">
        <v>324</v>
      </c>
      <c r="K33" t="s">
        <v>325</v>
      </c>
      <c r="L33">
        <v>1348</v>
      </c>
      <c r="N33">
        <v>1009</v>
      </c>
      <c r="O33" t="s">
        <v>66</v>
      </c>
      <c r="P33" t="s">
        <v>66</v>
      </c>
      <c r="Q33">
        <v>1000</v>
      </c>
      <c r="W33">
        <v>0</v>
      </c>
      <c r="X33">
        <v>2041074766</v>
      </c>
      <c r="Y33">
        <f>AT33</f>
        <v>2.8000000000000001E-2</v>
      </c>
      <c r="AA33">
        <v>91596</v>
      </c>
      <c r="AB33">
        <v>0</v>
      </c>
      <c r="AC33">
        <v>0</v>
      </c>
      <c r="AD33">
        <v>0</v>
      </c>
      <c r="AE33">
        <v>10200</v>
      </c>
      <c r="AF33">
        <v>0</v>
      </c>
      <c r="AG33">
        <v>0</v>
      </c>
      <c r="AH33">
        <v>0</v>
      </c>
      <c r="AI33">
        <v>8.98</v>
      </c>
      <c r="AJ33">
        <v>1</v>
      </c>
      <c r="AK33">
        <v>1</v>
      </c>
      <c r="AL33">
        <v>1</v>
      </c>
      <c r="AM33">
        <v>4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2.8000000000000001E-2</v>
      </c>
      <c r="AU33" t="s">
        <v>3</v>
      </c>
      <c r="AV33">
        <v>0</v>
      </c>
      <c r="AW33">
        <v>2</v>
      </c>
      <c r="AX33">
        <v>145025538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ROUND(Y33*Source!I30,9)</f>
        <v>0.10192</v>
      </c>
      <c r="CY33">
        <f>AA33</f>
        <v>91596</v>
      </c>
      <c r="CZ33">
        <f>AE33</f>
        <v>10200</v>
      </c>
      <c r="DA33">
        <f>AI33</f>
        <v>8.98</v>
      </c>
      <c r="DB33">
        <f>ROUND(ROUND(AT33*CZ33,2),2)</f>
        <v>285.60000000000002</v>
      </c>
      <c r="DC33">
        <f>ROUND(ROUND(AT33*AG33,2),2)</f>
        <v>0</v>
      </c>
      <c r="DD33" t="s">
        <v>3</v>
      </c>
      <c r="DE33" t="s">
        <v>3</v>
      </c>
      <c r="DF33">
        <f>ROUND(ROUND(AE33*AI33,2)*CX33,2)</f>
        <v>9335.4599999999991</v>
      </c>
      <c r="DG33">
        <f>ROUND(ROUND(AF33,2)*CX33,2)</f>
        <v>0</v>
      </c>
      <c r="DH33">
        <f>ROUND(ROUND(AG33,2)*CX33,2)</f>
        <v>0</v>
      </c>
      <c r="DI33">
        <f t="shared" si="3"/>
        <v>0</v>
      </c>
      <c r="DJ33">
        <f>DF33</f>
        <v>9335.4599999999991</v>
      </c>
      <c r="DK33">
        <v>0</v>
      </c>
      <c r="DL33" t="s">
        <v>3</v>
      </c>
      <c r="DM33">
        <v>0</v>
      </c>
      <c r="DN33" t="s">
        <v>3</v>
      </c>
      <c r="DO33">
        <v>0</v>
      </c>
    </row>
    <row r="34" spans="1:119" x14ac:dyDescent="0.2">
      <c r="A34">
        <f>ROW(Source!A30)</f>
        <v>30</v>
      </c>
      <c r="B34">
        <v>145016711</v>
      </c>
      <c r="C34">
        <v>145025527</v>
      </c>
      <c r="D34">
        <v>140762427</v>
      </c>
      <c r="E34">
        <v>70</v>
      </c>
      <c r="F34">
        <v>1</v>
      </c>
      <c r="G34">
        <v>1</v>
      </c>
      <c r="H34">
        <v>3</v>
      </c>
      <c r="I34" t="s">
        <v>326</v>
      </c>
      <c r="J34" t="s">
        <v>3</v>
      </c>
      <c r="K34" t="s">
        <v>327</v>
      </c>
      <c r="L34">
        <v>1348</v>
      </c>
      <c r="N34">
        <v>1009</v>
      </c>
      <c r="O34" t="s">
        <v>66</v>
      </c>
      <c r="P34" t="s">
        <v>66</v>
      </c>
      <c r="Q34">
        <v>1000</v>
      </c>
      <c r="W34">
        <v>0</v>
      </c>
      <c r="X34">
        <v>1471899773</v>
      </c>
      <c r="Y34">
        <f>AT34</f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8.98</v>
      </c>
      <c r="AJ34">
        <v>1</v>
      </c>
      <c r="AK34">
        <v>1</v>
      </c>
      <c r="AL34">
        <v>1</v>
      </c>
      <c r="AM34">
        <v>4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3</v>
      </c>
      <c r="AT34">
        <v>1</v>
      </c>
      <c r="AU34" t="s">
        <v>3</v>
      </c>
      <c r="AV34">
        <v>0</v>
      </c>
      <c r="AW34">
        <v>2</v>
      </c>
      <c r="AX34">
        <v>145025539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ROUND(Y34*Source!I30,9)</f>
        <v>3.64</v>
      </c>
      <c r="CY34">
        <f>AA34</f>
        <v>0</v>
      </c>
      <c r="CZ34">
        <f>AE34</f>
        <v>0</v>
      </c>
      <c r="DA34">
        <f>AI34</f>
        <v>8.98</v>
      </c>
      <c r="DB34">
        <f>ROUND(ROUND(AT34*CZ34,2),2)</f>
        <v>0</v>
      </c>
      <c r="DC34">
        <f>ROUND(ROUND(AT34*AG34,2),2)</f>
        <v>0</v>
      </c>
      <c r="DD34" t="s">
        <v>3</v>
      </c>
      <c r="DE34" t="s">
        <v>3</v>
      </c>
      <c r="DF34">
        <f>ROUND(ROUND(AE34*AI34,2)*CX34,2)</f>
        <v>0</v>
      </c>
      <c r="DG34">
        <f>ROUND(ROUND(AF34,2)*CX34,2)</f>
        <v>0</v>
      </c>
      <c r="DH34">
        <f>ROUND(ROUND(AG34,2)*CX34,2)</f>
        <v>0</v>
      </c>
      <c r="DI34">
        <f t="shared" si="3"/>
        <v>0</v>
      </c>
      <c r="DJ34">
        <f>DF34</f>
        <v>0</v>
      </c>
      <c r="DK34">
        <v>0</v>
      </c>
      <c r="DL34" t="s">
        <v>3</v>
      </c>
      <c r="DM34">
        <v>0</v>
      </c>
      <c r="DN34" t="s">
        <v>3</v>
      </c>
      <c r="DO34">
        <v>0</v>
      </c>
    </row>
    <row r="35" spans="1:119" x14ac:dyDescent="0.2">
      <c r="A35">
        <f>ROW(Source!A32)</f>
        <v>32</v>
      </c>
      <c r="B35">
        <v>145016711</v>
      </c>
      <c r="C35">
        <v>145025541</v>
      </c>
      <c r="D35">
        <v>140755491</v>
      </c>
      <c r="E35">
        <v>70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288</v>
      </c>
      <c r="P35" t="s">
        <v>288</v>
      </c>
      <c r="Q35">
        <v>1</v>
      </c>
      <c r="W35">
        <v>0</v>
      </c>
      <c r="X35">
        <v>-1417349443</v>
      </c>
      <c r="Y35">
        <f>AT35</f>
        <v>0.2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32.159999999999997</v>
      </c>
      <c r="AL35">
        <v>1</v>
      </c>
      <c r="AM35">
        <v>4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</v>
      </c>
      <c r="AU35" t="s">
        <v>3</v>
      </c>
      <c r="AV35">
        <v>2</v>
      </c>
      <c r="AW35">
        <v>2</v>
      </c>
      <c r="AX35">
        <v>145025545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ROUND(Y35*Source!I32,9)</f>
        <v>1.07</v>
      </c>
      <c r="CY35">
        <f>AD35</f>
        <v>0</v>
      </c>
      <c r="CZ35">
        <f>AH35</f>
        <v>0</v>
      </c>
      <c r="DA35">
        <f>AL35</f>
        <v>1</v>
      </c>
      <c r="DB35">
        <f>ROUND(ROUND(AT35*CZ35,2),2)</f>
        <v>0</v>
      </c>
      <c r="DC35">
        <f>ROUND(ROUND(AT35*AG35,2),2)</f>
        <v>0</v>
      </c>
      <c r="DD35" t="s">
        <v>3</v>
      </c>
      <c r="DE35" t="s">
        <v>3</v>
      </c>
      <c r="DF35">
        <f>ROUND(ROUND(AE35,2)*CX35,2)</f>
        <v>0</v>
      </c>
      <c r="DG35">
        <f>ROUND(ROUND(AF35,2)*CX35,2)</f>
        <v>0</v>
      </c>
      <c r="DH35">
        <f>ROUND(ROUND(AG35*AK35,2)*CX35,2)</f>
        <v>0</v>
      </c>
      <c r="DI35">
        <f t="shared" si="3"/>
        <v>0</v>
      </c>
      <c r="DJ35">
        <f>DI35</f>
        <v>0</v>
      </c>
      <c r="DK35">
        <v>0</v>
      </c>
      <c r="DL35" t="s">
        <v>3</v>
      </c>
      <c r="DM35">
        <v>0</v>
      </c>
      <c r="DN35" t="s">
        <v>3</v>
      </c>
      <c r="DO35">
        <v>0</v>
      </c>
    </row>
    <row r="36" spans="1:119" x14ac:dyDescent="0.2">
      <c r="A36">
        <f>ROW(Source!A32)</f>
        <v>32</v>
      </c>
      <c r="B36">
        <v>145016711</v>
      </c>
      <c r="C36">
        <v>145025541</v>
      </c>
      <c r="D36">
        <v>140923396</v>
      </c>
      <c r="E36">
        <v>1</v>
      </c>
      <c r="F36">
        <v>1</v>
      </c>
      <c r="G36">
        <v>1</v>
      </c>
      <c r="H36">
        <v>2</v>
      </c>
      <c r="I36" t="s">
        <v>328</v>
      </c>
      <c r="J36" t="s">
        <v>329</v>
      </c>
      <c r="K36" t="s">
        <v>330</v>
      </c>
      <c r="L36">
        <v>1367</v>
      </c>
      <c r="N36">
        <v>1011</v>
      </c>
      <c r="O36" t="s">
        <v>300</v>
      </c>
      <c r="P36" t="s">
        <v>300</v>
      </c>
      <c r="Q36">
        <v>1</v>
      </c>
      <c r="W36">
        <v>0</v>
      </c>
      <c r="X36">
        <v>-1503309453</v>
      </c>
      <c r="Y36">
        <f>AT36</f>
        <v>0.2</v>
      </c>
      <c r="AA36">
        <v>0</v>
      </c>
      <c r="AB36">
        <v>1256.18</v>
      </c>
      <c r="AC36">
        <v>434.16</v>
      </c>
      <c r="AD36">
        <v>0</v>
      </c>
      <c r="AE36">
        <v>0</v>
      </c>
      <c r="AF36">
        <v>101.06</v>
      </c>
      <c r="AG36">
        <v>13.5</v>
      </c>
      <c r="AH36">
        <v>0</v>
      </c>
      <c r="AI36">
        <v>1</v>
      </c>
      <c r="AJ36">
        <v>12.43</v>
      </c>
      <c r="AK36">
        <v>32.159999999999997</v>
      </c>
      <c r="AL36">
        <v>1</v>
      </c>
      <c r="AM36">
        <v>4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145025546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ROUND(Y36*Source!I32,9)</f>
        <v>1.07</v>
      </c>
      <c r="CY36">
        <f>AB36</f>
        <v>1256.18</v>
      </c>
      <c r="CZ36">
        <f>AF36</f>
        <v>101.06</v>
      </c>
      <c r="DA36">
        <f>AJ36</f>
        <v>12.43</v>
      </c>
      <c r="DB36">
        <f>ROUND(ROUND(AT36*CZ36,2),2)</f>
        <v>20.21</v>
      </c>
      <c r="DC36">
        <f>ROUND(ROUND(AT36*AG36,2),2)</f>
        <v>2.7</v>
      </c>
      <c r="DD36" t="s">
        <v>3</v>
      </c>
      <c r="DE36" t="s">
        <v>3</v>
      </c>
      <c r="DF36">
        <f>ROUND(ROUND(AE36,2)*CX36,2)</f>
        <v>0</v>
      </c>
      <c r="DG36">
        <f>ROUND(ROUND(AF36*AJ36,2)*CX36,2)</f>
        <v>1344.11</v>
      </c>
      <c r="DH36">
        <f>ROUND(ROUND(AG36*AK36,2)*CX36,2)</f>
        <v>464.55</v>
      </c>
      <c r="DI36">
        <f t="shared" si="3"/>
        <v>0</v>
      </c>
      <c r="DJ36">
        <f>DG36</f>
        <v>1344.11</v>
      </c>
      <c r="DK36">
        <v>0</v>
      </c>
      <c r="DL36" t="s">
        <v>3</v>
      </c>
      <c r="DM36">
        <v>0</v>
      </c>
      <c r="DN36" t="s">
        <v>3</v>
      </c>
      <c r="DO36">
        <v>0</v>
      </c>
    </row>
    <row r="37" spans="1:119" x14ac:dyDescent="0.2">
      <c r="A37">
        <f>ROW(Source!A32)</f>
        <v>32</v>
      </c>
      <c r="B37">
        <v>145016711</v>
      </c>
      <c r="C37">
        <v>145025541</v>
      </c>
      <c r="D37">
        <v>140775855</v>
      </c>
      <c r="E37">
        <v>1</v>
      </c>
      <c r="F37">
        <v>1</v>
      </c>
      <c r="G37">
        <v>1</v>
      </c>
      <c r="H37">
        <v>3</v>
      </c>
      <c r="I37" t="s">
        <v>331</v>
      </c>
      <c r="J37" t="s">
        <v>332</v>
      </c>
      <c r="K37" t="s">
        <v>333</v>
      </c>
      <c r="L37">
        <v>1371</v>
      </c>
      <c r="N37">
        <v>1013</v>
      </c>
      <c r="O37" t="s">
        <v>334</v>
      </c>
      <c r="P37" t="s">
        <v>334</v>
      </c>
      <c r="Q37">
        <v>1</v>
      </c>
      <c r="W37">
        <v>0</v>
      </c>
      <c r="X37">
        <v>1566048285</v>
      </c>
      <c r="Y37">
        <f>AT37</f>
        <v>0.05</v>
      </c>
      <c r="AA37">
        <v>4624.7</v>
      </c>
      <c r="AB37">
        <v>0</v>
      </c>
      <c r="AC37">
        <v>0</v>
      </c>
      <c r="AD37">
        <v>0</v>
      </c>
      <c r="AE37">
        <v>515</v>
      </c>
      <c r="AF37">
        <v>0</v>
      </c>
      <c r="AG37">
        <v>0</v>
      </c>
      <c r="AH37">
        <v>0</v>
      </c>
      <c r="AI37">
        <v>8.98</v>
      </c>
      <c r="AJ37">
        <v>1</v>
      </c>
      <c r="AK37">
        <v>1</v>
      </c>
      <c r="AL37">
        <v>1</v>
      </c>
      <c r="AM37">
        <v>4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0.05</v>
      </c>
      <c r="AU37" t="s">
        <v>3</v>
      </c>
      <c r="AV37">
        <v>0</v>
      </c>
      <c r="AW37">
        <v>2</v>
      </c>
      <c r="AX37">
        <v>145025547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ROUND(Y37*Source!I32,9)</f>
        <v>0.26750000000000002</v>
      </c>
      <c r="CY37">
        <f>AA37</f>
        <v>4624.7</v>
      </c>
      <c r="CZ37">
        <f>AE37</f>
        <v>515</v>
      </c>
      <c r="DA37">
        <f>AI37</f>
        <v>8.98</v>
      </c>
      <c r="DB37">
        <f>ROUND(ROUND(AT37*CZ37,2),2)</f>
        <v>25.75</v>
      </c>
      <c r="DC37">
        <f>ROUND(ROUND(AT37*AG37,2),2)</f>
        <v>0</v>
      </c>
      <c r="DD37" t="s">
        <v>3</v>
      </c>
      <c r="DE37" t="s">
        <v>3</v>
      </c>
      <c r="DF37">
        <f>ROUND(ROUND(AE37*AI37,2)*CX37,2)</f>
        <v>1237.1099999999999</v>
      </c>
      <c r="DG37">
        <f>ROUND(ROUND(AF37,2)*CX37,2)</f>
        <v>0</v>
      </c>
      <c r="DH37">
        <f>ROUND(ROUND(AG37,2)*CX37,2)</f>
        <v>0</v>
      </c>
      <c r="DI37">
        <f t="shared" si="3"/>
        <v>0</v>
      </c>
      <c r="DJ37">
        <f>DF37</f>
        <v>1237.1099999999999</v>
      </c>
      <c r="DK37">
        <v>0</v>
      </c>
      <c r="DL37" t="s">
        <v>3</v>
      </c>
      <c r="DM37">
        <v>0</v>
      </c>
      <c r="DN37" t="s">
        <v>3</v>
      </c>
      <c r="DO37">
        <v>0</v>
      </c>
    </row>
    <row r="38" spans="1:119" x14ac:dyDescent="0.2">
      <c r="A38">
        <f>ROW(Source!A33)</f>
        <v>33</v>
      </c>
      <c r="B38">
        <v>145016711</v>
      </c>
      <c r="C38">
        <v>145025548</v>
      </c>
      <c r="D38">
        <v>140755434</v>
      </c>
      <c r="E38">
        <v>70</v>
      </c>
      <c r="F38">
        <v>1</v>
      </c>
      <c r="G38">
        <v>1</v>
      </c>
      <c r="H38">
        <v>1</v>
      </c>
      <c r="I38" t="s">
        <v>293</v>
      </c>
      <c r="J38" t="s">
        <v>3</v>
      </c>
      <c r="K38" t="s">
        <v>294</v>
      </c>
      <c r="L38">
        <v>1191</v>
      </c>
      <c r="N38">
        <v>1013</v>
      </c>
      <c r="O38" t="s">
        <v>288</v>
      </c>
      <c r="P38" t="s">
        <v>288</v>
      </c>
      <c r="Q38">
        <v>1</v>
      </c>
      <c r="W38">
        <v>0</v>
      </c>
      <c r="X38">
        <v>-983457869</v>
      </c>
      <c r="Y38">
        <f>(AT38*1.15)</f>
        <v>75.301999999999992</v>
      </c>
      <c r="AA38">
        <v>0</v>
      </c>
      <c r="AB38">
        <v>0</v>
      </c>
      <c r="AC38">
        <v>0</v>
      </c>
      <c r="AD38">
        <v>277.86</v>
      </c>
      <c r="AE38">
        <v>0</v>
      </c>
      <c r="AF38">
        <v>0</v>
      </c>
      <c r="AG38">
        <v>0</v>
      </c>
      <c r="AH38">
        <v>8.64</v>
      </c>
      <c r="AI38">
        <v>1</v>
      </c>
      <c r="AJ38">
        <v>1</v>
      </c>
      <c r="AK38">
        <v>1</v>
      </c>
      <c r="AL38">
        <v>32.159999999999997</v>
      </c>
      <c r="AM38">
        <v>4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65.48</v>
      </c>
      <c r="AU38" t="s">
        <v>48</v>
      </c>
      <c r="AV38">
        <v>1</v>
      </c>
      <c r="AW38">
        <v>2</v>
      </c>
      <c r="AX38">
        <v>145025558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ROUND(Y38*Source!I33,9)</f>
        <v>402.8657</v>
      </c>
      <c r="CY38">
        <f>AD38</f>
        <v>277.86</v>
      </c>
      <c r="CZ38">
        <f>AH38</f>
        <v>8.64</v>
      </c>
      <c r="DA38">
        <f>AL38</f>
        <v>32.159999999999997</v>
      </c>
      <c r="DB38">
        <f>ROUND((ROUND(AT38*CZ38,2)*1.15),2)</f>
        <v>650.61</v>
      </c>
      <c r="DC38">
        <f>ROUND((ROUND(AT38*AG38,2)*1.15),2)</f>
        <v>0</v>
      </c>
      <c r="DD38" t="s">
        <v>3</v>
      </c>
      <c r="DE38" t="s">
        <v>3</v>
      </c>
      <c r="DF38">
        <f>ROUND(ROUND(AE38,2)*CX38,2)</f>
        <v>0</v>
      </c>
      <c r="DG38">
        <f>ROUND(ROUND(AF38,2)*CX38,2)</f>
        <v>0</v>
      </c>
      <c r="DH38">
        <f>ROUND(ROUND(AG38,2)*CX38,2)</f>
        <v>0</v>
      </c>
      <c r="DI38">
        <f>ROUND(ROUND(AH38*AL38,2)*CX38,2)</f>
        <v>111940.26</v>
      </c>
      <c r="DJ38">
        <f>DI38</f>
        <v>111940.26</v>
      </c>
      <c r="DK38">
        <v>0</v>
      </c>
      <c r="DL38" t="s">
        <v>3</v>
      </c>
      <c r="DM38">
        <v>0</v>
      </c>
      <c r="DN38" t="s">
        <v>3</v>
      </c>
      <c r="DO38">
        <v>0</v>
      </c>
    </row>
    <row r="39" spans="1:119" x14ac:dyDescent="0.2">
      <c r="A39">
        <f>ROW(Source!A33)</f>
        <v>33</v>
      </c>
      <c r="B39">
        <v>145016711</v>
      </c>
      <c r="C39">
        <v>145025548</v>
      </c>
      <c r="D39">
        <v>140755491</v>
      </c>
      <c r="E39">
        <v>70</v>
      </c>
      <c r="F39">
        <v>1</v>
      </c>
      <c r="G39">
        <v>1</v>
      </c>
      <c r="H39">
        <v>1</v>
      </c>
      <c r="I39" t="s">
        <v>295</v>
      </c>
      <c r="J39" t="s">
        <v>3</v>
      </c>
      <c r="K39" t="s">
        <v>296</v>
      </c>
      <c r="L39">
        <v>1191</v>
      </c>
      <c r="N39">
        <v>1013</v>
      </c>
      <c r="O39" t="s">
        <v>288</v>
      </c>
      <c r="P39" t="s">
        <v>288</v>
      </c>
      <c r="Q39">
        <v>1</v>
      </c>
      <c r="W39">
        <v>0</v>
      </c>
      <c r="X39">
        <v>-1417349443</v>
      </c>
      <c r="Y39">
        <f>(AT39*1.25)</f>
        <v>0.48750000000000004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32.159999999999997</v>
      </c>
      <c r="AL39">
        <v>1</v>
      </c>
      <c r="AM39">
        <v>4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0.39</v>
      </c>
      <c r="AU39" t="s">
        <v>47</v>
      </c>
      <c r="AV39">
        <v>2</v>
      </c>
      <c r="AW39">
        <v>2</v>
      </c>
      <c r="AX39">
        <v>145025559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ROUND(Y39*Source!I33,9)</f>
        <v>2.6081249999999998</v>
      </c>
      <c r="CY39">
        <f>AD39</f>
        <v>0</v>
      </c>
      <c r="CZ39">
        <f>AH39</f>
        <v>0</v>
      </c>
      <c r="DA39">
        <f>AL39</f>
        <v>1</v>
      </c>
      <c r="DB39">
        <f>ROUND((ROUND(AT39*CZ39,2)*1.25),2)</f>
        <v>0</v>
      </c>
      <c r="DC39">
        <f>ROUND((ROUND(AT39*AG39,2)*1.25),2)</f>
        <v>0</v>
      </c>
      <c r="DD39" t="s">
        <v>3</v>
      </c>
      <c r="DE39" t="s">
        <v>3</v>
      </c>
      <c r="DF39">
        <f>ROUND(ROUND(AE39,2)*CX39,2)</f>
        <v>0</v>
      </c>
      <c r="DG39">
        <f>ROUND(ROUND(AF39,2)*CX39,2)</f>
        <v>0</v>
      </c>
      <c r="DH39">
        <f>ROUND(ROUND(AG39*AK39,2)*CX39,2)</f>
        <v>0</v>
      </c>
      <c r="DI39">
        <f t="shared" ref="DI39:DI46" si="4">ROUND(ROUND(AH39,2)*CX39,2)</f>
        <v>0</v>
      </c>
      <c r="DJ39">
        <f>DI39</f>
        <v>0</v>
      </c>
      <c r="DK39">
        <v>0</v>
      </c>
      <c r="DL39" t="s">
        <v>3</v>
      </c>
      <c r="DM39">
        <v>0</v>
      </c>
      <c r="DN39" t="s">
        <v>3</v>
      </c>
      <c r="DO39">
        <v>0</v>
      </c>
    </row>
    <row r="40" spans="1:119" x14ac:dyDescent="0.2">
      <c r="A40">
        <f>ROW(Source!A33)</f>
        <v>33</v>
      </c>
      <c r="B40">
        <v>145016711</v>
      </c>
      <c r="C40">
        <v>145025548</v>
      </c>
      <c r="D40">
        <v>140922951</v>
      </c>
      <c r="E40">
        <v>1</v>
      </c>
      <c r="F40">
        <v>1</v>
      </c>
      <c r="G40">
        <v>1</v>
      </c>
      <c r="H40">
        <v>2</v>
      </c>
      <c r="I40" t="s">
        <v>317</v>
      </c>
      <c r="J40" t="s">
        <v>318</v>
      </c>
      <c r="K40" t="s">
        <v>319</v>
      </c>
      <c r="L40">
        <v>1367</v>
      </c>
      <c r="N40">
        <v>1011</v>
      </c>
      <c r="O40" t="s">
        <v>300</v>
      </c>
      <c r="P40" t="s">
        <v>300</v>
      </c>
      <c r="Q40">
        <v>1</v>
      </c>
      <c r="W40">
        <v>0</v>
      </c>
      <c r="X40">
        <v>-430484415</v>
      </c>
      <c r="Y40">
        <f>(AT40*1.25)</f>
        <v>0.2</v>
      </c>
      <c r="AA40">
        <v>0</v>
      </c>
      <c r="AB40">
        <v>1434.42</v>
      </c>
      <c r="AC40">
        <v>434.16</v>
      </c>
      <c r="AD40">
        <v>0</v>
      </c>
      <c r="AE40">
        <v>0</v>
      </c>
      <c r="AF40">
        <v>115.4</v>
      </c>
      <c r="AG40">
        <v>13.5</v>
      </c>
      <c r="AH40">
        <v>0</v>
      </c>
      <c r="AI40">
        <v>1</v>
      </c>
      <c r="AJ40">
        <v>12.43</v>
      </c>
      <c r="AK40">
        <v>32.159999999999997</v>
      </c>
      <c r="AL40">
        <v>1</v>
      </c>
      <c r="AM40">
        <v>4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0.16</v>
      </c>
      <c r="AU40" t="s">
        <v>47</v>
      </c>
      <c r="AV40">
        <v>0</v>
      </c>
      <c r="AW40">
        <v>2</v>
      </c>
      <c r="AX40">
        <v>145025560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ROUND(Y40*Source!I33,9)</f>
        <v>1.07</v>
      </c>
      <c r="CY40">
        <f>AB40</f>
        <v>1434.42</v>
      </c>
      <c r="CZ40">
        <f>AF40</f>
        <v>115.4</v>
      </c>
      <c r="DA40">
        <f>AJ40</f>
        <v>12.43</v>
      </c>
      <c r="DB40">
        <f>ROUND((ROUND(AT40*CZ40,2)*1.25),2)</f>
        <v>23.08</v>
      </c>
      <c r="DC40">
        <f>ROUND((ROUND(AT40*AG40,2)*1.25),2)</f>
        <v>2.7</v>
      </c>
      <c r="DD40" t="s">
        <v>3</v>
      </c>
      <c r="DE40" t="s">
        <v>3</v>
      </c>
      <c r="DF40">
        <f>ROUND(ROUND(AE40,2)*CX40,2)</f>
        <v>0</v>
      </c>
      <c r="DG40">
        <f>ROUND(ROUND(AF40*AJ40,2)*CX40,2)</f>
        <v>1534.83</v>
      </c>
      <c r="DH40">
        <f>ROUND(ROUND(AG40*AK40,2)*CX40,2)</f>
        <v>464.55</v>
      </c>
      <c r="DI40">
        <f t="shared" si="4"/>
        <v>0</v>
      </c>
      <c r="DJ40">
        <f>DG40</f>
        <v>1534.83</v>
      </c>
      <c r="DK40">
        <v>0</v>
      </c>
      <c r="DL40" t="s">
        <v>3</v>
      </c>
      <c r="DM40">
        <v>0</v>
      </c>
      <c r="DN40" t="s">
        <v>3</v>
      </c>
      <c r="DO40">
        <v>0</v>
      </c>
    </row>
    <row r="41" spans="1:119" x14ac:dyDescent="0.2">
      <c r="A41">
        <f>ROW(Source!A33)</f>
        <v>33</v>
      </c>
      <c r="B41">
        <v>145016711</v>
      </c>
      <c r="C41">
        <v>145025548</v>
      </c>
      <c r="D41">
        <v>140923356</v>
      </c>
      <c r="E41">
        <v>1</v>
      </c>
      <c r="F41">
        <v>1</v>
      </c>
      <c r="G41">
        <v>1</v>
      </c>
      <c r="H41">
        <v>2</v>
      </c>
      <c r="I41" t="s">
        <v>335</v>
      </c>
      <c r="J41" t="s">
        <v>336</v>
      </c>
      <c r="K41" t="s">
        <v>337</v>
      </c>
      <c r="L41">
        <v>1367</v>
      </c>
      <c r="N41">
        <v>1011</v>
      </c>
      <c r="O41" t="s">
        <v>300</v>
      </c>
      <c r="P41" t="s">
        <v>300</v>
      </c>
      <c r="Q41">
        <v>1</v>
      </c>
      <c r="W41">
        <v>0</v>
      </c>
      <c r="X41">
        <v>109657651</v>
      </c>
      <c r="Y41">
        <f>(AT41*1.25)</f>
        <v>12.762500000000001</v>
      </c>
      <c r="AA41">
        <v>0</v>
      </c>
      <c r="AB41">
        <v>358.85</v>
      </c>
      <c r="AC41">
        <v>0</v>
      </c>
      <c r="AD41">
        <v>0</v>
      </c>
      <c r="AE41">
        <v>0</v>
      </c>
      <c r="AF41">
        <v>28.87</v>
      </c>
      <c r="AG41">
        <v>0</v>
      </c>
      <c r="AH41">
        <v>0</v>
      </c>
      <c r="AI41">
        <v>1</v>
      </c>
      <c r="AJ41">
        <v>12.43</v>
      </c>
      <c r="AK41">
        <v>32.159999999999997</v>
      </c>
      <c r="AL41">
        <v>1</v>
      </c>
      <c r="AM41">
        <v>4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10.210000000000001</v>
      </c>
      <c r="AU41" t="s">
        <v>47</v>
      </c>
      <c r="AV41">
        <v>0</v>
      </c>
      <c r="AW41">
        <v>2</v>
      </c>
      <c r="AX41">
        <v>145025561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ROUND(Y41*Source!I33,9)</f>
        <v>68.279375000000002</v>
      </c>
      <c r="CY41">
        <f>AB41</f>
        <v>358.85</v>
      </c>
      <c r="CZ41">
        <f>AF41</f>
        <v>28.87</v>
      </c>
      <c r="DA41">
        <f>AJ41</f>
        <v>12.43</v>
      </c>
      <c r="DB41">
        <f>ROUND((ROUND(AT41*CZ41,2)*1.25),2)</f>
        <v>368.45</v>
      </c>
      <c r="DC41">
        <f>ROUND((ROUND(AT41*AG41,2)*1.25),2)</f>
        <v>0</v>
      </c>
      <c r="DD41" t="s">
        <v>3</v>
      </c>
      <c r="DE41" t="s">
        <v>3</v>
      </c>
      <c r="DF41">
        <f>ROUND(ROUND(AE41,2)*CX41,2)</f>
        <v>0</v>
      </c>
      <c r="DG41">
        <f>ROUND(ROUND(AF41*AJ41,2)*CX41,2)</f>
        <v>24502.05</v>
      </c>
      <c r="DH41">
        <f>ROUND(ROUND(AG41*AK41,2)*CX41,2)</f>
        <v>0</v>
      </c>
      <c r="DI41">
        <f t="shared" si="4"/>
        <v>0</v>
      </c>
      <c r="DJ41">
        <f>DG41</f>
        <v>24502.05</v>
      </c>
      <c r="DK41">
        <v>0</v>
      </c>
      <c r="DL41" t="s">
        <v>3</v>
      </c>
      <c r="DM41">
        <v>0</v>
      </c>
      <c r="DN41" t="s">
        <v>3</v>
      </c>
      <c r="DO41">
        <v>0</v>
      </c>
    </row>
    <row r="42" spans="1:119" x14ac:dyDescent="0.2">
      <c r="A42">
        <f>ROW(Source!A33)</f>
        <v>33</v>
      </c>
      <c r="B42">
        <v>145016711</v>
      </c>
      <c r="C42">
        <v>145025548</v>
      </c>
      <c r="D42">
        <v>140923885</v>
      </c>
      <c r="E42">
        <v>1</v>
      </c>
      <c r="F42">
        <v>1</v>
      </c>
      <c r="G42">
        <v>1</v>
      </c>
      <c r="H42">
        <v>2</v>
      </c>
      <c r="I42" t="s">
        <v>320</v>
      </c>
      <c r="J42" t="s">
        <v>321</v>
      </c>
      <c r="K42" t="s">
        <v>322</v>
      </c>
      <c r="L42">
        <v>1367</v>
      </c>
      <c r="N42">
        <v>1011</v>
      </c>
      <c r="O42" t="s">
        <v>300</v>
      </c>
      <c r="P42" t="s">
        <v>300</v>
      </c>
      <c r="Q42">
        <v>1</v>
      </c>
      <c r="W42">
        <v>0</v>
      </c>
      <c r="X42">
        <v>509054691</v>
      </c>
      <c r="Y42">
        <f>(AT42*1.25)</f>
        <v>0.28750000000000003</v>
      </c>
      <c r="AA42">
        <v>0</v>
      </c>
      <c r="AB42">
        <v>816.78</v>
      </c>
      <c r="AC42">
        <v>373.06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12.43</v>
      </c>
      <c r="AK42">
        <v>32.159999999999997</v>
      </c>
      <c r="AL42">
        <v>1</v>
      </c>
      <c r="AM42">
        <v>4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0.23</v>
      </c>
      <c r="AU42" t="s">
        <v>47</v>
      </c>
      <c r="AV42">
        <v>0</v>
      </c>
      <c r="AW42">
        <v>2</v>
      </c>
      <c r="AX42">
        <v>145025562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ROUND(Y42*Source!I33,9)</f>
        <v>1.538125</v>
      </c>
      <c r="CY42">
        <f>AB42</f>
        <v>816.78</v>
      </c>
      <c r="CZ42">
        <f>AF42</f>
        <v>65.709999999999994</v>
      </c>
      <c r="DA42">
        <f>AJ42</f>
        <v>12.43</v>
      </c>
      <c r="DB42">
        <f>ROUND((ROUND(AT42*CZ42,2)*1.25),2)</f>
        <v>18.89</v>
      </c>
      <c r="DC42">
        <f>ROUND((ROUND(AT42*AG42,2)*1.25),2)</f>
        <v>3.34</v>
      </c>
      <c r="DD42" t="s">
        <v>3</v>
      </c>
      <c r="DE42" t="s">
        <v>3</v>
      </c>
      <c r="DF42">
        <f>ROUND(ROUND(AE42,2)*CX42,2)</f>
        <v>0</v>
      </c>
      <c r="DG42">
        <f>ROUND(ROUND(AF42*AJ42,2)*CX42,2)</f>
        <v>1256.31</v>
      </c>
      <c r="DH42">
        <f>ROUND(ROUND(AG42*AK42,2)*CX42,2)</f>
        <v>573.80999999999995</v>
      </c>
      <c r="DI42">
        <f t="shared" si="4"/>
        <v>0</v>
      </c>
      <c r="DJ42">
        <f>DG42</f>
        <v>1256.31</v>
      </c>
      <c r="DK42">
        <v>0</v>
      </c>
      <c r="DL42" t="s">
        <v>3</v>
      </c>
      <c r="DM42">
        <v>0</v>
      </c>
      <c r="DN42" t="s">
        <v>3</v>
      </c>
      <c r="DO42">
        <v>0</v>
      </c>
    </row>
    <row r="43" spans="1:119" x14ac:dyDescent="0.2">
      <c r="A43">
        <f>ROW(Source!A33)</f>
        <v>33</v>
      </c>
      <c r="B43">
        <v>145016711</v>
      </c>
      <c r="C43">
        <v>145025548</v>
      </c>
      <c r="D43">
        <v>140770679</v>
      </c>
      <c r="E43">
        <v>1</v>
      </c>
      <c r="F43">
        <v>1</v>
      </c>
      <c r="G43">
        <v>1</v>
      </c>
      <c r="H43">
        <v>3</v>
      </c>
      <c r="I43" t="s">
        <v>338</v>
      </c>
      <c r="J43" t="s">
        <v>339</v>
      </c>
      <c r="K43" t="s">
        <v>340</v>
      </c>
      <c r="L43">
        <v>1348</v>
      </c>
      <c r="N43">
        <v>1009</v>
      </c>
      <c r="O43" t="s">
        <v>66</v>
      </c>
      <c r="P43" t="s">
        <v>66</v>
      </c>
      <c r="Q43">
        <v>1000</v>
      </c>
      <c r="W43">
        <v>0</v>
      </c>
      <c r="X43">
        <v>2020925387</v>
      </c>
      <c r="Y43">
        <f>(AT43*0)</f>
        <v>0</v>
      </c>
      <c r="AA43">
        <v>10416.799999999999</v>
      </c>
      <c r="AB43">
        <v>0</v>
      </c>
      <c r="AC43">
        <v>0</v>
      </c>
      <c r="AD43">
        <v>0</v>
      </c>
      <c r="AE43">
        <v>1160</v>
      </c>
      <c r="AF43">
        <v>0</v>
      </c>
      <c r="AG43">
        <v>0</v>
      </c>
      <c r="AH43">
        <v>0</v>
      </c>
      <c r="AI43">
        <v>8.98</v>
      </c>
      <c r="AJ43">
        <v>1</v>
      </c>
      <c r="AK43">
        <v>1</v>
      </c>
      <c r="AL43">
        <v>1</v>
      </c>
      <c r="AM43">
        <v>4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0.1</v>
      </c>
      <c r="AU43" t="s">
        <v>91</v>
      </c>
      <c r="AV43">
        <v>0</v>
      </c>
      <c r="AW43">
        <v>2</v>
      </c>
      <c r="AX43">
        <v>145025563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ROUND(Y43*Source!I33,9)</f>
        <v>0</v>
      </c>
      <c r="CY43">
        <f>AA43</f>
        <v>10416.799999999999</v>
      </c>
      <c r="CZ43">
        <f>AE43</f>
        <v>1160</v>
      </c>
      <c r="DA43">
        <f>AI43</f>
        <v>8.98</v>
      </c>
      <c r="DB43">
        <f>ROUND((ROUND(AT43*CZ43,2)*0),2)</f>
        <v>0</v>
      </c>
      <c r="DC43">
        <f>ROUND((ROUND(AT43*AG43,2)*0),2)</f>
        <v>0</v>
      </c>
      <c r="DD43" t="s">
        <v>3</v>
      </c>
      <c r="DE43" t="s">
        <v>3</v>
      </c>
      <c r="DF43">
        <f>ROUND(ROUND(AE43*AI43,2)*CX43,2)</f>
        <v>0</v>
      </c>
      <c r="DG43">
        <f t="shared" ref="DG43:DG48" si="5">ROUND(ROUND(AF43,2)*CX43,2)</f>
        <v>0</v>
      </c>
      <c r="DH43">
        <f>ROUND(ROUND(AG43,2)*CX43,2)</f>
        <v>0</v>
      </c>
      <c r="DI43">
        <f t="shared" si="4"/>
        <v>0</v>
      </c>
      <c r="DJ43">
        <f>DF43</f>
        <v>0</v>
      </c>
      <c r="DK43">
        <v>0</v>
      </c>
      <c r="DL43" t="s">
        <v>3</v>
      </c>
      <c r="DM43">
        <v>0</v>
      </c>
      <c r="DN43" t="s">
        <v>3</v>
      </c>
      <c r="DO43">
        <v>0</v>
      </c>
    </row>
    <row r="44" spans="1:119" x14ac:dyDescent="0.2">
      <c r="A44">
        <f>ROW(Source!A33)</f>
        <v>33</v>
      </c>
      <c r="B44">
        <v>145016711</v>
      </c>
      <c r="C44">
        <v>145025548</v>
      </c>
      <c r="D44">
        <v>140770711</v>
      </c>
      <c r="E44">
        <v>1</v>
      </c>
      <c r="F44">
        <v>1</v>
      </c>
      <c r="G44">
        <v>1</v>
      </c>
      <c r="H44">
        <v>3</v>
      </c>
      <c r="I44" t="s">
        <v>341</v>
      </c>
      <c r="J44" t="s">
        <v>342</v>
      </c>
      <c r="K44" t="s">
        <v>343</v>
      </c>
      <c r="L44">
        <v>1348</v>
      </c>
      <c r="N44">
        <v>1009</v>
      </c>
      <c r="O44" t="s">
        <v>66</v>
      </c>
      <c r="P44" t="s">
        <v>66</v>
      </c>
      <c r="Q44">
        <v>1000</v>
      </c>
      <c r="W44">
        <v>0</v>
      </c>
      <c r="X44">
        <v>1920445643</v>
      </c>
      <c r="Y44">
        <f>(AT44*0)</f>
        <v>0</v>
      </c>
      <c r="AA44">
        <v>12684.25</v>
      </c>
      <c r="AB44">
        <v>0</v>
      </c>
      <c r="AC44">
        <v>0</v>
      </c>
      <c r="AD44">
        <v>0</v>
      </c>
      <c r="AE44">
        <v>1412.5</v>
      </c>
      <c r="AF44">
        <v>0</v>
      </c>
      <c r="AG44">
        <v>0</v>
      </c>
      <c r="AH44">
        <v>0</v>
      </c>
      <c r="AI44">
        <v>8.98</v>
      </c>
      <c r="AJ44">
        <v>1</v>
      </c>
      <c r="AK44">
        <v>1</v>
      </c>
      <c r="AL44">
        <v>1</v>
      </c>
      <c r="AM44">
        <v>4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0.31</v>
      </c>
      <c r="AU44" t="s">
        <v>91</v>
      </c>
      <c r="AV44">
        <v>0</v>
      </c>
      <c r="AW44">
        <v>2</v>
      </c>
      <c r="AX44">
        <v>145025564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ROUND(Y44*Source!I33,9)</f>
        <v>0</v>
      </c>
      <c r="CY44">
        <f>AA44</f>
        <v>12684.25</v>
      </c>
      <c r="CZ44">
        <f>AE44</f>
        <v>1412.5</v>
      </c>
      <c r="DA44">
        <f>AI44</f>
        <v>8.98</v>
      </c>
      <c r="DB44">
        <f>ROUND((ROUND(AT44*CZ44,2)*0),2)</f>
        <v>0</v>
      </c>
      <c r="DC44">
        <f>ROUND((ROUND(AT44*AG44,2)*0),2)</f>
        <v>0</v>
      </c>
      <c r="DD44" t="s">
        <v>3</v>
      </c>
      <c r="DE44" t="s">
        <v>3</v>
      </c>
      <c r="DF44">
        <f>ROUND(ROUND(AE44*AI44,2)*CX44,2)</f>
        <v>0</v>
      </c>
      <c r="DG44">
        <f t="shared" si="5"/>
        <v>0</v>
      </c>
      <c r="DH44">
        <f>ROUND(ROUND(AG44,2)*CX44,2)</f>
        <v>0</v>
      </c>
      <c r="DI44">
        <f t="shared" si="4"/>
        <v>0</v>
      </c>
      <c r="DJ44">
        <f>DF44</f>
        <v>0</v>
      </c>
      <c r="DK44">
        <v>0</v>
      </c>
      <c r="DL44" t="s">
        <v>3</v>
      </c>
      <c r="DM44">
        <v>0</v>
      </c>
      <c r="DN44" t="s">
        <v>3</v>
      </c>
      <c r="DO44">
        <v>0</v>
      </c>
    </row>
    <row r="45" spans="1:119" x14ac:dyDescent="0.2">
      <c r="A45">
        <f>ROW(Source!A33)</f>
        <v>33</v>
      </c>
      <c r="B45">
        <v>145016711</v>
      </c>
      <c r="C45">
        <v>145025548</v>
      </c>
      <c r="D45">
        <v>140776771</v>
      </c>
      <c r="E45">
        <v>1</v>
      </c>
      <c r="F45">
        <v>1</v>
      </c>
      <c r="G45">
        <v>1</v>
      </c>
      <c r="H45">
        <v>3</v>
      </c>
      <c r="I45" t="s">
        <v>344</v>
      </c>
      <c r="J45" t="s">
        <v>345</v>
      </c>
      <c r="K45" t="s">
        <v>346</v>
      </c>
      <c r="L45">
        <v>1348</v>
      </c>
      <c r="N45">
        <v>1009</v>
      </c>
      <c r="O45" t="s">
        <v>66</v>
      </c>
      <c r="P45" t="s">
        <v>66</v>
      </c>
      <c r="Q45">
        <v>1000</v>
      </c>
      <c r="W45">
        <v>0</v>
      </c>
      <c r="X45">
        <v>1619341724</v>
      </c>
      <c r="Y45">
        <f>(AT45*0)</f>
        <v>0</v>
      </c>
      <c r="AA45">
        <v>1347</v>
      </c>
      <c r="AB45">
        <v>0</v>
      </c>
      <c r="AC45">
        <v>0</v>
      </c>
      <c r="AD45">
        <v>0</v>
      </c>
      <c r="AE45">
        <v>150</v>
      </c>
      <c r="AF45">
        <v>0</v>
      </c>
      <c r="AG45">
        <v>0</v>
      </c>
      <c r="AH45">
        <v>0</v>
      </c>
      <c r="AI45">
        <v>8.98</v>
      </c>
      <c r="AJ45">
        <v>1</v>
      </c>
      <c r="AK45">
        <v>1</v>
      </c>
      <c r="AL45">
        <v>1</v>
      </c>
      <c r="AM45">
        <v>4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0.1</v>
      </c>
      <c r="AU45" t="s">
        <v>91</v>
      </c>
      <c r="AV45">
        <v>0</v>
      </c>
      <c r="AW45">
        <v>2</v>
      </c>
      <c r="AX45">
        <v>145025565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ROUND(Y45*Source!I33,9)</f>
        <v>0</v>
      </c>
      <c r="CY45">
        <f>AA45</f>
        <v>1347</v>
      </c>
      <c r="CZ45">
        <f>AE45</f>
        <v>150</v>
      </c>
      <c r="DA45">
        <f>AI45</f>
        <v>8.98</v>
      </c>
      <c r="DB45">
        <f>ROUND((ROUND(AT45*CZ45,2)*0),2)</f>
        <v>0</v>
      </c>
      <c r="DC45">
        <f>ROUND((ROUND(AT45*AG45,2)*0),2)</f>
        <v>0</v>
      </c>
      <c r="DD45" t="s">
        <v>3</v>
      </c>
      <c r="DE45" t="s">
        <v>3</v>
      </c>
      <c r="DF45">
        <f>ROUND(ROUND(AE45*AI45,2)*CX45,2)</f>
        <v>0</v>
      </c>
      <c r="DG45">
        <f t="shared" si="5"/>
        <v>0</v>
      </c>
      <c r="DH45">
        <f>ROUND(ROUND(AG45,2)*CX45,2)</f>
        <v>0</v>
      </c>
      <c r="DI45">
        <f t="shared" si="4"/>
        <v>0</v>
      </c>
      <c r="DJ45">
        <f>DF45</f>
        <v>0</v>
      </c>
      <c r="DK45">
        <v>0</v>
      </c>
      <c r="DL45" t="s">
        <v>3</v>
      </c>
      <c r="DM45">
        <v>0</v>
      </c>
      <c r="DN45" t="s">
        <v>3</v>
      </c>
      <c r="DO45">
        <v>0</v>
      </c>
    </row>
    <row r="46" spans="1:119" x14ac:dyDescent="0.2">
      <c r="A46">
        <f>ROW(Source!A33)</f>
        <v>33</v>
      </c>
      <c r="B46">
        <v>145016711</v>
      </c>
      <c r="C46">
        <v>145025548</v>
      </c>
      <c r="D46">
        <v>140796533</v>
      </c>
      <c r="E46">
        <v>1</v>
      </c>
      <c r="F46">
        <v>1</v>
      </c>
      <c r="G46">
        <v>1</v>
      </c>
      <c r="H46">
        <v>3</v>
      </c>
      <c r="I46" t="s">
        <v>347</v>
      </c>
      <c r="J46" t="s">
        <v>348</v>
      </c>
      <c r="K46" t="s">
        <v>349</v>
      </c>
      <c r="L46">
        <v>1339</v>
      </c>
      <c r="N46">
        <v>1007</v>
      </c>
      <c r="O46" t="s">
        <v>58</v>
      </c>
      <c r="P46" t="s">
        <v>58</v>
      </c>
      <c r="Q46">
        <v>1</v>
      </c>
      <c r="W46">
        <v>0</v>
      </c>
      <c r="X46">
        <v>-896765309</v>
      </c>
      <c r="Y46">
        <f>(AT46*0)</f>
        <v>0</v>
      </c>
      <c r="AA46">
        <v>9878</v>
      </c>
      <c r="AB46">
        <v>0</v>
      </c>
      <c r="AC46">
        <v>0</v>
      </c>
      <c r="AD46">
        <v>0</v>
      </c>
      <c r="AE46">
        <v>1100</v>
      </c>
      <c r="AF46">
        <v>0</v>
      </c>
      <c r="AG46">
        <v>0</v>
      </c>
      <c r="AH46">
        <v>0</v>
      </c>
      <c r="AI46">
        <v>8.98</v>
      </c>
      <c r="AJ46">
        <v>1</v>
      </c>
      <c r="AK46">
        <v>1</v>
      </c>
      <c r="AL46">
        <v>1</v>
      </c>
      <c r="AM46">
        <v>4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0.87</v>
      </c>
      <c r="AU46" t="s">
        <v>91</v>
      </c>
      <c r="AV46">
        <v>0</v>
      </c>
      <c r="AW46">
        <v>2</v>
      </c>
      <c r="AX46">
        <v>145025566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ROUND(Y46*Source!I33,9)</f>
        <v>0</v>
      </c>
      <c r="CY46">
        <f>AA46</f>
        <v>9878</v>
      </c>
      <c r="CZ46">
        <f>AE46</f>
        <v>1100</v>
      </c>
      <c r="DA46">
        <f>AI46</f>
        <v>8.98</v>
      </c>
      <c r="DB46">
        <f>ROUND((ROUND(AT46*CZ46,2)*0),2)</f>
        <v>0</v>
      </c>
      <c r="DC46">
        <f>ROUND((ROUND(AT46*AG46,2)*0),2)</f>
        <v>0</v>
      </c>
      <c r="DD46" t="s">
        <v>3</v>
      </c>
      <c r="DE46" t="s">
        <v>3</v>
      </c>
      <c r="DF46">
        <f>ROUND(ROUND(AE46*AI46,2)*CX46,2)</f>
        <v>0</v>
      </c>
      <c r="DG46">
        <f t="shared" si="5"/>
        <v>0</v>
      </c>
      <c r="DH46">
        <f>ROUND(ROUND(AG46,2)*CX46,2)</f>
        <v>0</v>
      </c>
      <c r="DI46">
        <f t="shared" si="4"/>
        <v>0</v>
      </c>
      <c r="DJ46">
        <f>DF46</f>
        <v>0</v>
      </c>
      <c r="DK46">
        <v>0</v>
      </c>
      <c r="DL46" t="s">
        <v>3</v>
      </c>
      <c r="DM46">
        <v>0</v>
      </c>
      <c r="DN46" t="s">
        <v>3</v>
      </c>
      <c r="DO46">
        <v>0</v>
      </c>
    </row>
    <row r="47" spans="1:119" x14ac:dyDescent="0.2">
      <c r="A47">
        <f>ROW(Source!A35)</f>
        <v>35</v>
      </c>
      <c r="B47">
        <v>145016711</v>
      </c>
      <c r="C47">
        <v>145025568</v>
      </c>
      <c r="D47">
        <v>140755441</v>
      </c>
      <c r="E47">
        <v>70</v>
      </c>
      <c r="F47">
        <v>1</v>
      </c>
      <c r="G47">
        <v>1</v>
      </c>
      <c r="H47">
        <v>1</v>
      </c>
      <c r="I47" t="s">
        <v>350</v>
      </c>
      <c r="J47" t="s">
        <v>3</v>
      </c>
      <c r="K47" t="s">
        <v>351</v>
      </c>
      <c r="L47">
        <v>1191</v>
      </c>
      <c r="N47">
        <v>1013</v>
      </c>
      <c r="O47" t="s">
        <v>288</v>
      </c>
      <c r="P47" t="s">
        <v>288</v>
      </c>
      <c r="Q47">
        <v>1</v>
      </c>
      <c r="W47">
        <v>0</v>
      </c>
      <c r="X47">
        <v>-2012709214</v>
      </c>
      <c r="Y47">
        <f>(AT47*1.15)</f>
        <v>10.131499999999999</v>
      </c>
      <c r="AA47">
        <v>0</v>
      </c>
      <c r="AB47">
        <v>0</v>
      </c>
      <c r="AC47">
        <v>0</v>
      </c>
      <c r="AD47">
        <v>302.3</v>
      </c>
      <c r="AE47">
        <v>0</v>
      </c>
      <c r="AF47">
        <v>0</v>
      </c>
      <c r="AG47">
        <v>0</v>
      </c>
      <c r="AH47">
        <v>9.4</v>
      </c>
      <c r="AI47">
        <v>1</v>
      </c>
      <c r="AJ47">
        <v>1</v>
      </c>
      <c r="AK47">
        <v>1</v>
      </c>
      <c r="AL47">
        <v>32.159999999999997</v>
      </c>
      <c r="AM47">
        <v>4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8.81</v>
      </c>
      <c r="AU47" t="s">
        <v>48</v>
      </c>
      <c r="AV47">
        <v>1</v>
      </c>
      <c r="AW47">
        <v>2</v>
      </c>
      <c r="AX47">
        <v>145025576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ROUND(Y47*Source!I35,9)</f>
        <v>54.203524999999999</v>
      </c>
      <c r="CY47">
        <f>AD47</f>
        <v>302.3</v>
      </c>
      <c r="CZ47">
        <f>AH47</f>
        <v>9.4</v>
      </c>
      <c r="DA47">
        <f>AL47</f>
        <v>32.159999999999997</v>
      </c>
      <c r="DB47">
        <f>ROUND((ROUND(AT47*CZ47,2)*1.15),2)</f>
        <v>95.23</v>
      </c>
      <c r="DC47">
        <f>ROUND((ROUND(AT47*AG47,2)*1.15),2)</f>
        <v>0</v>
      </c>
      <c r="DD47" t="s">
        <v>3</v>
      </c>
      <c r="DE47" t="s">
        <v>3</v>
      </c>
      <c r="DF47">
        <f>ROUND(ROUND(AE47,2)*CX47,2)</f>
        <v>0</v>
      </c>
      <c r="DG47">
        <f t="shared" si="5"/>
        <v>0</v>
      </c>
      <c r="DH47">
        <f>ROUND(ROUND(AG47,2)*CX47,2)</f>
        <v>0</v>
      </c>
      <c r="DI47">
        <f>ROUND(ROUND(AH47*AL47,2)*CX47,2)</f>
        <v>16385.73</v>
      </c>
      <c r="DJ47">
        <f>DI47</f>
        <v>16385.73</v>
      </c>
      <c r="DK47">
        <v>0</v>
      </c>
      <c r="DL47" t="s">
        <v>3</v>
      </c>
      <c r="DM47">
        <v>0</v>
      </c>
      <c r="DN47" t="s">
        <v>3</v>
      </c>
      <c r="DO47">
        <v>0</v>
      </c>
    </row>
    <row r="48" spans="1:119" x14ac:dyDescent="0.2">
      <c r="A48">
        <f>ROW(Source!A35)</f>
        <v>35</v>
      </c>
      <c r="B48">
        <v>145016711</v>
      </c>
      <c r="C48">
        <v>145025568</v>
      </c>
      <c r="D48">
        <v>140755491</v>
      </c>
      <c r="E48">
        <v>70</v>
      </c>
      <c r="F48">
        <v>1</v>
      </c>
      <c r="G48">
        <v>1</v>
      </c>
      <c r="H48">
        <v>1</v>
      </c>
      <c r="I48" t="s">
        <v>295</v>
      </c>
      <c r="J48" t="s">
        <v>3</v>
      </c>
      <c r="K48" t="s">
        <v>296</v>
      </c>
      <c r="L48">
        <v>1191</v>
      </c>
      <c r="N48">
        <v>1013</v>
      </c>
      <c r="O48" t="s">
        <v>288</v>
      </c>
      <c r="P48" t="s">
        <v>288</v>
      </c>
      <c r="Q48">
        <v>1</v>
      </c>
      <c r="W48">
        <v>0</v>
      </c>
      <c r="X48">
        <v>-1417349443</v>
      </c>
      <c r="Y48">
        <f>(AT48*1.25)</f>
        <v>0.32500000000000001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32.159999999999997</v>
      </c>
      <c r="AL48">
        <v>1</v>
      </c>
      <c r="AM48">
        <v>4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0.26</v>
      </c>
      <c r="AU48" t="s">
        <v>47</v>
      </c>
      <c r="AV48">
        <v>2</v>
      </c>
      <c r="AW48">
        <v>2</v>
      </c>
      <c r="AX48">
        <v>145025577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ROUND(Y48*Source!I35,9)</f>
        <v>1.73875</v>
      </c>
      <c r="CY48">
        <f>AD48</f>
        <v>0</v>
      </c>
      <c r="CZ48">
        <f>AH48</f>
        <v>0</v>
      </c>
      <c r="DA48">
        <f>AL48</f>
        <v>1</v>
      </c>
      <c r="DB48">
        <f>ROUND((ROUND(AT48*CZ48,2)*1.25),2)</f>
        <v>0</v>
      </c>
      <c r="DC48">
        <f>ROUND((ROUND(AT48*AG48,2)*1.25),2)</f>
        <v>0</v>
      </c>
      <c r="DD48" t="s">
        <v>3</v>
      </c>
      <c r="DE48" t="s">
        <v>3</v>
      </c>
      <c r="DF48">
        <f>ROUND(ROUND(AE48,2)*CX48,2)</f>
        <v>0</v>
      </c>
      <c r="DG48">
        <f t="shared" si="5"/>
        <v>0</v>
      </c>
      <c r="DH48">
        <f>ROUND(ROUND(AG48*AK48,2)*CX48,2)</f>
        <v>0</v>
      </c>
      <c r="DI48">
        <f t="shared" ref="DI48:DI53" si="6">ROUND(ROUND(AH48,2)*CX48,2)</f>
        <v>0</v>
      </c>
      <c r="DJ48">
        <f>DI48</f>
        <v>0</v>
      </c>
      <c r="DK48">
        <v>0</v>
      </c>
      <c r="DL48" t="s">
        <v>3</v>
      </c>
      <c r="DM48">
        <v>0</v>
      </c>
      <c r="DN48" t="s">
        <v>3</v>
      </c>
      <c r="DO48">
        <v>0</v>
      </c>
    </row>
    <row r="49" spans="1:119" x14ac:dyDescent="0.2">
      <c r="A49">
        <f>ROW(Source!A35)</f>
        <v>35</v>
      </c>
      <c r="B49">
        <v>145016711</v>
      </c>
      <c r="C49">
        <v>145025568</v>
      </c>
      <c r="D49">
        <v>140922893</v>
      </c>
      <c r="E49">
        <v>1</v>
      </c>
      <c r="F49">
        <v>1</v>
      </c>
      <c r="G49">
        <v>1</v>
      </c>
      <c r="H49">
        <v>2</v>
      </c>
      <c r="I49" t="s">
        <v>297</v>
      </c>
      <c r="J49" t="s">
        <v>298</v>
      </c>
      <c r="K49" t="s">
        <v>299</v>
      </c>
      <c r="L49">
        <v>1367</v>
      </c>
      <c r="N49">
        <v>1011</v>
      </c>
      <c r="O49" t="s">
        <v>300</v>
      </c>
      <c r="P49" t="s">
        <v>300</v>
      </c>
      <c r="Q49">
        <v>1</v>
      </c>
      <c r="W49">
        <v>0</v>
      </c>
      <c r="X49">
        <v>-130837057</v>
      </c>
      <c r="Y49">
        <f>(AT49*1.25)</f>
        <v>0.15</v>
      </c>
      <c r="AA49">
        <v>0</v>
      </c>
      <c r="AB49">
        <v>1073.95</v>
      </c>
      <c r="AC49">
        <v>434.16</v>
      </c>
      <c r="AD49">
        <v>0</v>
      </c>
      <c r="AE49">
        <v>0</v>
      </c>
      <c r="AF49">
        <v>86.4</v>
      </c>
      <c r="AG49">
        <v>13.5</v>
      </c>
      <c r="AH49">
        <v>0</v>
      </c>
      <c r="AI49">
        <v>1</v>
      </c>
      <c r="AJ49">
        <v>12.43</v>
      </c>
      <c r="AK49">
        <v>32.159999999999997</v>
      </c>
      <c r="AL49">
        <v>1</v>
      </c>
      <c r="AM49">
        <v>4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0.12</v>
      </c>
      <c r="AU49" t="s">
        <v>47</v>
      </c>
      <c r="AV49">
        <v>0</v>
      </c>
      <c r="AW49">
        <v>2</v>
      </c>
      <c r="AX49">
        <v>145025578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ROUND(Y49*Source!I35,9)</f>
        <v>0.80249999999999999</v>
      </c>
      <c r="CY49">
        <f>AB49</f>
        <v>1073.95</v>
      </c>
      <c r="CZ49">
        <f>AF49</f>
        <v>86.4</v>
      </c>
      <c r="DA49">
        <f>AJ49</f>
        <v>12.43</v>
      </c>
      <c r="DB49">
        <f>ROUND((ROUND(AT49*CZ49,2)*1.25),2)</f>
        <v>12.96</v>
      </c>
      <c r="DC49">
        <f>ROUND((ROUND(AT49*AG49,2)*1.25),2)</f>
        <v>2.0299999999999998</v>
      </c>
      <c r="DD49" t="s">
        <v>3</v>
      </c>
      <c r="DE49" t="s">
        <v>3</v>
      </c>
      <c r="DF49">
        <f>ROUND(ROUND(AE49,2)*CX49,2)</f>
        <v>0</v>
      </c>
      <c r="DG49">
        <f>ROUND(ROUND(AF49*AJ49,2)*CX49,2)</f>
        <v>861.84</v>
      </c>
      <c r="DH49">
        <f>ROUND(ROUND(AG49*AK49,2)*CX49,2)</f>
        <v>348.41</v>
      </c>
      <c r="DI49">
        <f t="shared" si="6"/>
        <v>0</v>
      </c>
      <c r="DJ49">
        <f>DG49</f>
        <v>861.84</v>
      </c>
      <c r="DK49">
        <v>0</v>
      </c>
      <c r="DL49" t="s">
        <v>3</v>
      </c>
      <c r="DM49">
        <v>0</v>
      </c>
      <c r="DN49" t="s">
        <v>3</v>
      </c>
      <c r="DO49">
        <v>0</v>
      </c>
    </row>
    <row r="50" spans="1:119" x14ac:dyDescent="0.2">
      <c r="A50">
        <f>ROW(Source!A35)</f>
        <v>35</v>
      </c>
      <c r="B50">
        <v>145016711</v>
      </c>
      <c r="C50">
        <v>145025568</v>
      </c>
      <c r="D50">
        <v>140922951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1367</v>
      </c>
      <c r="N50">
        <v>1011</v>
      </c>
      <c r="O50" t="s">
        <v>300</v>
      </c>
      <c r="P50" t="s">
        <v>300</v>
      </c>
      <c r="Q50">
        <v>1</v>
      </c>
      <c r="W50">
        <v>0</v>
      </c>
      <c r="X50">
        <v>-430484415</v>
      </c>
      <c r="Y50">
        <f>(AT50*1.25)</f>
        <v>6.25E-2</v>
      </c>
      <c r="AA50">
        <v>0</v>
      </c>
      <c r="AB50">
        <v>1434.42</v>
      </c>
      <c r="AC50">
        <v>434.16</v>
      </c>
      <c r="AD50">
        <v>0</v>
      </c>
      <c r="AE50">
        <v>0</v>
      </c>
      <c r="AF50">
        <v>115.4</v>
      </c>
      <c r="AG50">
        <v>13.5</v>
      </c>
      <c r="AH50">
        <v>0</v>
      </c>
      <c r="AI50">
        <v>1</v>
      </c>
      <c r="AJ50">
        <v>12.43</v>
      </c>
      <c r="AK50">
        <v>32.159999999999997</v>
      </c>
      <c r="AL50">
        <v>1</v>
      </c>
      <c r="AM50">
        <v>4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0.05</v>
      </c>
      <c r="AU50" t="s">
        <v>47</v>
      </c>
      <c r="AV50">
        <v>0</v>
      </c>
      <c r="AW50">
        <v>2</v>
      </c>
      <c r="AX50">
        <v>145025579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ROUND(Y50*Source!I35,9)</f>
        <v>0.33437499999999998</v>
      </c>
      <c r="CY50">
        <f>AB50</f>
        <v>1434.42</v>
      </c>
      <c r="CZ50">
        <f>AF50</f>
        <v>115.4</v>
      </c>
      <c r="DA50">
        <f>AJ50</f>
        <v>12.43</v>
      </c>
      <c r="DB50">
        <f>ROUND((ROUND(AT50*CZ50,2)*1.25),2)</f>
        <v>7.21</v>
      </c>
      <c r="DC50">
        <f>ROUND((ROUND(AT50*AG50,2)*1.25),2)</f>
        <v>0.85</v>
      </c>
      <c r="DD50" t="s">
        <v>3</v>
      </c>
      <c r="DE50" t="s">
        <v>3</v>
      </c>
      <c r="DF50">
        <f>ROUND(ROUND(AE50,2)*CX50,2)</f>
        <v>0</v>
      </c>
      <c r="DG50">
        <f>ROUND(ROUND(AF50*AJ50,2)*CX50,2)</f>
        <v>479.63</v>
      </c>
      <c r="DH50">
        <f>ROUND(ROUND(AG50*AK50,2)*CX50,2)</f>
        <v>145.16999999999999</v>
      </c>
      <c r="DI50">
        <f t="shared" si="6"/>
        <v>0</v>
      </c>
      <c r="DJ50">
        <f>DG50</f>
        <v>479.63</v>
      </c>
      <c r="DK50">
        <v>0</v>
      </c>
      <c r="DL50" t="s">
        <v>3</v>
      </c>
      <c r="DM50">
        <v>0</v>
      </c>
      <c r="DN50" t="s">
        <v>3</v>
      </c>
      <c r="DO50">
        <v>0</v>
      </c>
    </row>
    <row r="51" spans="1:119" x14ac:dyDescent="0.2">
      <c r="A51">
        <f>ROW(Source!A35)</f>
        <v>35</v>
      </c>
      <c r="B51">
        <v>145016711</v>
      </c>
      <c r="C51">
        <v>145025568</v>
      </c>
      <c r="D51">
        <v>140923885</v>
      </c>
      <c r="E51">
        <v>1</v>
      </c>
      <c r="F51">
        <v>1</v>
      </c>
      <c r="G51">
        <v>1</v>
      </c>
      <c r="H51">
        <v>2</v>
      </c>
      <c r="I51" t="s">
        <v>320</v>
      </c>
      <c r="J51" t="s">
        <v>321</v>
      </c>
      <c r="K51" t="s">
        <v>322</v>
      </c>
      <c r="L51">
        <v>1367</v>
      </c>
      <c r="N51">
        <v>1011</v>
      </c>
      <c r="O51" t="s">
        <v>300</v>
      </c>
      <c r="P51" t="s">
        <v>300</v>
      </c>
      <c r="Q51">
        <v>1</v>
      </c>
      <c r="W51">
        <v>0</v>
      </c>
      <c r="X51">
        <v>509054691</v>
      </c>
      <c r="Y51">
        <f>(AT51*1.25)</f>
        <v>0.11249999999999999</v>
      </c>
      <c r="AA51">
        <v>0</v>
      </c>
      <c r="AB51">
        <v>816.78</v>
      </c>
      <c r="AC51">
        <v>373.06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12.43</v>
      </c>
      <c r="AK51">
        <v>32.159999999999997</v>
      </c>
      <c r="AL51">
        <v>1</v>
      </c>
      <c r="AM51">
        <v>4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0.09</v>
      </c>
      <c r="AU51" t="s">
        <v>47</v>
      </c>
      <c r="AV51">
        <v>0</v>
      </c>
      <c r="AW51">
        <v>2</v>
      </c>
      <c r="AX51">
        <v>145025580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ROUND(Y51*Source!I35,9)</f>
        <v>0.60187500000000005</v>
      </c>
      <c r="CY51">
        <f>AB51</f>
        <v>816.78</v>
      </c>
      <c r="CZ51">
        <f>AF51</f>
        <v>65.709999999999994</v>
      </c>
      <c r="DA51">
        <f>AJ51</f>
        <v>12.43</v>
      </c>
      <c r="DB51">
        <f>ROUND((ROUND(AT51*CZ51,2)*1.25),2)</f>
        <v>7.39</v>
      </c>
      <c r="DC51">
        <f>ROUND((ROUND(AT51*AG51,2)*1.25),2)</f>
        <v>1.3</v>
      </c>
      <c r="DD51" t="s">
        <v>3</v>
      </c>
      <c r="DE51" t="s">
        <v>3</v>
      </c>
      <c r="DF51">
        <f>ROUND(ROUND(AE51,2)*CX51,2)</f>
        <v>0</v>
      </c>
      <c r="DG51">
        <f>ROUND(ROUND(AF51*AJ51,2)*CX51,2)</f>
        <v>491.6</v>
      </c>
      <c r="DH51">
        <f>ROUND(ROUND(AG51*AK51,2)*CX51,2)</f>
        <v>224.54</v>
      </c>
      <c r="DI51">
        <f t="shared" si="6"/>
        <v>0</v>
      </c>
      <c r="DJ51">
        <f>DG51</f>
        <v>491.6</v>
      </c>
      <c r="DK51">
        <v>0</v>
      </c>
      <c r="DL51" t="s">
        <v>3</v>
      </c>
      <c r="DM51">
        <v>0</v>
      </c>
      <c r="DN51" t="s">
        <v>3</v>
      </c>
      <c r="DO51">
        <v>0</v>
      </c>
    </row>
    <row r="52" spans="1:119" x14ac:dyDescent="0.2">
      <c r="A52">
        <f>ROW(Source!A35)</f>
        <v>35</v>
      </c>
      <c r="B52">
        <v>145016711</v>
      </c>
      <c r="C52">
        <v>145025568</v>
      </c>
      <c r="D52">
        <v>140771011</v>
      </c>
      <c r="E52">
        <v>1</v>
      </c>
      <c r="F52">
        <v>1</v>
      </c>
      <c r="G52">
        <v>1</v>
      </c>
      <c r="H52">
        <v>3</v>
      </c>
      <c r="I52" t="s">
        <v>352</v>
      </c>
      <c r="J52" t="s">
        <v>353</v>
      </c>
      <c r="K52" t="s">
        <v>354</v>
      </c>
      <c r="L52">
        <v>1346</v>
      </c>
      <c r="N52">
        <v>1009</v>
      </c>
      <c r="O52" t="s">
        <v>94</v>
      </c>
      <c r="P52" t="s">
        <v>94</v>
      </c>
      <c r="Q52">
        <v>1</v>
      </c>
      <c r="W52">
        <v>0</v>
      </c>
      <c r="X52">
        <v>-2118006079</v>
      </c>
      <c r="Y52">
        <f>AT52</f>
        <v>23</v>
      </c>
      <c r="AA52">
        <v>54.69</v>
      </c>
      <c r="AB52">
        <v>0</v>
      </c>
      <c r="AC52">
        <v>0</v>
      </c>
      <c r="AD52">
        <v>0</v>
      </c>
      <c r="AE52">
        <v>6.09</v>
      </c>
      <c r="AF52">
        <v>0</v>
      </c>
      <c r="AG52">
        <v>0</v>
      </c>
      <c r="AH52">
        <v>0</v>
      </c>
      <c r="AI52">
        <v>8.98</v>
      </c>
      <c r="AJ52">
        <v>1</v>
      </c>
      <c r="AK52">
        <v>1</v>
      </c>
      <c r="AL52">
        <v>1</v>
      </c>
      <c r="AM52">
        <v>4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23</v>
      </c>
      <c r="AU52" t="s">
        <v>3</v>
      </c>
      <c r="AV52">
        <v>0</v>
      </c>
      <c r="AW52">
        <v>2</v>
      </c>
      <c r="AX52">
        <v>145025581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ROUND(Y52*Source!I35,9)</f>
        <v>123.05</v>
      </c>
      <c r="CY52">
        <f>AA52</f>
        <v>54.69</v>
      </c>
      <c r="CZ52">
        <f>AE52</f>
        <v>6.09</v>
      </c>
      <c r="DA52">
        <f>AI52</f>
        <v>8.98</v>
      </c>
      <c r="DB52">
        <f>ROUND(ROUND(AT52*CZ52,2),2)</f>
        <v>140.07</v>
      </c>
      <c r="DC52">
        <f>ROUND(ROUND(AT52*AG52,2),2)</f>
        <v>0</v>
      </c>
      <c r="DD52" t="s">
        <v>3</v>
      </c>
      <c r="DE52" t="s">
        <v>3</v>
      </c>
      <c r="DF52">
        <f>ROUND(ROUND(AE52*AI52,2)*CX52,2)</f>
        <v>6729.6</v>
      </c>
      <c r="DG52">
        <f>ROUND(ROUND(AF52,2)*CX52,2)</f>
        <v>0</v>
      </c>
      <c r="DH52">
        <f>ROUND(ROUND(AG52,2)*CX52,2)</f>
        <v>0</v>
      </c>
      <c r="DI52">
        <f t="shared" si="6"/>
        <v>0</v>
      </c>
      <c r="DJ52">
        <f>DF52</f>
        <v>6729.6</v>
      </c>
      <c r="DK52">
        <v>0</v>
      </c>
      <c r="DL52" t="s">
        <v>3</v>
      </c>
      <c r="DM52">
        <v>0</v>
      </c>
      <c r="DN52" t="s">
        <v>3</v>
      </c>
      <c r="DO52">
        <v>0</v>
      </c>
    </row>
    <row r="53" spans="1:119" x14ac:dyDescent="0.2">
      <c r="A53">
        <f>ROW(Source!A35)</f>
        <v>35</v>
      </c>
      <c r="B53">
        <v>145016711</v>
      </c>
      <c r="C53">
        <v>145025568</v>
      </c>
      <c r="D53">
        <v>140762874</v>
      </c>
      <c r="E53">
        <v>70</v>
      </c>
      <c r="F53">
        <v>1</v>
      </c>
      <c r="G53">
        <v>1</v>
      </c>
      <c r="H53">
        <v>3</v>
      </c>
      <c r="I53" t="s">
        <v>355</v>
      </c>
      <c r="J53" t="s">
        <v>3</v>
      </c>
      <c r="K53" t="s">
        <v>356</v>
      </c>
      <c r="L53">
        <v>1327</v>
      </c>
      <c r="N53">
        <v>1005</v>
      </c>
      <c r="O53" t="s">
        <v>74</v>
      </c>
      <c r="P53" t="s">
        <v>74</v>
      </c>
      <c r="Q53">
        <v>1</v>
      </c>
      <c r="W53">
        <v>0</v>
      </c>
      <c r="X53">
        <v>-188114917</v>
      </c>
      <c r="Y53">
        <f>AT53</f>
        <v>173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8.98</v>
      </c>
      <c r="AJ53">
        <v>1</v>
      </c>
      <c r="AK53">
        <v>1</v>
      </c>
      <c r="AL53">
        <v>1</v>
      </c>
      <c r="AM53">
        <v>4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3</v>
      </c>
      <c r="AT53">
        <v>173</v>
      </c>
      <c r="AU53" t="s">
        <v>3</v>
      </c>
      <c r="AV53">
        <v>0</v>
      </c>
      <c r="AW53">
        <v>2</v>
      </c>
      <c r="AX53">
        <v>145025582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ROUND(Y53*Source!I35,9)</f>
        <v>925.55</v>
      </c>
      <c r="CY53">
        <f>AA53</f>
        <v>0</v>
      </c>
      <c r="CZ53">
        <f>AE53</f>
        <v>0</v>
      </c>
      <c r="DA53">
        <f>AI53</f>
        <v>8.98</v>
      </c>
      <c r="DB53">
        <f>ROUND(ROUND(AT53*CZ53,2),2)</f>
        <v>0</v>
      </c>
      <c r="DC53">
        <f>ROUND(ROUND(AT53*AG53,2),2)</f>
        <v>0</v>
      </c>
      <c r="DD53" t="s">
        <v>3</v>
      </c>
      <c r="DE53" t="s">
        <v>3</v>
      </c>
      <c r="DF53">
        <f>ROUND(ROUND(AE53*AI53,2)*CX53,2)</f>
        <v>0</v>
      </c>
      <c r="DG53">
        <f>ROUND(ROUND(AF53,2)*CX53,2)</f>
        <v>0</v>
      </c>
      <c r="DH53">
        <f>ROUND(ROUND(AG53,2)*CX53,2)</f>
        <v>0</v>
      </c>
      <c r="DI53">
        <f t="shared" si="6"/>
        <v>0</v>
      </c>
      <c r="DJ53">
        <f>DF53</f>
        <v>0</v>
      </c>
      <c r="DK53">
        <v>0</v>
      </c>
      <c r="DL53" t="s">
        <v>3</v>
      </c>
      <c r="DM53">
        <v>0</v>
      </c>
      <c r="DN53" t="s">
        <v>3</v>
      </c>
      <c r="DO53">
        <v>0</v>
      </c>
    </row>
    <row r="54" spans="1:119" x14ac:dyDescent="0.2">
      <c r="A54">
        <f>ROW(Source!A37)</f>
        <v>37</v>
      </c>
      <c r="B54">
        <v>145016711</v>
      </c>
      <c r="C54">
        <v>145016837</v>
      </c>
      <c r="D54">
        <v>140759985</v>
      </c>
      <c r="E54">
        <v>70</v>
      </c>
      <c r="F54">
        <v>1</v>
      </c>
      <c r="G54">
        <v>1</v>
      </c>
      <c r="H54">
        <v>1</v>
      </c>
      <c r="I54" t="s">
        <v>357</v>
      </c>
      <c r="J54" t="s">
        <v>3</v>
      </c>
      <c r="K54" t="s">
        <v>358</v>
      </c>
      <c r="L54">
        <v>1191</v>
      </c>
      <c r="N54">
        <v>1013</v>
      </c>
      <c r="O54" t="s">
        <v>288</v>
      </c>
      <c r="P54" t="s">
        <v>288</v>
      </c>
      <c r="Q54">
        <v>1</v>
      </c>
      <c r="W54">
        <v>0</v>
      </c>
      <c r="X54">
        <v>784619160</v>
      </c>
      <c r="Y54">
        <f>(AT54*1.15)</f>
        <v>3.2199999999999998</v>
      </c>
      <c r="AA54">
        <v>0</v>
      </c>
      <c r="AB54">
        <v>0</v>
      </c>
      <c r="AC54">
        <v>0</v>
      </c>
      <c r="AD54">
        <v>281.08</v>
      </c>
      <c r="AE54">
        <v>0</v>
      </c>
      <c r="AF54">
        <v>0</v>
      </c>
      <c r="AG54">
        <v>0</v>
      </c>
      <c r="AH54">
        <v>8.74</v>
      </c>
      <c r="AI54">
        <v>1</v>
      </c>
      <c r="AJ54">
        <v>1</v>
      </c>
      <c r="AK54">
        <v>1</v>
      </c>
      <c r="AL54">
        <v>32.159999999999997</v>
      </c>
      <c r="AM54">
        <v>4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2.8</v>
      </c>
      <c r="AU54" t="s">
        <v>48</v>
      </c>
      <c r="AV54">
        <v>1</v>
      </c>
      <c r="AW54">
        <v>2</v>
      </c>
      <c r="AX54">
        <v>145016842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ROUND(Y54*Source!I37,9)</f>
        <v>68.424999999999997</v>
      </c>
      <c r="CY54">
        <f>AD54</f>
        <v>281.08</v>
      </c>
      <c r="CZ54">
        <f>AH54</f>
        <v>8.74</v>
      </c>
      <c r="DA54">
        <f>AL54</f>
        <v>32.159999999999997</v>
      </c>
      <c r="DB54">
        <f>ROUND((ROUND(AT54*CZ54,2)*1.15),2)</f>
        <v>28.14</v>
      </c>
      <c r="DC54">
        <f>ROUND((ROUND(AT54*AG54,2)*1.15),2)</f>
        <v>0</v>
      </c>
      <c r="DD54" t="s">
        <v>3</v>
      </c>
      <c r="DE54" t="s">
        <v>3</v>
      </c>
      <c r="DF54">
        <f>ROUND(ROUND(AE54,2)*CX54,2)</f>
        <v>0</v>
      </c>
      <c r="DG54">
        <f>ROUND(ROUND(AF54,2)*CX54,2)</f>
        <v>0</v>
      </c>
      <c r="DH54">
        <f>ROUND(ROUND(AG54,2)*CX54,2)</f>
        <v>0</v>
      </c>
      <c r="DI54">
        <f>ROUND(ROUND(AH54*AL54,2)*CX54,2)</f>
        <v>19232.900000000001</v>
      </c>
      <c r="DJ54">
        <f>DI54</f>
        <v>19232.900000000001</v>
      </c>
      <c r="DK54">
        <v>0</v>
      </c>
      <c r="DL54" t="s">
        <v>3</v>
      </c>
      <c r="DM54">
        <v>0</v>
      </c>
      <c r="DN54" t="s">
        <v>3</v>
      </c>
      <c r="DO54">
        <v>0</v>
      </c>
    </row>
    <row r="55" spans="1:119" x14ac:dyDescent="0.2">
      <c r="A55">
        <f>ROW(Source!A37)</f>
        <v>37</v>
      </c>
      <c r="B55">
        <v>145016711</v>
      </c>
      <c r="C55">
        <v>145016837</v>
      </c>
      <c r="D55">
        <v>140760225</v>
      </c>
      <c r="E55">
        <v>70</v>
      </c>
      <c r="F55">
        <v>1</v>
      </c>
      <c r="G55">
        <v>1</v>
      </c>
      <c r="H55">
        <v>1</v>
      </c>
      <c r="I55" t="s">
        <v>295</v>
      </c>
      <c r="J55" t="s">
        <v>3</v>
      </c>
      <c r="K55" t="s">
        <v>296</v>
      </c>
      <c r="L55">
        <v>1191</v>
      </c>
      <c r="N55">
        <v>1013</v>
      </c>
      <c r="O55" t="s">
        <v>288</v>
      </c>
      <c r="P55" t="s">
        <v>288</v>
      </c>
      <c r="Q55">
        <v>1</v>
      </c>
      <c r="W55">
        <v>0</v>
      </c>
      <c r="X55">
        <v>-1417349443</v>
      </c>
      <c r="Y55">
        <f>(AT55*1.25)</f>
        <v>0.05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32.159999999999997</v>
      </c>
      <c r="AL55">
        <v>1</v>
      </c>
      <c r="AM55">
        <v>4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0.04</v>
      </c>
      <c r="AU55" t="s">
        <v>47</v>
      </c>
      <c r="AV55">
        <v>2</v>
      </c>
      <c r="AW55">
        <v>2</v>
      </c>
      <c r="AX55">
        <v>145016843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ROUND(Y55*Source!I37,9)</f>
        <v>1.0625</v>
      </c>
      <c r="CY55">
        <f>AD55</f>
        <v>0</v>
      </c>
      <c r="CZ55">
        <f>AH55</f>
        <v>0</v>
      </c>
      <c r="DA55">
        <f>AL55</f>
        <v>1</v>
      </c>
      <c r="DB55">
        <f>ROUND((ROUND(AT55*CZ55,2)*1.25),2)</f>
        <v>0</v>
      </c>
      <c r="DC55">
        <f>ROUND((ROUND(AT55*AG55,2)*1.25),2)</f>
        <v>0</v>
      </c>
      <c r="DD55" t="s">
        <v>3</v>
      </c>
      <c r="DE55" t="s">
        <v>3</v>
      </c>
      <c r="DF55">
        <f>ROUND(ROUND(AE55,2)*CX55,2)</f>
        <v>0</v>
      </c>
      <c r="DG55">
        <f>ROUND(ROUND(AF55,2)*CX55,2)</f>
        <v>0</v>
      </c>
      <c r="DH55">
        <f>ROUND(ROUND(AG55*AK55,2)*CX55,2)</f>
        <v>0</v>
      </c>
      <c r="DI55">
        <f>ROUND(ROUND(AH55,2)*CX55,2)</f>
        <v>0</v>
      </c>
      <c r="DJ55">
        <f>DI55</f>
        <v>0</v>
      </c>
      <c r="DK55">
        <v>0</v>
      </c>
      <c r="DL55" t="s">
        <v>3</v>
      </c>
      <c r="DM55">
        <v>0</v>
      </c>
      <c r="DN55" t="s">
        <v>3</v>
      </c>
      <c r="DO55">
        <v>0</v>
      </c>
    </row>
    <row r="56" spans="1:119" x14ac:dyDescent="0.2">
      <c r="A56">
        <f>ROW(Source!A37)</f>
        <v>37</v>
      </c>
      <c r="B56">
        <v>145016711</v>
      </c>
      <c r="C56">
        <v>145016837</v>
      </c>
      <c r="D56">
        <v>140923885</v>
      </c>
      <c r="E56">
        <v>1</v>
      </c>
      <c r="F56">
        <v>1</v>
      </c>
      <c r="G56">
        <v>1</v>
      </c>
      <c r="H56">
        <v>2</v>
      </c>
      <c r="I56" t="s">
        <v>320</v>
      </c>
      <c r="J56" t="s">
        <v>321</v>
      </c>
      <c r="K56" t="s">
        <v>322</v>
      </c>
      <c r="L56">
        <v>1367</v>
      </c>
      <c r="N56">
        <v>1011</v>
      </c>
      <c r="O56" t="s">
        <v>300</v>
      </c>
      <c r="P56" t="s">
        <v>300</v>
      </c>
      <c r="Q56">
        <v>1</v>
      </c>
      <c r="W56">
        <v>0</v>
      </c>
      <c r="X56">
        <v>509054691</v>
      </c>
      <c r="Y56">
        <f>(AT56*1.25)</f>
        <v>0.05</v>
      </c>
      <c r="AA56">
        <v>0</v>
      </c>
      <c r="AB56">
        <v>816.78</v>
      </c>
      <c r="AC56">
        <v>373.06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12.43</v>
      </c>
      <c r="AK56">
        <v>32.159999999999997</v>
      </c>
      <c r="AL56">
        <v>1</v>
      </c>
      <c r="AM56">
        <v>4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0.04</v>
      </c>
      <c r="AU56" t="s">
        <v>47</v>
      </c>
      <c r="AV56">
        <v>0</v>
      </c>
      <c r="AW56">
        <v>2</v>
      </c>
      <c r="AX56">
        <v>145016844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ROUND(Y56*Source!I37,9)</f>
        <v>1.0625</v>
      </c>
      <c r="CY56">
        <f>AB56</f>
        <v>816.78</v>
      </c>
      <c r="CZ56">
        <f>AF56</f>
        <v>65.709999999999994</v>
      </c>
      <c r="DA56">
        <f>AJ56</f>
        <v>12.43</v>
      </c>
      <c r="DB56">
        <f>ROUND((ROUND(AT56*CZ56,2)*1.25),2)</f>
        <v>3.29</v>
      </c>
      <c r="DC56">
        <f>ROUND((ROUND(AT56*AG56,2)*1.25),2)</f>
        <v>0.57999999999999996</v>
      </c>
      <c r="DD56" t="s">
        <v>3</v>
      </c>
      <c r="DE56" t="s">
        <v>3</v>
      </c>
      <c r="DF56">
        <f>ROUND(ROUND(AE56,2)*CX56,2)</f>
        <v>0</v>
      </c>
      <c r="DG56">
        <f>ROUND(ROUND(AF56*AJ56,2)*CX56,2)</f>
        <v>867.83</v>
      </c>
      <c r="DH56">
        <f>ROUND(ROUND(AG56*AK56,2)*CX56,2)</f>
        <v>396.38</v>
      </c>
      <c r="DI56">
        <f>ROUND(ROUND(AH56,2)*CX56,2)</f>
        <v>0</v>
      </c>
      <c r="DJ56">
        <f>DG56</f>
        <v>867.83</v>
      </c>
      <c r="DK56">
        <v>0</v>
      </c>
      <c r="DL56" t="s">
        <v>3</v>
      </c>
      <c r="DM56">
        <v>0</v>
      </c>
      <c r="DN56" t="s">
        <v>3</v>
      </c>
      <c r="DO56">
        <v>0</v>
      </c>
    </row>
    <row r="57" spans="1:119" x14ac:dyDescent="0.2">
      <c r="A57">
        <f>ROW(Source!A37)</f>
        <v>37</v>
      </c>
      <c r="B57">
        <v>145016711</v>
      </c>
      <c r="C57">
        <v>145016837</v>
      </c>
      <c r="D57">
        <v>140770862</v>
      </c>
      <c r="E57">
        <v>1</v>
      </c>
      <c r="F57">
        <v>1</v>
      </c>
      <c r="G57">
        <v>1</v>
      </c>
      <c r="H57">
        <v>3</v>
      </c>
      <c r="I57" t="s">
        <v>109</v>
      </c>
      <c r="J57" t="s">
        <v>111</v>
      </c>
      <c r="K57" t="s">
        <v>110</v>
      </c>
      <c r="L57">
        <v>1348</v>
      </c>
      <c r="N57">
        <v>1009</v>
      </c>
      <c r="O57" t="s">
        <v>66</v>
      </c>
      <c r="P57" t="s">
        <v>66</v>
      </c>
      <c r="Q57">
        <v>1000</v>
      </c>
      <c r="W57">
        <v>1</v>
      </c>
      <c r="X57">
        <v>-2105186236</v>
      </c>
      <c r="Y57">
        <f>AT57</f>
        <v>-4.4999999999999998E-2</v>
      </c>
      <c r="AA57">
        <v>17960</v>
      </c>
      <c r="AB57">
        <v>0</v>
      </c>
      <c r="AC57">
        <v>0</v>
      </c>
      <c r="AD57">
        <v>0</v>
      </c>
      <c r="AE57">
        <v>2000</v>
      </c>
      <c r="AF57">
        <v>0</v>
      </c>
      <c r="AG57">
        <v>0</v>
      </c>
      <c r="AH57">
        <v>0</v>
      </c>
      <c r="AI57">
        <v>8.98</v>
      </c>
      <c r="AJ57">
        <v>1</v>
      </c>
      <c r="AK57">
        <v>1</v>
      </c>
      <c r="AL57">
        <v>1</v>
      </c>
      <c r="AM57">
        <v>4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-4.4999999999999998E-2</v>
      </c>
      <c r="AU57" t="s">
        <v>3</v>
      </c>
      <c r="AV57">
        <v>0</v>
      </c>
      <c r="AW57">
        <v>2</v>
      </c>
      <c r="AX57">
        <v>145016845</v>
      </c>
      <c r="AY57">
        <v>1</v>
      </c>
      <c r="AZ57">
        <v>6144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ROUND(Y57*Source!I37,9)</f>
        <v>-0.95625000000000004</v>
      </c>
      <c r="CY57">
        <f>AA57</f>
        <v>17960</v>
      </c>
      <c r="CZ57">
        <f>AE57</f>
        <v>2000</v>
      </c>
      <c r="DA57">
        <f>AI57</f>
        <v>8.98</v>
      </c>
      <c r="DB57">
        <f>ROUND(ROUND(AT57*CZ57,2),2)</f>
        <v>-90</v>
      </c>
      <c r="DC57">
        <f>ROUND(ROUND(AT57*AG57,2),2)</f>
        <v>0</v>
      </c>
      <c r="DD57" t="s">
        <v>3</v>
      </c>
      <c r="DE57" t="s">
        <v>3</v>
      </c>
      <c r="DF57">
        <f>ROUND(ROUND(AE57*AI57,2)*CX57,2)</f>
        <v>-17174.25</v>
      </c>
      <c r="DG57">
        <f>ROUND(ROUND(AF57,2)*CX57,2)</f>
        <v>0</v>
      </c>
      <c r="DH57">
        <f>ROUND(ROUND(AG57,2)*CX57,2)</f>
        <v>0</v>
      </c>
      <c r="DI57">
        <f>ROUND(ROUND(AH57,2)*CX57,2)</f>
        <v>0</v>
      </c>
      <c r="DJ57">
        <f>DF57</f>
        <v>-17174.25</v>
      </c>
      <c r="DK57">
        <v>0</v>
      </c>
      <c r="DL57" t="s">
        <v>3</v>
      </c>
      <c r="DM57">
        <v>0</v>
      </c>
      <c r="DN57" t="s">
        <v>3</v>
      </c>
      <c r="DO57">
        <v>0</v>
      </c>
    </row>
    <row r="58" spans="1:119" x14ac:dyDescent="0.2">
      <c r="A58">
        <f>ROW(Source!A40)</f>
        <v>40</v>
      </c>
      <c r="B58">
        <v>145016711</v>
      </c>
      <c r="C58">
        <v>145016848</v>
      </c>
      <c r="D58">
        <v>140760022</v>
      </c>
      <c r="E58">
        <v>70</v>
      </c>
      <c r="F58">
        <v>1</v>
      </c>
      <c r="G58">
        <v>1</v>
      </c>
      <c r="H58">
        <v>1</v>
      </c>
      <c r="I58" t="s">
        <v>350</v>
      </c>
      <c r="J58" t="s">
        <v>3</v>
      </c>
      <c r="K58" t="s">
        <v>351</v>
      </c>
      <c r="L58">
        <v>1191</v>
      </c>
      <c r="N58">
        <v>1013</v>
      </c>
      <c r="O58" t="s">
        <v>288</v>
      </c>
      <c r="P58" t="s">
        <v>288</v>
      </c>
      <c r="Q58">
        <v>1</v>
      </c>
      <c r="W58">
        <v>0</v>
      </c>
      <c r="X58">
        <v>-2012709214</v>
      </c>
      <c r="Y58">
        <f>(AT58*1.15)</f>
        <v>16.513999999999999</v>
      </c>
      <c r="AA58">
        <v>0</v>
      </c>
      <c r="AB58">
        <v>0</v>
      </c>
      <c r="AC58">
        <v>0</v>
      </c>
      <c r="AD58">
        <v>302.3</v>
      </c>
      <c r="AE58">
        <v>0</v>
      </c>
      <c r="AF58">
        <v>0</v>
      </c>
      <c r="AG58">
        <v>0</v>
      </c>
      <c r="AH58">
        <v>9.4</v>
      </c>
      <c r="AI58">
        <v>1</v>
      </c>
      <c r="AJ58">
        <v>1</v>
      </c>
      <c r="AK58">
        <v>1</v>
      </c>
      <c r="AL58">
        <v>32.159999999999997</v>
      </c>
      <c r="AM58">
        <v>4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14.36</v>
      </c>
      <c r="AU58" t="s">
        <v>48</v>
      </c>
      <c r="AV58">
        <v>1</v>
      </c>
      <c r="AW58">
        <v>2</v>
      </c>
      <c r="AX58">
        <v>145016857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ROUND(Y58*Source!I40,9)</f>
        <v>343.49119999999999</v>
      </c>
      <c r="CY58">
        <f>AD58</f>
        <v>302.3</v>
      </c>
      <c r="CZ58">
        <f>AH58</f>
        <v>9.4</v>
      </c>
      <c r="DA58">
        <f>AL58</f>
        <v>32.159999999999997</v>
      </c>
      <c r="DB58">
        <f>ROUND((ROUND(AT58*CZ58,2)*1.15),2)</f>
        <v>155.22999999999999</v>
      </c>
      <c r="DC58">
        <f>ROUND((ROUND(AT58*AG58,2)*1.15),2)</f>
        <v>0</v>
      </c>
      <c r="DD58" t="s">
        <v>3</v>
      </c>
      <c r="DE58" t="s">
        <v>3</v>
      </c>
      <c r="DF58">
        <f>ROUND(ROUND(AE58,2)*CX58,2)</f>
        <v>0</v>
      </c>
      <c r="DG58">
        <f>ROUND(ROUND(AF58,2)*CX58,2)</f>
        <v>0</v>
      </c>
      <c r="DH58">
        <f>ROUND(ROUND(AG58,2)*CX58,2)</f>
        <v>0</v>
      </c>
      <c r="DI58">
        <f>ROUND(ROUND(AH58*AL58,2)*CX58,2)</f>
        <v>103837.39</v>
      </c>
      <c r="DJ58">
        <f>DI58</f>
        <v>103837.39</v>
      </c>
      <c r="DK58">
        <v>0</v>
      </c>
      <c r="DL58" t="s">
        <v>3</v>
      </c>
      <c r="DM58">
        <v>0</v>
      </c>
      <c r="DN58" t="s">
        <v>3</v>
      </c>
      <c r="DO58">
        <v>0</v>
      </c>
    </row>
    <row r="59" spans="1:119" x14ac:dyDescent="0.2">
      <c r="A59">
        <f>ROW(Source!A40)</f>
        <v>40</v>
      </c>
      <c r="B59">
        <v>145016711</v>
      </c>
      <c r="C59">
        <v>145016848</v>
      </c>
      <c r="D59">
        <v>140760225</v>
      </c>
      <c r="E59">
        <v>70</v>
      </c>
      <c r="F59">
        <v>1</v>
      </c>
      <c r="G59">
        <v>1</v>
      </c>
      <c r="H59">
        <v>1</v>
      </c>
      <c r="I59" t="s">
        <v>295</v>
      </c>
      <c r="J59" t="s">
        <v>3</v>
      </c>
      <c r="K59" t="s">
        <v>296</v>
      </c>
      <c r="L59">
        <v>1191</v>
      </c>
      <c r="N59">
        <v>1013</v>
      </c>
      <c r="O59" t="s">
        <v>288</v>
      </c>
      <c r="P59" t="s">
        <v>288</v>
      </c>
      <c r="Q59">
        <v>1</v>
      </c>
      <c r="W59">
        <v>0</v>
      </c>
      <c r="X59">
        <v>-1417349443</v>
      </c>
      <c r="Y59">
        <f>(AT59*1.25)</f>
        <v>0.36249999999999999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32.159999999999997</v>
      </c>
      <c r="AL59">
        <v>1</v>
      </c>
      <c r="AM59">
        <v>4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0.28999999999999998</v>
      </c>
      <c r="AU59" t="s">
        <v>47</v>
      </c>
      <c r="AV59">
        <v>2</v>
      </c>
      <c r="AW59">
        <v>2</v>
      </c>
      <c r="AX59">
        <v>145016858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ROUND(Y59*Source!I40,9)</f>
        <v>7.54</v>
      </c>
      <c r="CY59">
        <f>AD59</f>
        <v>0</v>
      </c>
      <c r="CZ59">
        <f>AH59</f>
        <v>0</v>
      </c>
      <c r="DA59">
        <f>AL59</f>
        <v>1</v>
      </c>
      <c r="DB59">
        <f>ROUND((ROUND(AT59*CZ59,2)*1.25),2)</f>
        <v>0</v>
      </c>
      <c r="DC59">
        <f>ROUND((ROUND(AT59*AG59,2)*1.25),2)</f>
        <v>0</v>
      </c>
      <c r="DD59" t="s">
        <v>3</v>
      </c>
      <c r="DE59" t="s">
        <v>3</v>
      </c>
      <c r="DF59">
        <f>ROUND(ROUND(AE59,2)*CX59,2)</f>
        <v>0</v>
      </c>
      <c r="DG59">
        <f>ROUND(ROUND(AF59,2)*CX59,2)</f>
        <v>0</v>
      </c>
      <c r="DH59">
        <f>ROUND(ROUND(AG59*AK59,2)*CX59,2)</f>
        <v>0</v>
      </c>
      <c r="DI59">
        <f t="shared" ref="DI59:DI65" si="7">ROUND(ROUND(AH59,2)*CX59,2)</f>
        <v>0</v>
      </c>
      <c r="DJ59">
        <f>DI59</f>
        <v>0</v>
      </c>
      <c r="DK59">
        <v>0</v>
      </c>
      <c r="DL59" t="s">
        <v>3</v>
      </c>
      <c r="DM59">
        <v>0</v>
      </c>
      <c r="DN59" t="s">
        <v>3</v>
      </c>
      <c r="DO59">
        <v>0</v>
      </c>
    </row>
    <row r="60" spans="1:119" x14ac:dyDescent="0.2">
      <c r="A60">
        <f>ROW(Source!A40)</f>
        <v>40</v>
      </c>
      <c r="B60">
        <v>145016711</v>
      </c>
      <c r="C60">
        <v>145016848</v>
      </c>
      <c r="D60">
        <v>140922893</v>
      </c>
      <c r="E60">
        <v>1</v>
      </c>
      <c r="F60">
        <v>1</v>
      </c>
      <c r="G60">
        <v>1</v>
      </c>
      <c r="H60">
        <v>2</v>
      </c>
      <c r="I60" t="s">
        <v>297</v>
      </c>
      <c r="J60" t="s">
        <v>298</v>
      </c>
      <c r="K60" t="s">
        <v>299</v>
      </c>
      <c r="L60">
        <v>1367</v>
      </c>
      <c r="N60">
        <v>1011</v>
      </c>
      <c r="O60" t="s">
        <v>300</v>
      </c>
      <c r="P60" t="s">
        <v>300</v>
      </c>
      <c r="Q60">
        <v>1</v>
      </c>
      <c r="W60">
        <v>0</v>
      </c>
      <c r="X60">
        <v>-130837057</v>
      </c>
      <c r="Y60">
        <f>(AT60*1.25)</f>
        <v>0.1875</v>
      </c>
      <c r="AA60">
        <v>0</v>
      </c>
      <c r="AB60">
        <v>1073.95</v>
      </c>
      <c r="AC60">
        <v>434.16</v>
      </c>
      <c r="AD60">
        <v>0</v>
      </c>
      <c r="AE60">
        <v>0</v>
      </c>
      <c r="AF60">
        <v>86.4</v>
      </c>
      <c r="AG60">
        <v>13.5</v>
      </c>
      <c r="AH60">
        <v>0</v>
      </c>
      <c r="AI60">
        <v>1</v>
      </c>
      <c r="AJ60">
        <v>12.43</v>
      </c>
      <c r="AK60">
        <v>32.159999999999997</v>
      </c>
      <c r="AL60">
        <v>1</v>
      </c>
      <c r="AM60">
        <v>4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0.15</v>
      </c>
      <c r="AU60" t="s">
        <v>47</v>
      </c>
      <c r="AV60">
        <v>0</v>
      </c>
      <c r="AW60">
        <v>2</v>
      </c>
      <c r="AX60">
        <v>145016859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ROUND(Y60*Source!I40,9)</f>
        <v>3.9</v>
      </c>
      <c r="CY60">
        <f>AB60</f>
        <v>1073.95</v>
      </c>
      <c r="CZ60">
        <f>AF60</f>
        <v>86.4</v>
      </c>
      <c r="DA60">
        <f>AJ60</f>
        <v>12.43</v>
      </c>
      <c r="DB60">
        <f>ROUND((ROUND(AT60*CZ60,2)*1.25),2)</f>
        <v>16.2</v>
      </c>
      <c r="DC60">
        <f>ROUND((ROUND(AT60*AG60,2)*1.25),2)</f>
        <v>2.54</v>
      </c>
      <c r="DD60" t="s">
        <v>3</v>
      </c>
      <c r="DE60" t="s">
        <v>3</v>
      </c>
      <c r="DF60">
        <f>ROUND(ROUND(AE60,2)*CX60,2)</f>
        <v>0</v>
      </c>
      <c r="DG60">
        <f>ROUND(ROUND(AF60*AJ60,2)*CX60,2)</f>
        <v>4188.41</v>
      </c>
      <c r="DH60">
        <f>ROUND(ROUND(AG60*AK60,2)*CX60,2)</f>
        <v>1693.22</v>
      </c>
      <c r="DI60">
        <f t="shared" si="7"/>
        <v>0</v>
      </c>
      <c r="DJ60">
        <f>DG60</f>
        <v>4188.41</v>
      </c>
      <c r="DK60">
        <v>0</v>
      </c>
      <c r="DL60" t="s">
        <v>3</v>
      </c>
      <c r="DM60">
        <v>0</v>
      </c>
      <c r="DN60" t="s">
        <v>3</v>
      </c>
      <c r="DO60">
        <v>0</v>
      </c>
    </row>
    <row r="61" spans="1:119" x14ac:dyDescent="0.2">
      <c r="A61">
        <f>ROW(Source!A40)</f>
        <v>40</v>
      </c>
      <c r="B61">
        <v>145016711</v>
      </c>
      <c r="C61">
        <v>145016848</v>
      </c>
      <c r="D61">
        <v>140922951</v>
      </c>
      <c r="E61">
        <v>1</v>
      </c>
      <c r="F61">
        <v>1</v>
      </c>
      <c r="G61">
        <v>1</v>
      </c>
      <c r="H61">
        <v>2</v>
      </c>
      <c r="I61" t="s">
        <v>317</v>
      </c>
      <c r="J61" t="s">
        <v>318</v>
      </c>
      <c r="K61" t="s">
        <v>319</v>
      </c>
      <c r="L61">
        <v>1367</v>
      </c>
      <c r="N61">
        <v>1011</v>
      </c>
      <c r="O61" t="s">
        <v>300</v>
      </c>
      <c r="P61" t="s">
        <v>300</v>
      </c>
      <c r="Q61">
        <v>1</v>
      </c>
      <c r="W61">
        <v>0</v>
      </c>
      <c r="X61">
        <v>-430484415</v>
      </c>
      <c r="Y61">
        <f>(AT61*1.25)</f>
        <v>6.25E-2</v>
      </c>
      <c r="AA61">
        <v>0</v>
      </c>
      <c r="AB61">
        <v>1434.42</v>
      </c>
      <c r="AC61">
        <v>434.16</v>
      </c>
      <c r="AD61">
        <v>0</v>
      </c>
      <c r="AE61">
        <v>0</v>
      </c>
      <c r="AF61">
        <v>115.4</v>
      </c>
      <c r="AG61">
        <v>13.5</v>
      </c>
      <c r="AH61">
        <v>0</v>
      </c>
      <c r="AI61">
        <v>1</v>
      </c>
      <c r="AJ61">
        <v>12.43</v>
      </c>
      <c r="AK61">
        <v>32.159999999999997</v>
      </c>
      <c r="AL61">
        <v>1</v>
      </c>
      <c r="AM61">
        <v>4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0.05</v>
      </c>
      <c r="AU61" t="s">
        <v>47</v>
      </c>
      <c r="AV61">
        <v>0</v>
      </c>
      <c r="AW61">
        <v>2</v>
      </c>
      <c r="AX61">
        <v>145016860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ROUND(Y61*Source!I40,9)</f>
        <v>1.3</v>
      </c>
      <c r="CY61">
        <f>AB61</f>
        <v>1434.42</v>
      </c>
      <c r="CZ61">
        <f>AF61</f>
        <v>115.4</v>
      </c>
      <c r="DA61">
        <f>AJ61</f>
        <v>12.43</v>
      </c>
      <c r="DB61">
        <f>ROUND((ROUND(AT61*CZ61,2)*1.25),2)</f>
        <v>7.21</v>
      </c>
      <c r="DC61">
        <f>ROUND((ROUND(AT61*AG61,2)*1.25),2)</f>
        <v>0.85</v>
      </c>
      <c r="DD61" t="s">
        <v>3</v>
      </c>
      <c r="DE61" t="s">
        <v>3</v>
      </c>
      <c r="DF61">
        <f>ROUND(ROUND(AE61,2)*CX61,2)</f>
        <v>0</v>
      </c>
      <c r="DG61">
        <f>ROUND(ROUND(AF61*AJ61,2)*CX61,2)</f>
        <v>1864.75</v>
      </c>
      <c r="DH61">
        <f>ROUND(ROUND(AG61*AK61,2)*CX61,2)</f>
        <v>564.41</v>
      </c>
      <c r="DI61">
        <f t="shared" si="7"/>
        <v>0</v>
      </c>
      <c r="DJ61">
        <f>DG61</f>
        <v>1864.75</v>
      </c>
      <c r="DK61">
        <v>0</v>
      </c>
      <c r="DL61" t="s">
        <v>3</v>
      </c>
      <c r="DM61">
        <v>0</v>
      </c>
      <c r="DN61" t="s">
        <v>3</v>
      </c>
      <c r="DO61">
        <v>0</v>
      </c>
    </row>
    <row r="62" spans="1:119" x14ac:dyDescent="0.2">
      <c r="A62">
        <f>ROW(Source!A40)</f>
        <v>40</v>
      </c>
      <c r="B62">
        <v>145016711</v>
      </c>
      <c r="C62">
        <v>145016848</v>
      </c>
      <c r="D62">
        <v>140923885</v>
      </c>
      <c r="E62">
        <v>1</v>
      </c>
      <c r="F62">
        <v>1</v>
      </c>
      <c r="G62">
        <v>1</v>
      </c>
      <c r="H62">
        <v>2</v>
      </c>
      <c r="I62" t="s">
        <v>320</v>
      </c>
      <c r="J62" t="s">
        <v>321</v>
      </c>
      <c r="K62" t="s">
        <v>322</v>
      </c>
      <c r="L62">
        <v>1367</v>
      </c>
      <c r="N62">
        <v>1011</v>
      </c>
      <c r="O62" t="s">
        <v>300</v>
      </c>
      <c r="P62" t="s">
        <v>300</v>
      </c>
      <c r="Q62">
        <v>1</v>
      </c>
      <c r="W62">
        <v>0</v>
      </c>
      <c r="X62">
        <v>509054691</v>
      </c>
      <c r="Y62">
        <f>(AT62*1.25)</f>
        <v>0.11249999999999999</v>
      </c>
      <c r="AA62">
        <v>0</v>
      </c>
      <c r="AB62">
        <v>816.78</v>
      </c>
      <c r="AC62">
        <v>373.06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12.43</v>
      </c>
      <c r="AK62">
        <v>32.159999999999997</v>
      </c>
      <c r="AL62">
        <v>1</v>
      </c>
      <c r="AM62">
        <v>4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0.09</v>
      </c>
      <c r="AU62" t="s">
        <v>47</v>
      </c>
      <c r="AV62">
        <v>0</v>
      </c>
      <c r="AW62">
        <v>2</v>
      </c>
      <c r="AX62">
        <v>145016861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ROUND(Y62*Source!I40,9)</f>
        <v>2.34</v>
      </c>
      <c r="CY62">
        <f>AB62</f>
        <v>816.78</v>
      </c>
      <c r="CZ62">
        <f>AF62</f>
        <v>65.709999999999994</v>
      </c>
      <c r="DA62">
        <f>AJ62</f>
        <v>12.43</v>
      </c>
      <c r="DB62">
        <f>ROUND((ROUND(AT62*CZ62,2)*1.25),2)</f>
        <v>7.39</v>
      </c>
      <c r="DC62">
        <f>ROUND((ROUND(AT62*AG62,2)*1.25),2)</f>
        <v>1.3</v>
      </c>
      <c r="DD62" t="s">
        <v>3</v>
      </c>
      <c r="DE62" t="s">
        <v>3</v>
      </c>
      <c r="DF62">
        <f>ROUND(ROUND(AE62,2)*CX62,2)</f>
        <v>0</v>
      </c>
      <c r="DG62">
        <f>ROUND(ROUND(AF62*AJ62,2)*CX62,2)</f>
        <v>1911.27</v>
      </c>
      <c r="DH62">
        <f>ROUND(ROUND(AG62*AK62,2)*CX62,2)</f>
        <v>872.96</v>
      </c>
      <c r="DI62">
        <f t="shared" si="7"/>
        <v>0</v>
      </c>
      <c r="DJ62">
        <f>DG62</f>
        <v>1911.27</v>
      </c>
      <c r="DK62">
        <v>0</v>
      </c>
      <c r="DL62" t="s">
        <v>3</v>
      </c>
      <c r="DM62">
        <v>0</v>
      </c>
      <c r="DN62" t="s">
        <v>3</v>
      </c>
      <c r="DO62">
        <v>0</v>
      </c>
    </row>
    <row r="63" spans="1:119" x14ac:dyDescent="0.2">
      <c r="A63">
        <f>ROW(Source!A40)</f>
        <v>40</v>
      </c>
      <c r="B63">
        <v>145016711</v>
      </c>
      <c r="C63">
        <v>145016848</v>
      </c>
      <c r="D63">
        <v>140771011</v>
      </c>
      <c r="E63">
        <v>1</v>
      </c>
      <c r="F63">
        <v>1</v>
      </c>
      <c r="G63">
        <v>1</v>
      </c>
      <c r="H63">
        <v>3</v>
      </c>
      <c r="I63" t="s">
        <v>352</v>
      </c>
      <c r="J63" t="s">
        <v>353</v>
      </c>
      <c r="K63" t="s">
        <v>354</v>
      </c>
      <c r="L63">
        <v>1346</v>
      </c>
      <c r="N63">
        <v>1009</v>
      </c>
      <c r="O63" t="s">
        <v>94</v>
      </c>
      <c r="P63" t="s">
        <v>94</v>
      </c>
      <c r="Q63">
        <v>1</v>
      </c>
      <c r="W63">
        <v>0</v>
      </c>
      <c r="X63">
        <v>-2118006079</v>
      </c>
      <c r="Y63">
        <f>AT63</f>
        <v>29.94</v>
      </c>
      <c r="AA63">
        <v>54.69</v>
      </c>
      <c r="AB63">
        <v>0</v>
      </c>
      <c r="AC63">
        <v>0</v>
      </c>
      <c r="AD63">
        <v>0</v>
      </c>
      <c r="AE63">
        <v>6.09</v>
      </c>
      <c r="AF63">
        <v>0</v>
      </c>
      <c r="AG63">
        <v>0</v>
      </c>
      <c r="AH63">
        <v>0</v>
      </c>
      <c r="AI63">
        <v>8.98</v>
      </c>
      <c r="AJ63">
        <v>1</v>
      </c>
      <c r="AK63">
        <v>1</v>
      </c>
      <c r="AL63">
        <v>1</v>
      </c>
      <c r="AM63">
        <v>4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29.94</v>
      </c>
      <c r="AU63" t="s">
        <v>3</v>
      </c>
      <c r="AV63">
        <v>0</v>
      </c>
      <c r="AW63">
        <v>2</v>
      </c>
      <c r="AX63">
        <v>145016862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ROUND(Y63*Source!I40,9)</f>
        <v>622.75199999999995</v>
      </c>
      <c r="CY63">
        <f>AA63</f>
        <v>54.69</v>
      </c>
      <c r="CZ63">
        <f>AE63</f>
        <v>6.09</v>
      </c>
      <c r="DA63">
        <f>AI63</f>
        <v>8.98</v>
      </c>
      <c r="DB63">
        <f>ROUND(ROUND(AT63*CZ63,2),2)</f>
        <v>182.33</v>
      </c>
      <c r="DC63">
        <f>ROUND(ROUND(AT63*AG63,2),2)</f>
        <v>0</v>
      </c>
      <c r="DD63" t="s">
        <v>3</v>
      </c>
      <c r="DE63" t="s">
        <v>3</v>
      </c>
      <c r="DF63">
        <f>ROUND(ROUND(AE63*AI63,2)*CX63,2)</f>
        <v>34058.31</v>
      </c>
      <c r="DG63">
        <f>ROUND(ROUND(AF63,2)*CX63,2)</f>
        <v>0</v>
      </c>
      <c r="DH63">
        <f>ROUND(ROUND(AG63,2)*CX63,2)</f>
        <v>0</v>
      </c>
      <c r="DI63">
        <f t="shared" si="7"/>
        <v>0</v>
      </c>
      <c r="DJ63">
        <f>DF63</f>
        <v>34058.31</v>
      </c>
      <c r="DK63">
        <v>0</v>
      </c>
      <c r="DL63" t="s">
        <v>3</v>
      </c>
      <c r="DM63">
        <v>0</v>
      </c>
      <c r="DN63" t="s">
        <v>3</v>
      </c>
      <c r="DO63">
        <v>0</v>
      </c>
    </row>
    <row r="64" spans="1:119" x14ac:dyDescent="0.2">
      <c r="A64">
        <f>ROW(Source!A40)</f>
        <v>40</v>
      </c>
      <c r="B64">
        <v>145016711</v>
      </c>
      <c r="C64">
        <v>145016848</v>
      </c>
      <c r="D64">
        <v>140762867</v>
      </c>
      <c r="E64">
        <v>70</v>
      </c>
      <c r="F64">
        <v>1</v>
      </c>
      <c r="G64">
        <v>1</v>
      </c>
      <c r="H64">
        <v>3</v>
      </c>
      <c r="I64" t="s">
        <v>355</v>
      </c>
      <c r="J64" t="s">
        <v>3</v>
      </c>
      <c r="K64" t="s">
        <v>359</v>
      </c>
      <c r="L64">
        <v>1327</v>
      </c>
      <c r="N64">
        <v>1005</v>
      </c>
      <c r="O64" t="s">
        <v>74</v>
      </c>
      <c r="P64" t="s">
        <v>74</v>
      </c>
      <c r="Q64">
        <v>1</v>
      </c>
      <c r="W64">
        <v>0</v>
      </c>
      <c r="X64">
        <v>-867060388</v>
      </c>
      <c r="Y64">
        <f>AT64</f>
        <v>114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8.98</v>
      </c>
      <c r="AJ64">
        <v>1</v>
      </c>
      <c r="AK64">
        <v>1</v>
      </c>
      <c r="AL64">
        <v>1</v>
      </c>
      <c r="AM64">
        <v>4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3</v>
      </c>
      <c r="AT64">
        <v>114</v>
      </c>
      <c r="AU64" t="s">
        <v>3</v>
      </c>
      <c r="AV64">
        <v>0</v>
      </c>
      <c r="AW64">
        <v>2</v>
      </c>
      <c r="AX64">
        <v>145016863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ROUND(Y64*Source!I40,9)</f>
        <v>2371.1999999999998</v>
      </c>
      <c r="CY64">
        <f>AA64</f>
        <v>0</v>
      </c>
      <c r="CZ64">
        <f>AE64</f>
        <v>0</v>
      </c>
      <c r="DA64">
        <f>AI64</f>
        <v>8.98</v>
      </c>
      <c r="DB64">
        <f>ROUND(ROUND(AT64*CZ64,2),2)</f>
        <v>0</v>
      </c>
      <c r="DC64">
        <f>ROUND(ROUND(AT64*AG64,2),2)</f>
        <v>0</v>
      </c>
      <c r="DD64" t="s">
        <v>3</v>
      </c>
      <c r="DE64" t="s">
        <v>3</v>
      </c>
      <c r="DF64">
        <f>ROUND(ROUND(AE64*AI64,2)*CX64,2)</f>
        <v>0</v>
      </c>
      <c r="DG64">
        <f>ROUND(ROUND(AF64,2)*CX64,2)</f>
        <v>0</v>
      </c>
      <c r="DH64">
        <f>ROUND(ROUND(AG64,2)*CX64,2)</f>
        <v>0</v>
      </c>
      <c r="DI64">
        <f t="shared" si="7"/>
        <v>0</v>
      </c>
      <c r="DJ64">
        <f>DF64</f>
        <v>0</v>
      </c>
      <c r="DK64">
        <v>0</v>
      </c>
      <c r="DL64" t="s">
        <v>3</v>
      </c>
      <c r="DM64">
        <v>0</v>
      </c>
      <c r="DN64" t="s">
        <v>3</v>
      </c>
      <c r="DO64">
        <v>0</v>
      </c>
    </row>
    <row r="65" spans="1:119" x14ac:dyDescent="0.2">
      <c r="A65">
        <f>ROW(Source!A40)</f>
        <v>40</v>
      </c>
      <c r="B65">
        <v>145016711</v>
      </c>
      <c r="C65">
        <v>145016848</v>
      </c>
      <c r="D65">
        <v>140762867</v>
      </c>
      <c r="E65">
        <v>70</v>
      </c>
      <c r="F65">
        <v>1</v>
      </c>
      <c r="G65">
        <v>1</v>
      </c>
      <c r="H65">
        <v>3</v>
      </c>
      <c r="I65" t="s">
        <v>355</v>
      </c>
      <c r="J65" t="s">
        <v>3</v>
      </c>
      <c r="K65" t="s">
        <v>360</v>
      </c>
      <c r="L65">
        <v>1327</v>
      </c>
      <c r="N65">
        <v>1005</v>
      </c>
      <c r="O65" t="s">
        <v>74</v>
      </c>
      <c r="P65" t="s">
        <v>74</v>
      </c>
      <c r="Q65">
        <v>1</v>
      </c>
      <c r="W65">
        <v>0</v>
      </c>
      <c r="X65">
        <v>-1441358911</v>
      </c>
      <c r="Y65">
        <f>AT65</f>
        <v>116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8.98</v>
      </c>
      <c r="AJ65">
        <v>1</v>
      </c>
      <c r="AK65">
        <v>1</v>
      </c>
      <c r="AL65">
        <v>1</v>
      </c>
      <c r="AM65">
        <v>4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3</v>
      </c>
      <c r="AT65">
        <v>116</v>
      </c>
      <c r="AU65" t="s">
        <v>3</v>
      </c>
      <c r="AV65">
        <v>0</v>
      </c>
      <c r="AW65">
        <v>2</v>
      </c>
      <c r="AX65">
        <v>145016864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ROUND(Y65*Source!I40,9)</f>
        <v>2412.8000000000002</v>
      </c>
      <c r="CY65">
        <f>AA65</f>
        <v>0</v>
      </c>
      <c r="CZ65">
        <f>AE65</f>
        <v>0</v>
      </c>
      <c r="DA65">
        <f>AI65</f>
        <v>8.98</v>
      </c>
      <c r="DB65">
        <f>ROUND(ROUND(AT65*CZ65,2),2)</f>
        <v>0</v>
      </c>
      <c r="DC65">
        <f>ROUND(ROUND(AT65*AG65,2),2)</f>
        <v>0</v>
      </c>
      <c r="DD65" t="s">
        <v>3</v>
      </c>
      <c r="DE65" t="s">
        <v>3</v>
      </c>
      <c r="DF65">
        <f>ROUND(ROUND(AE65*AI65,2)*CX65,2)</f>
        <v>0</v>
      </c>
      <c r="DG65">
        <f>ROUND(ROUND(AF65,2)*CX65,2)</f>
        <v>0</v>
      </c>
      <c r="DH65">
        <f>ROUND(ROUND(AG65,2)*CX65,2)</f>
        <v>0</v>
      </c>
      <c r="DI65">
        <f t="shared" si="7"/>
        <v>0</v>
      </c>
      <c r="DJ65">
        <f>DF65</f>
        <v>0</v>
      </c>
      <c r="DK65">
        <v>0</v>
      </c>
      <c r="DL65" t="s">
        <v>3</v>
      </c>
      <c r="DM65">
        <v>0</v>
      </c>
      <c r="DN65" t="s">
        <v>3</v>
      </c>
      <c r="DO65">
        <v>0</v>
      </c>
    </row>
    <row r="66" spans="1:119" x14ac:dyDescent="0.2">
      <c r="A66">
        <f>ROW(Source!A43)</f>
        <v>43</v>
      </c>
      <c r="B66">
        <v>145016711</v>
      </c>
      <c r="C66">
        <v>145016867</v>
      </c>
      <c r="D66">
        <v>140760008</v>
      </c>
      <c r="E66">
        <v>70</v>
      </c>
      <c r="F66">
        <v>1</v>
      </c>
      <c r="G66">
        <v>1</v>
      </c>
      <c r="H66">
        <v>1</v>
      </c>
      <c r="I66" t="s">
        <v>361</v>
      </c>
      <c r="J66" t="s">
        <v>3</v>
      </c>
      <c r="K66" t="s">
        <v>362</v>
      </c>
      <c r="L66">
        <v>1191</v>
      </c>
      <c r="N66">
        <v>1013</v>
      </c>
      <c r="O66" t="s">
        <v>288</v>
      </c>
      <c r="P66" t="s">
        <v>288</v>
      </c>
      <c r="Q66">
        <v>1</v>
      </c>
      <c r="W66">
        <v>0</v>
      </c>
      <c r="X66">
        <v>-1810713292</v>
      </c>
      <c r="Y66">
        <f>(AT66*1.15)</f>
        <v>40.824999999999996</v>
      </c>
      <c r="AA66">
        <v>0</v>
      </c>
      <c r="AB66">
        <v>0</v>
      </c>
      <c r="AC66">
        <v>0</v>
      </c>
      <c r="AD66">
        <v>295.23</v>
      </c>
      <c r="AE66">
        <v>0</v>
      </c>
      <c r="AF66">
        <v>0</v>
      </c>
      <c r="AG66">
        <v>0</v>
      </c>
      <c r="AH66">
        <v>9.18</v>
      </c>
      <c r="AI66">
        <v>1</v>
      </c>
      <c r="AJ66">
        <v>1</v>
      </c>
      <c r="AK66">
        <v>1</v>
      </c>
      <c r="AL66">
        <v>32.159999999999997</v>
      </c>
      <c r="AM66">
        <v>4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35.5</v>
      </c>
      <c r="AU66" t="s">
        <v>48</v>
      </c>
      <c r="AV66">
        <v>1</v>
      </c>
      <c r="AW66">
        <v>2</v>
      </c>
      <c r="AX66">
        <v>145016876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ROUND(Y66*Source!I43,9)</f>
        <v>30.618749999999999</v>
      </c>
      <c r="CY66">
        <f>AD66</f>
        <v>295.23</v>
      </c>
      <c r="CZ66">
        <f>AH66</f>
        <v>9.18</v>
      </c>
      <c r="DA66">
        <f>AL66</f>
        <v>32.159999999999997</v>
      </c>
      <c r="DB66">
        <f>ROUND((ROUND(AT66*CZ66,2)*1.15),2)</f>
        <v>374.77</v>
      </c>
      <c r="DC66">
        <f>ROUND((ROUND(AT66*AG66,2)*1.15),2)</f>
        <v>0</v>
      </c>
      <c r="DD66" t="s">
        <v>3</v>
      </c>
      <c r="DE66" t="s">
        <v>3</v>
      </c>
      <c r="DF66">
        <f>ROUND(ROUND(AE66,2)*CX66,2)</f>
        <v>0</v>
      </c>
      <c r="DG66">
        <f>ROUND(ROUND(AF66,2)*CX66,2)</f>
        <v>0</v>
      </c>
      <c r="DH66">
        <f>ROUND(ROUND(AG66,2)*CX66,2)</f>
        <v>0</v>
      </c>
      <c r="DI66">
        <f>ROUND(ROUND(AH66*AL66,2)*CX66,2)</f>
        <v>9039.57</v>
      </c>
      <c r="DJ66">
        <f>DI66</f>
        <v>9039.57</v>
      </c>
      <c r="DK66">
        <v>0</v>
      </c>
      <c r="DL66" t="s">
        <v>3</v>
      </c>
      <c r="DM66">
        <v>0</v>
      </c>
      <c r="DN66" t="s">
        <v>3</v>
      </c>
      <c r="DO66">
        <v>0</v>
      </c>
    </row>
    <row r="67" spans="1:119" x14ac:dyDescent="0.2">
      <c r="A67">
        <f>ROW(Source!A43)</f>
        <v>43</v>
      </c>
      <c r="B67">
        <v>145016711</v>
      </c>
      <c r="C67">
        <v>145016867</v>
      </c>
      <c r="D67">
        <v>140760225</v>
      </c>
      <c r="E67">
        <v>70</v>
      </c>
      <c r="F67">
        <v>1</v>
      </c>
      <c r="G67">
        <v>1</v>
      </c>
      <c r="H67">
        <v>1</v>
      </c>
      <c r="I67" t="s">
        <v>295</v>
      </c>
      <c r="J67" t="s">
        <v>3</v>
      </c>
      <c r="K67" t="s">
        <v>296</v>
      </c>
      <c r="L67">
        <v>1191</v>
      </c>
      <c r="N67">
        <v>1013</v>
      </c>
      <c r="O67" t="s">
        <v>288</v>
      </c>
      <c r="P67" t="s">
        <v>288</v>
      </c>
      <c r="Q67">
        <v>1</v>
      </c>
      <c r="W67">
        <v>0</v>
      </c>
      <c r="X67">
        <v>-1417349443</v>
      </c>
      <c r="Y67">
        <f>(AT67*1.25)</f>
        <v>1.075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32.159999999999997</v>
      </c>
      <c r="AL67">
        <v>1</v>
      </c>
      <c r="AM67">
        <v>4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0.86</v>
      </c>
      <c r="AU67" t="s">
        <v>47</v>
      </c>
      <c r="AV67">
        <v>2</v>
      </c>
      <c r="AW67">
        <v>2</v>
      </c>
      <c r="AX67">
        <v>145016877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ROUND(Y67*Source!I43,9)</f>
        <v>0.80625000000000002</v>
      </c>
      <c r="CY67">
        <f>AD67</f>
        <v>0</v>
      </c>
      <c r="CZ67">
        <f>AH67</f>
        <v>0</v>
      </c>
      <c r="DA67">
        <f>AL67</f>
        <v>1</v>
      </c>
      <c r="DB67">
        <f>ROUND((ROUND(AT67*CZ67,2)*1.25),2)</f>
        <v>0</v>
      </c>
      <c r="DC67">
        <f>ROUND((ROUND(AT67*AG67,2)*1.25),2)</f>
        <v>0</v>
      </c>
      <c r="DD67" t="s">
        <v>3</v>
      </c>
      <c r="DE67" t="s">
        <v>3</v>
      </c>
      <c r="DF67">
        <f>ROUND(ROUND(AE67,2)*CX67,2)</f>
        <v>0</v>
      </c>
      <c r="DG67">
        <f>ROUND(ROUND(AF67,2)*CX67,2)</f>
        <v>0</v>
      </c>
      <c r="DH67">
        <f>ROUND(ROUND(AG67*AK67,2)*CX67,2)</f>
        <v>0</v>
      </c>
      <c r="DI67">
        <f t="shared" ref="DI67:DI73" si="8">ROUND(ROUND(AH67,2)*CX67,2)</f>
        <v>0</v>
      </c>
      <c r="DJ67">
        <f>DI67</f>
        <v>0</v>
      </c>
      <c r="DK67">
        <v>0</v>
      </c>
      <c r="DL67" t="s">
        <v>3</v>
      </c>
      <c r="DM67">
        <v>0</v>
      </c>
      <c r="DN67" t="s">
        <v>3</v>
      </c>
      <c r="DO67">
        <v>0</v>
      </c>
    </row>
    <row r="68" spans="1:119" x14ac:dyDescent="0.2">
      <c r="A68">
        <f>ROW(Source!A43)</f>
        <v>43</v>
      </c>
      <c r="B68">
        <v>145016711</v>
      </c>
      <c r="C68">
        <v>145016867</v>
      </c>
      <c r="D68">
        <v>140922893</v>
      </c>
      <c r="E68">
        <v>1</v>
      </c>
      <c r="F68">
        <v>1</v>
      </c>
      <c r="G68">
        <v>1</v>
      </c>
      <c r="H68">
        <v>2</v>
      </c>
      <c r="I68" t="s">
        <v>297</v>
      </c>
      <c r="J68" t="s">
        <v>298</v>
      </c>
      <c r="K68" t="s">
        <v>299</v>
      </c>
      <c r="L68">
        <v>1367</v>
      </c>
      <c r="N68">
        <v>1011</v>
      </c>
      <c r="O68" t="s">
        <v>300</v>
      </c>
      <c r="P68" t="s">
        <v>300</v>
      </c>
      <c r="Q68">
        <v>1</v>
      </c>
      <c r="W68">
        <v>0</v>
      </c>
      <c r="X68">
        <v>-130837057</v>
      </c>
      <c r="Y68">
        <f>(AT68*1.25)</f>
        <v>0.76249999999999996</v>
      </c>
      <c r="AA68">
        <v>0</v>
      </c>
      <c r="AB68">
        <v>1073.95</v>
      </c>
      <c r="AC68">
        <v>434.16</v>
      </c>
      <c r="AD68">
        <v>0</v>
      </c>
      <c r="AE68">
        <v>0</v>
      </c>
      <c r="AF68">
        <v>86.4</v>
      </c>
      <c r="AG68">
        <v>13.5</v>
      </c>
      <c r="AH68">
        <v>0</v>
      </c>
      <c r="AI68">
        <v>1</v>
      </c>
      <c r="AJ68">
        <v>12.43</v>
      </c>
      <c r="AK68">
        <v>32.159999999999997</v>
      </c>
      <c r="AL68">
        <v>1</v>
      </c>
      <c r="AM68">
        <v>4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0.61</v>
      </c>
      <c r="AU68" t="s">
        <v>47</v>
      </c>
      <c r="AV68">
        <v>0</v>
      </c>
      <c r="AW68">
        <v>2</v>
      </c>
      <c r="AX68">
        <v>145016878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ROUND(Y68*Source!I43,9)</f>
        <v>0.57187500000000002</v>
      </c>
      <c r="CY68">
        <f>AB68</f>
        <v>1073.95</v>
      </c>
      <c r="CZ68">
        <f>AF68</f>
        <v>86.4</v>
      </c>
      <c r="DA68">
        <f>AJ68</f>
        <v>12.43</v>
      </c>
      <c r="DB68">
        <f>ROUND((ROUND(AT68*CZ68,2)*1.25),2)</f>
        <v>65.88</v>
      </c>
      <c r="DC68">
        <f>ROUND((ROUND(AT68*AG68,2)*1.25),2)</f>
        <v>10.3</v>
      </c>
      <c r="DD68" t="s">
        <v>3</v>
      </c>
      <c r="DE68" t="s">
        <v>3</v>
      </c>
      <c r="DF68">
        <f>ROUND(ROUND(AE68,2)*CX68,2)</f>
        <v>0</v>
      </c>
      <c r="DG68">
        <f>ROUND(ROUND(AF68*AJ68,2)*CX68,2)</f>
        <v>614.16999999999996</v>
      </c>
      <c r="DH68">
        <f>ROUND(ROUND(AG68*AK68,2)*CX68,2)</f>
        <v>248.29</v>
      </c>
      <c r="DI68">
        <f t="shared" si="8"/>
        <v>0</v>
      </c>
      <c r="DJ68">
        <f>DG68</f>
        <v>614.16999999999996</v>
      </c>
      <c r="DK68">
        <v>0</v>
      </c>
      <c r="DL68" t="s">
        <v>3</v>
      </c>
      <c r="DM68">
        <v>0</v>
      </c>
      <c r="DN68" t="s">
        <v>3</v>
      </c>
      <c r="DO68">
        <v>0</v>
      </c>
    </row>
    <row r="69" spans="1:119" x14ac:dyDescent="0.2">
      <c r="A69">
        <f>ROW(Source!A43)</f>
        <v>43</v>
      </c>
      <c r="B69">
        <v>145016711</v>
      </c>
      <c r="C69">
        <v>145016867</v>
      </c>
      <c r="D69">
        <v>140922951</v>
      </c>
      <c r="E69">
        <v>1</v>
      </c>
      <c r="F69">
        <v>1</v>
      </c>
      <c r="G69">
        <v>1</v>
      </c>
      <c r="H69">
        <v>2</v>
      </c>
      <c r="I69" t="s">
        <v>317</v>
      </c>
      <c r="J69" t="s">
        <v>318</v>
      </c>
      <c r="K69" t="s">
        <v>319</v>
      </c>
      <c r="L69">
        <v>1367</v>
      </c>
      <c r="N69">
        <v>1011</v>
      </c>
      <c r="O69" t="s">
        <v>300</v>
      </c>
      <c r="P69" t="s">
        <v>300</v>
      </c>
      <c r="Q69">
        <v>1</v>
      </c>
      <c r="W69">
        <v>0</v>
      </c>
      <c r="X69">
        <v>-430484415</v>
      </c>
      <c r="Y69">
        <f>(AT69*1.25)</f>
        <v>0.125</v>
      </c>
      <c r="AA69">
        <v>0</v>
      </c>
      <c r="AB69">
        <v>1434.42</v>
      </c>
      <c r="AC69">
        <v>434.16</v>
      </c>
      <c r="AD69">
        <v>0</v>
      </c>
      <c r="AE69">
        <v>0</v>
      </c>
      <c r="AF69">
        <v>115.4</v>
      </c>
      <c r="AG69">
        <v>13.5</v>
      </c>
      <c r="AH69">
        <v>0</v>
      </c>
      <c r="AI69">
        <v>1</v>
      </c>
      <c r="AJ69">
        <v>12.43</v>
      </c>
      <c r="AK69">
        <v>32.159999999999997</v>
      </c>
      <c r="AL69">
        <v>1</v>
      </c>
      <c r="AM69">
        <v>4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0.1</v>
      </c>
      <c r="AU69" t="s">
        <v>47</v>
      </c>
      <c r="AV69">
        <v>0</v>
      </c>
      <c r="AW69">
        <v>2</v>
      </c>
      <c r="AX69">
        <v>145016879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ROUND(Y69*Source!I43,9)</f>
        <v>9.375E-2</v>
      </c>
      <c r="CY69">
        <f>AB69</f>
        <v>1434.42</v>
      </c>
      <c r="CZ69">
        <f>AF69</f>
        <v>115.4</v>
      </c>
      <c r="DA69">
        <f>AJ69</f>
        <v>12.43</v>
      </c>
      <c r="DB69">
        <f>ROUND((ROUND(AT69*CZ69,2)*1.25),2)</f>
        <v>14.43</v>
      </c>
      <c r="DC69">
        <f>ROUND((ROUND(AT69*AG69,2)*1.25),2)</f>
        <v>1.69</v>
      </c>
      <c r="DD69" t="s">
        <v>3</v>
      </c>
      <c r="DE69" t="s">
        <v>3</v>
      </c>
      <c r="DF69">
        <f>ROUND(ROUND(AE69,2)*CX69,2)</f>
        <v>0</v>
      </c>
      <c r="DG69">
        <f>ROUND(ROUND(AF69*AJ69,2)*CX69,2)</f>
        <v>134.47999999999999</v>
      </c>
      <c r="DH69">
        <f>ROUND(ROUND(AG69*AK69,2)*CX69,2)</f>
        <v>40.700000000000003</v>
      </c>
      <c r="DI69">
        <f t="shared" si="8"/>
        <v>0</v>
      </c>
      <c r="DJ69">
        <f>DG69</f>
        <v>134.47999999999999</v>
      </c>
      <c r="DK69">
        <v>0</v>
      </c>
      <c r="DL69" t="s">
        <v>3</v>
      </c>
      <c r="DM69">
        <v>0</v>
      </c>
      <c r="DN69" t="s">
        <v>3</v>
      </c>
      <c r="DO69">
        <v>0</v>
      </c>
    </row>
    <row r="70" spans="1:119" x14ac:dyDescent="0.2">
      <c r="A70">
        <f>ROW(Source!A43)</f>
        <v>43</v>
      </c>
      <c r="B70">
        <v>145016711</v>
      </c>
      <c r="C70">
        <v>145016867</v>
      </c>
      <c r="D70">
        <v>140923885</v>
      </c>
      <c r="E70">
        <v>1</v>
      </c>
      <c r="F70">
        <v>1</v>
      </c>
      <c r="G70">
        <v>1</v>
      </c>
      <c r="H70">
        <v>2</v>
      </c>
      <c r="I70" t="s">
        <v>320</v>
      </c>
      <c r="J70" t="s">
        <v>321</v>
      </c>
      <c r="K70" t="s">
        <v>322</v>
      </c>
      <c r="L70">
        <v>1367</v>
      </c>
      <c r="N70">
        <v>1011</v>
      </c>
      <c r="O70" t="s">
        <v>300</v>
      </c>
      <c r="P70" t="s">
        <v>300</v>
      </c>
      <c r="Q70">
        <v>1</v>
      </c>
      <c r="W70">
        <v>0</v>
      </c>
      <c r="X70">
        <v>509054691</v>
      </c>
      <c r="Y70">
        <f>(AT70*1.25)</f>
        <v>0.1875</v>
      </c>
      <c r="AA70">
        <v>0</v>
      </c>
      <c r="AB70">
        <v>816.78</v>
      </c>
      <c r="AC70">
        <v>373.06</v>
      </c>
      <c r="AD70">
        <v>0</v>
      </c>
      <c r="AE70">
        <v>0</v>
      </c>
      <c r="AF70">
        <v>65.709999999999994</v>
      </c>
      <c r="AG70">
        <v>11.6</v>
      </c>
      <c r="AH70">
        <v>0</v>
      </c>
      <c r="AI70">
        <v>1</v>
      </c>
      <c r="AJ70">
        <v>12.43</v>
      </c>
      <c r="AK70">
        <v>32.159999999999997</v>
      </c>
      <c r="AL70">
        <v>1</v>
      </c>
      <c r="AM70">
        <v>4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0.15</v>
      </c>
      <c r="AU70" t="s">
        <v>47</v>
      </c>
      <c r="AV70">
        <v>0</v>
      </c>
      <c r="AW70">
        <v>2</v>
      </c>
      <c r="AX70">
        <v>145016880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ROUND(Y70*Source!I43,9)</f>
        <v>0.140625</v>
      </c>
      <c r="CY70">
        <f>AB70</f>
        <v>816.78</v>
      </c>
      <c r="CZ70">
        <f>AF70</f>
        <v>65.709999999999994</v>
      </c>
      <c r="DA70">
        <f>AJ70</f>
        <v>12.43</v>
      </c>
      <c r="DB70">
        <f>ROUND((ROUND(AT70*CZ70,2)*1.25),2)</f>
        <v>12.33</v>
      </c>
      <c r="DC70">
        <f>ROUND((ROUND(AT70*AG70,2)*1.25),2)</f>
        <v>2.1800000000000002</v>
      </c>
      <c r="DD70" t="s">
        <v>3</v>
      </c>
      <c r="DE70" t="s">
        <v>3</v>
      </c>
      <c r="DF70">
        <f>ROUND(ROUND(AE70,2)*CX70,2)</f>
        <v>0</v>
      </c>
      <c r="DG70">
        <f>ROUND(ROUND(AF70*AJ70,2)*CX70,2)</f>
        <v>114.86</v>
      </c>
      <c r="DH70">
        <f>ROUND(ROUND(AG70*AK70,2)*CX70,2)</f>
        <v>52.46</v>
      </c>
      <c r="DI70">
        <f t="shared" si="8"/>
        <v>0</v>
      </c>
      <c r="DJ70">
        <f>DG70</f>
        <v>114.86</v>
      </c>
      <c r="DK70">
        <v>0</v>
      </c>
      <c r="DL70" t="s">
        <v>3</v>
      </c>
      <c r="DM70">
        <v>0</v>
      </c>
      <c r="DN70" t="s">
        <v>3</v>
      </c>
      <c r="DO70">
        <v>0</v>
      </c>
    </row>
    <row r="71" spans="1:119" x14ac:dyDescent="0.2">
      <c r="A71">
        <f>ROW(Source!A43)</f>
        <v>43</v>
      </c>
      <c r="B71">
        <v>145016711</v>
      </c>
      <c r="C71">
        <v>145016867</v>
      </c>
      <c r="D71">
        <v>140771011</v>
      </c>
      <c r="E71">
        <v>1</v>
      </c>
      <c r="F71">
        <v>1</v>
      </c>
      <c r="G71">
        <v>1</v>
      </c>
      <c r="H71">
        <v>3</v>
      </c>
      <c r="I71" t="s">
        <v>352</v>
      </c>
      <c r="J71" t="s">
        <v>353</v>
      </c>
      <c r="K71" t="s">
        <v>354</v>
      </c>
      <c r="L71">
        <v>1346</v>
      </c>
      <c r="N71">
        <v>1009</v>
      </c>
      <c r="O71" t="s">
        <v>94</v>
      </c>
      <c r="P71" t="s">
        <v>94</v>
      </c>
      <c r="Q71">
        <v>1</v>
      </c>
      <c r="W71">
        <v>0</v>
      </c>
      <c r="X71">
        <v>-2118006079</v>
      </c>
      <c r="Y71">
        <f>AT71</f>
        <v>32.49</v>
      </c>
      <c r="AA71">
        <v>54.69</v>
      </c>
      <c r="AB71">
        <v>0</v>
      </c>
      <c r="AC71">
        <v>0</v>
      </c>
      <c r="AD71">
        <v>0</v>
      </c>
      <c r="AE71">
        <v>6.09</v>
      </c>
      <c r="AF71">
        <v>0</v>
      </c>
      <c r="AG71">
        <v>0</v>
      </c>
      <c r="AH71">
        <v>0</v>
      </c>
      <c r="AI71">
        <v>8.98</v>
      </c>
      <c r="AJ71">
        <v>1</v>
      </c>
      <c r="AK71">
        <v>1</v>
      </c>
      <c r="AL71">
        <v>1</v>
      </c>
      <c r="AM71">
        <v>4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32.49</v>
      </c>
      <c r="AU71" t="s">
        <v>3</v>
      </c>
      <c r="AV71">
        <v>0</v>
      </c>
      <c r="AW71">
        <v>2</v>
      </c>
      <c r="AX71">
        <v>145016881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ROUND(Y71*Source!I43,9)</f>
        <v>24.3675</v>
      </c>
      <c r="CY71">
        <f>AA71</f>
        <v>54.69</v>
      </c>
      <c r="CZ71">
        <f>AE71</f>
        <v>6.09</v>
      </c>
      <c r="DA71">
        <f>AI71</f>
        <v>8.98</v>
      </c>
      <c r="DB71">
        <f>ROUND(ROUND(AT71*CZ71,2),2)</f>
        <v>197.86</v>
      </c>
      <c r="DC71">
        <f>ROUND(ROUND(AT71*AG71,2),2)</f>
        <v>0</v>
      </c>
      <c r="DD71" t="s">
        <v>3</v>
      </c>
      <c r="DE71" t="s">
        <v>3</v>
      </c>
      <c r="DF71">
        <f>ROUND(ROUND(AE71*AI71,2)*CX71,2)</f>
        <v>1332.66</v>
      </c>
      <c r="DG71">
        <f>ROUND(ROUND(AF71,2)*CX71,2)</f>
        <v>0</v>
      </c>
      <c r="DH71">
        <f>ROUND(ROUND(AG71,2)*CX71,2)</f>
        <v>0</v>
      </c>
      <c r="DI71">
        <f t="shared" si="8"/>
        <v>0</v>
      </c>
      <c r="DJ71">
        <f>DF71</f>
        <v>1332.66</v>
      </c>
      <c r="DK71">
        <v>0</v>
      </c>
      <c r="DL71" t="s">
        <v>3</v>
      </c>
      <c r="DM71">
        <v>0</v>
      </c>
      <c r="DN71" t="s">
        <v>3</v>
      </c>
      <c r="DO71">
        <v>0</v>
      </c>
    </row>
    <row r="72" spans="1:119" x14ac:dyDescent="0.2">
      <c r="A72">
        <f>ROW(Source!A43)</f>
        <v>43</v>
      </c>
      <c r="B72">
        <v>145016711</v>
      </c>
      <c r="C72">
        <v>145016867</v>
      </c>
      <c r="D72">
        <v>140778088</v>
      </c>
      <c r="E72">
        <v>1</v>
      </c>
      <c r="F72">
        <v>1</v>
      </c>
      <c r="G72">
        <v>1</v>
      </c>
      <c r="H72">
        <v>3</v>
      </c>
      <c r="I72" t="s">
        <v>126</v>
      </c>
      <c r="J72" t="s">
        <v>128</v>
      </c>
      <c r="K72" t="s">
        <v>127</v>
      </c>
      <c r="L72">
        <v>1339</v>
      </c>
      <c r="N72">
        <v>1007</v>
      </c>
      <c r="O72" t="s">
        <v>58</v>
      </c>
      <c r="P72" t="s">
        <v>58</v>
      </c>
      <c r="Q72">
        <v>1</v>
      </c>
      <c r="W72">
        <v>1</v>
      </c>
      <c r="X72">
        <v>461598558</v>
      </c>
      <c r="Y72">
        <f>AT72</f>
        <v>-0.51</v>
      </c>
      <c r="AA72">
        <v>4667.8</v>
      </c>
      <c r="AB72">
        <v>0</v>
      </c>
      <c r="AC72">
        <v>0</v>
      </c>
      <c r="AD72">
        <v>0</v>
      </c>
      <c r="AE72">
        <v>519.79999999999995</v>
      </c>
      <c r="AF72">
        <v>0</v>
      </c>
      <c r="AG72">
        <v>0</v>
      </c>
      <c r="AH72">
        <v>0</v>
      </c>
      <c r="AI72">
        <v>8.98</v>
      </c>
      <c r="AJ72">
        <v>1</v>
      </c>
      <c r="AK72">
        <v>1</v>
      </c>
      <c r="AL72">
        <v>1</v>
      </c>
      <c r="AM72">
        <v>4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-0.51</v>
      </c>
      <c r="AU72" t="s">
        <v>3</v>
      </c>
      <c r="AV72">
        <v>0</v>
      </c>
      <c r="AW72">
        <v>2</v>
      </c>
      <c r="AX72">
        <v>145016882</v>
      </c>
      <c r="AY72">
        <v>1</v>
      </c>
      <c r="AZ72">
        <v>6144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ROUND(Y72*Source!I43,9)</f>
        <v>-0.38250000000000001</v>
      </c>
      <c r="CY72">
        <f>AA72</f>
        <v>4667.8</v>
      </c>
      <c r="CZ72">
        <f>AE72</f>
        <v>519.79999999999995</v>
      </c>
      <c r="DA72">
        <f>AI72</f>
        <v>8.98</v>
      </c>
      <c r="DB72">
        <f>ROUND(ROUND(AT72*CZ72,2),2)</f>
        <v>-265.10000000000002</v>
      </c>
      <c r="DC72">
        <f>ROUND(ROUND(AT72*AG72,2),2)</f>
        <v>0</v>
      </c>
      <c r="DD72" t="s">
        <v>3</v>
      </c>
      <c r="DE72" t="s">
        <v>3</v>
      </c>
      <c r="DF72">
        <f>ROUND(ROUND(AE72*AI72,2)*CX72,2)</f>
        <v>-1785.43</v>
      </c>
      <c r="DG72">
        <f>ROUND(ROUND(AF72,2)*CX72,2)</f>
        <v>0</v>
      </c>
      <c r="DH72">
        <f>ROUND(ROUND(AG72,2)*CX72,2)</f>
        <v>0</v>
      </c>
      <c r="DI72">
        <f t="shared" si="8"/>
        <v>0</v>
      </c>
      <c r="DJ72">
        <f>DF72</f>
        <v>-1785.43</v>
      </c>
      <c r="DK72">
        <v>0</v>
      </c>
      <c r="DL72" t="s">
        <v>3</v>
      </c>
      <c r="DM72">
        <v>0</v>
      </c>
      <c r="DN72" t="s">
        <v>3</v>
      </c>
      <c r="DO72">
        <v>0</v>
      </c>
    </row>
    <row r="73" spans="1:119" x14ac:dyDescent="0.2">
      <c r="A73">
        <f>ROW(Source!A43)</f>
        <v>43</v>
      </c>
      <c r="B73">
        <v>145016711</v>
      </c>
      <c r="C73">
        <v>145016867</v>
      </c>
      <c r="D73">
        <v>140762867</v>
      </c>
      <c r="E73">
        <v>70</v>
      </c>
      <c r="F73">
        <v>1</v>
      </c>
      <c r="G73">
        <v>1</v>
      </c>
      <c r="H73">
        <v>3</v>
      </c>
      <c r="I73" t="s">
        <v>355</v>
      </c>
      <c r="J73" t="s">
        <v>3</v>
      </c>
      <c r="K73" t="s">
        <v>356</v>
      </c>
      <c r="L73">
        <v>1327</v>
      </c>
      <c r="N73">
        <v>1005</v>
      </c>
      <c r="O73" t="s">
        <v>74</v>
      </c>
      <c r="P73" t="s">
        <v>74</v>
      </c>
      <c r="Q73">
        <v>1</v>
      </c>
      <c r="W73">
        <v>0</v>
      </c>
      <c r="X73">
        <v>-188114917</v>
      </c>
      <c r="Y73">
        <f>AT73</f>
        <v>252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8.98</v>
      </c>
      <c r="AJ73">
        <v>1</v>
      </c>
      <c r="AK73">
        <v>1</v>
      </c>
      <c r="AL73">
        <v>1</v>
      </c>
      <c r="AM73">
        <v>4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3</v>
      </c>
      <c r="AT73">
        <v>252</v>
      </c>
      <c r="AU73" t="s">
        <v>3</v>
      </c>
      <c r="AV73">
        <v>0</v>
      </c>
      <c r="AW73">
        <v>2</v>
      </c>
      <c r="AX73">
        <v>145016883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ROUND(Y73*Source!I43,9)</f>
        <v>189</v>
      </c>
      <c r="CY73">
        <f>AA73</f>
        <v>0</v>
      </c>
      <c r="CZ73">
        <f>AE73</f>
        <v>0</v>
      </c>
      <c r="DA73">
        <f>AI73</f>
        <v>8.98</v>
      </c>
      <c r="DB73">
        <f>ROUND(ROUND(AT73*CZ73,2),2)</f>
        <v>0</v>
      </c>
      <c r="DC73">
        <f>ROUND(ROUND(AT73*AG73,2),2)</f>
        <v>0</v>
      </c>
      <c r="DD73" t="s">
        <v>3</v>
      </c>
      <c r="DE73" t="s">
        <v>3</v>
      </c>
      <c r="DF73">
        <f>ROUND(ROUND(AE73*AI73,2)*CX73,2)</f>
        <v>0</v>
      </c>
      <c r="DG73">
        <f>ROUND(ROUND(AF73,2)*CX73,2)</f>
        <v>0</v>
      </c>
      <c r="DH73">
        <f>ROUND(ROUND(AG73,2)*CX73,2)</f>
        <v>0</v>
      </c>
      <c r="DI73">
        <f t="shared" si="8"/>
        <v>0</v>
      </c>
      <c r="DJ73">
        <f>DF73</f>
        <v>0</v>
      </c>
      <c r="DK73">
        <v>0</v>
      </c>
      <c r="DL73" t="s">
        <v>3</v>
      </c>
      <c r="DM73">
        <v>0</v>
      </c>
      <c r="DN73" t="s">
        <v>3</v>
      </c>
      <c r="DO73">
        <v>0</v>
      </c>
    </row>
    <row r="74" spans="1:119" x14ac:dyDescent="0.2">
      <c r="A74">
        <f>ROW(Source!A48)</f>
        <v>48</v>
      </c>
      <c r="B74">
        <v>145016711</v>
      </c>
      <c r="C74">
        <v>145016888</v>
      </c>
      <c r="D74">
        <v>140759979</v>
      </c>
      <c r="E74">
        <v>70</v>
      </c>
      <c r="F74">
        <v>1</v>
      </c>
      <c r="G74">
        <v>1</v>
      </c>
      <c r="H74">
        <v>1</v>
      </c>
      <c r="I74" t="s">
        <v>363</v>
      </c>
      <c r="J74" t="s">
        <v>3</v>
      </c>
      <c r="K74" t="s">
        <v>364</v>
      </c>
      <c r="L74">
        <v>1191</v>
      </c>
      <c r="N74">
        <v>1013</v>
      </c>
      <c r="O74" t="s">
        <v>288</v>
      </c>
      <c r="P74" t="s">
        <v>288</v>
      </c>
      <c r="Q74">
        <v>1</v>
      </c>
      <c r="W74">
        <v>0</v>
      </c>
      <c r="X74">
        <v>1049124552</v>
      </c>
      <c r="Y74">
        <f>(AT74*1.15)</f>
        <v>111.78</v>
      </c>
      <c r="AA74">
        <v>0</v>
      </c>
      <c r="AB74">
        <v>0</v>
      </c>
      <c r="AC74">
        <v>0</v>
      </c>
      <c r="AD74">
        <v>274.32</v>
      </c>
      <c r="AE74">
        <v>0</v>
      </c>
      <c r="AF74">
        <v>0</v>
      </c>
      <c r="AG74">
        <v>0</v>
      </c>
      <c r="AH74">
        <v>8.5299999999999994</v>
      </c>
      <c r="AI74">
        <v>1</v>
      </c>
      <c r="AJ74">
        <v>1</v>
      </c>
      <c r="AK74">
        <v>1</v>
      </c>
      <c r="AL74">
        <v>32.159999999999997</v>
      </c>
      <c r="AM74">
        <v>4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97.2</v>
      </c>
      <c r="AU74" t="s">
        <v>48</v>
      </c>
      <c r="AV74">
        <v>1</v>
      </c>
      <c r="AW74">
        <v>2</v>
      </c>
      <c r="AX74">
        <v>145016896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ROUND(Y74*Source!I48,9)</f>
        <v>139.72499999999999</v>
      </c>
      <c r="CY74">
        <f>AD74</f>
        <v>274.32</v>
      </c>
      <c r="CZ74">
        <f>AH74</f>
        <v>8.5299999999999994</v>
      </c>
      <c r="DA74">
        <f>AL74</f>
        <v>32.159999999999997</v>
      </c>
      <c r="DB74">
        <f>ROUND((ROUND(AT74*CZ74,2)*1.15),2)</f>
        <v>953.49</v>
      </c>
      <c r="DC74">
        <f>ROUND((ROUND(AT74*AG74,2)*1.15),2)</f>
        <v>0</v>
      </c>
      <c r="DD74" t="s">
        <v>3</v>
      </c>
      <c r="DE74" t="s">
        <v>3</v>
      </c>
      <c r="DF74">
        <f>ROUND(ROUND(AE74,2)*CX74,2)</f>
        <v>0</v>
      </c>
      <c r="DG74">
        <f>ROUND(ROUND(AF74,2)*CX74,2)</f>
        <v>0</v>
      </c>
      <c r="DH74">
        <f>ROUND(ROUND(AG74,2)*CX74,2)</f>
        <v>0</v>
      </c>
      <c r="DI74">
        <f>ROUND(ROUND(AH74*AL74,2)*CX74,2)</f>
        <v>38329.360000000001</v>
      </c>
      <c r="DJ74">
        <f>DI74</f>
        <v>38329.360000000001</v>
      </c>
      <c r="DK74">
        <v>0</v>
      </c>
      <c r="DL74" t="s">
        <v>3</v>
      </c>
      <c r="DM74">
        <v>0</v>
      </c>
      <c r="DN74" t="s">
        <v>3</v>
      </c>
      <c r="DO74">
        <v>0</v>
      </c>
    </row>
    <row r="75" spans="1:119" x14ac:dyDescent="0.2">
      <c r="A75">
        <f>ROW(Source!A48)</f>
        <v>48</v>
      </c>
      <c r="B75">
        <v>145016711</v>
      </c>
      <c r="C75">
        <v>145016888</v>
      </c>
      <c r="D75">
        <v>140760225</v>
      </c>
      <c r="E75">
        <v>70</v>
      </c>
      <c r="F75">
        <v>1</v>
      </c>
      <c r="G75">
        <v>1</v>
      </c>
      <c r="H75">
        <v>1</v>
      </c>
      <c r="I75" t="s">
        <v>295</v>
      </c>
      <c r="J75" t="s">
        <v>3</v>
      </c>
      <c r="K75" t="s">
        <v>296</v>
      </c>
      <c r="L75">
        <v>1191</v>
      </c>
      <c r="N75">
        <v>1013</v>
      </c>
      <c r="O75" t="s">
        <v>288</v>
      </c>
      <c r="P75" t="s">
        <v>288</v>
      </c>
      <c r="Q75">
        <v>1</v>
      </c>
      <c r="W75">
        <v>0</v>
      </c>
      <c r="X75">
        <v>-1417349443</v>
      </c>
      <c r="Y75">
        <f>(AT75*1.25)</f>
        <v>0.33750000000000002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32.159999999999997</v>
      </c>
      <c r="AL75">
        <v>1</v>
      </c>
      <c r="AM75">
        <v>4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0.27</v>
      </c>
      <c r="AU75" t="s">
        <v>47</v>
      </c>
      <c r="AV75">
        <v>2</v>
      </c>
      <c r="AW75">
        <v>2</v>
      </c>
      <c r="AX75">
        <v>145016897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ROUND(Y75*Source!I48,9)</f>
        <v>0.421875</v>
      </c>
      <c r="CY75">
        <f>AD75</f>
        <v>0</v>
      </c>
      <c r="CZ75">
        <f>AH75</f>
        <v>0</v>
      </c>
      <c r="DA75">
        <f>AL75</f>
        <v>1</v>
      </c>
      <c r="DB75">
        <f>ROUND((ROUND(AT75*CZ75,2)*1.25),2)</f>
        <v>0</v>
      </c>
      <c r="DC75">
        <f>ROUND((ROUND(AT75*AG75,2)*1.25),2)</f>
        <v>0</v>
      </c>
      <c r="DD75" t="s">
        <v>3</v>
      </c>
      <c r="DE75" t="s">
        <v>3</v>
      </c>
      <c r="DF75">
        <f>ROUND(ROUND(AE75,2)*CX75,2)</f>
        <v>0</v>
      </c>
      <c r="DG75">
        <f>ROUND(ROUND(AF75,2)*CX75,2)</f>
        <v>0</v>
      </c>
      <c r="DH75">
        <f>ROUND(ROUND(AG75*AK75,2)*CX75,2)</f>
        <v>0</v>
      </c>
      <c r="DI75">
        <f t="shared" ref="DI75:DI80" si="9">ROUND(ROUND(AH75,2)*CX75,2)</f>
        <v>0</v>
      </c>
      <c r="DJ75">
        <f>DI75</f>
        <v>0</v>
      </c>
      <c r="DK75">
        <v>0</v>
      </c>
      <c r="DL75" t="s">
        <v>3</v>
      </c>
      <c r="DM75">
        <v>0</v>
      </c>
      <c r="DN75" t="s">
        <v>3</v>
      </c>
      <c r="DO75">
        <v>0</v>
      </c>
    </row>
    <row r="76" spans="1:119" x14ac:dyDescent="0.2">
      <c r="A76">
        <f>ROW(Source!A48)</f>
        <v>48</v>
      </c>
      <c r="B76">
        <v>145016711</v>
      </c>
      <c r="C76">
        <v>145016888</v>
      </c>
      <c r="D76">
        <v>140922893</v>
      </c>
      <c r="E76">
        <v>1</v>
      </c>
      <c r="F76">
        <v>1</v>
      </c>
      <c r="G76">
        <v>1</v>
      </c>
      <c r="H76">
        <v>2</v>
      </c>
      <c r="I76" t="s">
        <v>297</v>
      </c>
      <c r="J76" t="s">
        <v>298</v>
      </c>
      <c r="K76" t="s">
        <v>299</v>
      </c>
      <c r="L76">
        <v>1367</v>
      </c>
      <c r="N76">
        <v>1011</v>
      </c>
      <c r="O76" t="s">
        <v>300</v>
      </c>
      <c r="P76" t="s">
        <v>300</v>
      </c>
      <c r="Q76">
        <v>1</v>
      </c>
      <c r="W76">
        <v>0</v>
      </c>
      <c r="X76">
        <v>-130837057</v>
      </c>
      <c r="Y76">
        <f>(AT76*1.25)</f>
        <v>0.25</v>
      </c>
      <c r="AA76">
        <v>0</v>
      </c>
      <c r="AB76">
        <v>1073.95</v>
      </c>
      <c r="AC76">
        <v>434.16</v>
      </c>
      <c r="AD76">
        <v>0</v>
      </c>
      <c r="AE76">
        <v>0</v>
      </c>
      <c r="AF76">
        <v>86.4</v>
      </c>
      <c r="AG76">
        <v>13.5</v>
      </c>
      <c r="AH76">
        <v>0</v>
      </c>
      <c r="AI76">
        <v>1</v>
      </c>
      <c r="AJ76">
        <v>12.43</v>
      </c>
      <c r="AK76">
        <v>32.159999999999997</v>
      </c>
      <c r="AL76">
        <v>1</v>
      </c>
      <c r="AM76">
        <v>4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0.2</v>
      </c>
      <c r="AU76" t="s">
        <v>47</v>
      </c>
      <c r="AV76">
        <v>0</v>
      </c>
      <c r="AW76">
        <v>2</v>
      </c>
      <c r="AX76">
        <v>145016898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ROUND(Y76*Source!I48,9)</f>
        <v>0.3125</v>
      </c>
      <c r="CY76">
        <f>AB76</f>
        <v>1073.95</v>
      </c>
      <c r="CZ76">
        <f>AF76</f>
        <v>86.4</v>
      </c>
      <c r="DA76">
        <f>AJ76</f>
        <v>12.43</v>
      </c>
      <c r="DB76">
        <f>ROUND((ROUND(AT76*CZ76,2)*1.25),2)</f>
        <v>21.6</v>
      </c>
      <c r="DC76">
        <f>ROUND((ROUND(AT76*AG76,2)*1.25),2)</f>
        <v>3.38</v>
      </c>
      <c r="DD76" t="s">
        <v>3</v>
      </c>
      <c r="DE76" t="s">
        <v>3</v>
      </c>
      <c r="DF76">
        <f>ROUND(ROUND(AE76,2)*CX76,2)</f>
        <v>0</v>
      </c>
      <c r="DG76">
        <f>ROUND(ROUND(AF76*AJ76,2)*CX76,2)</f>
        <v>335.61</v>
      </c>
      <c r="DH76">
        <f>ROUND(ROUND(AG76*AK76,2)*CX76,2)</f>
        <v>135.68</v>
      </c>
      <c r="DI76">
        <f t="shared" si="9"/>
        <v>0</v>
      </c>
      <c r="DJ76">
        <f>DG76</f>
        <v>335.61</v>
      </c>
      <c r="DK76">
        <v>0</v>
      </c>
      <c r="DL76" t="s">
        <v>3</v>
      </c>
      <c r="DM76">
        <v>0</v>
      </c>
      <c r="DN76" t="s">
        <v>3</v>
      </c>
      <c r="DO76">
        <v>0</v>
      </c>
    </row>
    <row r="77" spans="1:119" x14ac:dyDescent="0.2">
      <c r="A77">
        <f>ROW(Source!A48)</f>
        <v>48</v>
      </c>
      <c r="B77">
        <v>145016711</v>
      </c>
      <c r="C77">
        <v>145016888</v>
      </c>
      <c r="D77">
        <v>140923885</v>
      </c>
      <c r="E77">
        <v>1</v>
      </c>
      <c r="F77">
        <v>1</v>
      </c>
      <c r="G77">
        <v>1</v>
      </c>
      <c r="H77">
        <v>2</v>
      </c>
      <c r="I77" t="s">
        <v>320</v>
      </c>
      <c r="J77" t="s">
        <v>321</v>
      </c>
      <c r="K77" t="s">
        <v>322</v>
      </c>
      <c r="L77">
        <v>1367</v>
      </c>
      <c r="N77">
        <v>1011</v>
      </c>
      <c r="O77" t="s">
        <v>300</v>
      </c>
      <c r="P77" t="s">
        <v>300</v>
      </c>
      <c r="Q77">
        <v>1</v>
      </c>
      <c r="W77">
        <v>0</v>
      </c>
      <c r="X77">
        <v>509054691</v>
      </c>
      <c r="Y77">
        <f>(AT77*1.25)</f>
        <v>8.7500000000000008E-2</v>
      </c>
      <c r="AA77">
        <v>0</v>
      </c>
      <c r="AB77">
        <v>816.78</v>
      </c>
      <c r="AC77">
        <v>373.06</v>
      </c>
      <c r="AD77">
        <v>0</v>
      </c>
      <c r="AE77">
        <v>0</v>
      </c>
      <c r="AF77">
        <v>65.709999999999994</v>
      </c>
      <c r="AG77">
        <v>11.6</v>
      </c>
      <c r="AH77">
        <v>0</v>
      </c>
      <c r="AI77">
        <v>1</v>
      </c>
      <c r="AJ77">
        <v>12.43</v>
      </c>
      <c r="AK77">
        <v>32.159999999999997</v>
      </c>
      <c r="AL77">
        <v>1</v>
      </c>
      <c r="AM77">
        <v>4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7.0000000000000007E-2</v>
      </c>
      <c r="AU77" t="s">
        <v>47</v>
      </c>
      <c r="AV77">
        <v>0</v>
      </c>
      <c r="AW77">
        <v>2</v>
      </c>
      <c r="AX77">
        <v>145016899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ROUND(Y77*Source!I48,9)</f>
        <v>0.109375</v>
      </c>
      <c r="CY77">
        <f>AB77</f>
        <v>816.78</v>
      </c>
      <c r="CZ77">
        <f>AF77</f>
        <v>65.709999999999994</v>
      </c>
      <c r="DA77">
        <f>AJ77</f>
        <v>12.43</v>
      </c>
      <c r="DB77">
        <f>ROUND((ROUND(AT77*CZ77,2)*1.25),2)</f>
        <v>5.75</v>
      </c>
      <c r="DC77">
        <f>ROUND((ROUND(AT77*AG77,2)*1.25),2)</f>
        <v>1.01</v>
      </c>
      <c r="DD77" t="s">
        <v>3</v>
      </c>
      <c r="DE77" t="s">
        <v>3</v>
      </c>
      <c r="DF77">
        <f>ROUND(ROUND(AE77,2)*CX77,2)</f>
        <v>0</v>
      </c>
      <c r="DG77">
        <f>ROUND(ROUND(AF77*AJ77,2)*CX77,2)</f>
        <v>89.34</v>
      </c>
      <c r="DH77">
        <f>ROUND(ROUND(AG77*AK77,2)*CX77,2)</f>
        <v>40.799999999999997</v>
      </c>
      <c r="DI77">
        <f t="shared" si="9"/>
        <v>0</v>
      </c>
      <c r="DJ77">
        <f>DG77</f>
        <v>89.34</v>
      </c>
      <c r="DK77">
        <v>0</v>
      </c>
      <c r="DL77" t="s">
        <v>3</v>
      </c>
      <c r="DM77">
        <v>0</v>
      </c>
      <c r="DN77" t="s">
        <v>3</v>
      </c>
      <c r="DO77">
        <v>0</v>
      </c>
    </row>
    <row r="78" spans="1:119" x14ac:dyDescent="0.2">
      <c r="A78">
        <f>ROW(Source!A48)</f>
        <v>48</v>
      </c>
      <c r="B78">
        <v>145016711</v>
      </c>
      <c r="C78">
        <v>145016888</v>
      </c>
      <c r="D78">
        <v>140775136</v>
      </c>
      <c r="E78">
        <v>1</v>
      </c>
      <c r="F78">
        <v>1</v>
      </c>
      <c r="G78">
        <v>1</v>
      </c>
      <c r="H78">
        <v>3</v>
      </c>
      <c r="I78" t="s">
        <v>365</v>
      </c>
      <c r="J78" t="s">
        <v>366</v>
      </c>
      <c r="K78" t="s">
        <v>367</v>
      </c>
      <c r="L78">
        <v>1348</v>
      </c>
      <c r="N78">
        <v>1009</v>
      </c>
      <c r="O78" t="s">
        <v>66</v>
      </c>
      <c r="P78" t="s">
        <v>66</v>
      </c>
      <c r="Q78">
        <v>1000</v>
      </c>
      <c r="W78">
        <v>0</v>
      </c>
      <c r="X78">
        <v>-384732532</v>
      </c>
      <c r="Y78">
        <f>AT78</f>
        <v>4.0000000000000001E-3</v>
      </c>
      <c r="AA78">
        <v>76105.5</v>
      </c>
      <c r="AB78">
        <v>0</v>
      </c>
      <c r="AC78">
        <v>0</v>
      </c>
      <c r="AD78">
        <v>0</v>
      </c>
      <c r="AE78">
        <v>8475</v>
      </c>
      <c r="AF78">
        <v>0</v>
      </c>
      <c r="AG78">
        <v>0</v>
      </c>
      <c r="AH78">
        <v>0</v>
      </c>
      <c r="AI78">
        <v>8.98</v>
      </c>
      <c r="AJ78">
        <v>1</v>
      </c>
      <c r="AK78">
        <v>1</v>
      </c>
      <c r="AL78">
        <v>1</v>
      </c>
      <c r="AM78">
        <v>4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4.0000000000000001E-3</v>
      </c>
      <c r="AU78" t="s">
        <v>3</v>
      </c>
      <c r="AV78">
        <v>0</v>
      </c>
      <c r="AW78">
        <v>2</v>
      </c>
      <c r="AX78">
        <v>145016900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ROUND(Y78*Source!I48,9)</f>
        <v>5.0000000000000001E-3</v>
      </c>
      <c r="CY78">
        <f>AA78</f>
        <v>76105.5</v>
      </c>
      <c r="CZ78">
        <f>AE78</f>
        <v>8475</v>
      </c>
      <c r="DA78">
        <f>AI78</f>
        <v>8.98</v>
      </c>
      <c r="DB78">
        <f>ROUND(ROUND(AT78*CZ78,2),2)</f>
        <v>33.9</v>
      </c>
      <c r="DC78">
        <f>ROUND(ROUND(AT78*AG78,2),2)</f>
        <v>0</v>
      </c>
      <c r="DD78" t="s">
        <v>3</v>
      </c>
      <c r="DE78" t="s">
        <v>3</v>
      </c>
      <c r="DF78">
        <f>ROUND(ROUND(AE78*AI78,2)*CX78,2)</f>
        <v>380.53</v>
      </c>
      <c r="DG78">
        <f>ROUND(ROUND(AF78,2)*CX78,2)</f>
        <v>0</v>
      </c>
      <c r="DH78">
        <f>ROUND(ROUND(AG78,2)*CX78,2)</f>
        <v>0</v>
      </c>
      <c r="DI78">
        <f t="shared" si="9"/>
        <v>0</v>
      </c>
      <c r="DJ78">
        <f>DF78</f>
        <v>380.53</v>
      </c>
      <c r="DK78">
        <v>0</v>
      </c>
      <c r="DL78" t="s">
        <v>3</v>
      </c>
      <c r="DM78">
        <v>0</v>
      </c>
      <c r="DN78" t="s">
        <v>3</v>
      </c>
      <c r="DO78">
        <v>0</v>
      </c>
    </row>
    <row r="79" spans="1:119" x14ac:dyDescent="0.2">
      <c r="A79">
        <f>ROW(Source!A48)</f>
        <v>48</v>
      </c>
      <c r="B79">
        <v>145016711</v>
      </c>
      <c r="C79">
        <v>145016888</v>
      </c>
      <c r="D79">
        <v>140792325</v>
      </c>
      <c r="E79">
        <v>1</v>
      </c>
      <c r="F79">
        <v>1</v>
      </c>
      <c r="G79">
        <v>1</v>
      </c>
      <c r="H79">
        <v>3</v>
      </c>
      <c r="I79" t="s">
        <v>368</v>
      </c>
      <c r="J79" t="s">
        <v>369</v>
      </c>
      <c r="K79" t="s">
        <v>370</v>
      </c>
      <c r="L79">
        <v>1348</v>
      </c>
      <c r="N79">
        <v>1009</v>
      </c>
      <c r="O79" t="s">
        <v>66</v>
      </c>
      <c r="P79" t="s">
        <v>66</v>
      </c>
      <c r="Q79">
        <v>1000</v>
      </c>
      <c r="W79">
        <v>0</v>
      </c>
      <c r="X79">
        <v>-581832824</v>
      </c>
      <c r="Y79">
        <f>AT79</f>
        <v>1.2E-2</v>
      </c>
      <c r="AA79">
        <v>73546.2</v>
      </c>
      <c r="AB79">
        <v>0</v>
      </c>
      <c r="AC79">
        <v>0</v>
      </c>
      <c r="AD79">
        <v>0</v>
      </c>
      <c r="AE79">
        <v>8190</v>
      </c>
      <c r="AF79">
        <v>0</v>
      </c>
      <c r="AG79">
        <v>0</v>
      </c>
      <c r="AH79">
        <v>0</v>
      </c>
      <c r="AI79">
        <v>8.98</v>
      </c>
      <c r="AJ79">
        <v>1</v>
      </c>
      <c r="AK79">
        <v>1</v>
      </c>
      <c r="AL79">
        <v>1</v>
      </c>
      <c r="AM79">
        <v>4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1.2E-2</v>
      </c>
      <c r="AU79" t="s">
        <v>3</v>
      </c>
      <c r="AV79">
        <v>0</v>
      </c>
      <c r="AW79">
        <v>2</v>
      </c>
      <c r="AX79">
        <v>145016901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ROUND(Y79*Source!I48,9)</f>
        <v>1.4999999999999999E-2</v>
      </c>
      <c r="CY79">
        <f>AA79</f>
        <v>73546.2</v>
      </c>
      <c r="CZ79">
        <f>AE79</f>
        <v>8190</v>
      </c>
      <c r="DA79">
        <f>AI79</f>
        <v>8.98</v>
      </c>
      <c r="DB79">
        <f>ROUND(ROUND(AT79*CZ79,2),2)</f>
        <v>98.28</v>
      </c>
      <c r="DC79">
        <f>ROUND(ROUND(AT79*AG79,2),2)</f>
        <v>0</v>
      </c>
      <c r="DD79" t="s">
        <v>3</v>
      </c>
      <c r="DE79" t="s">
        <v>3</v>
      </c>
      <c r="DF79">
        <f>ROUND(ROUND(AE79*AI79,2)*CX79,2)</f>
        <v>1103.19</v>
      </c>
      <c r="DG79">
        <f>ROUND(ROUND(AF79,2)*CX79,2)</f>
        <v>0</v>
      </c>
      <c r="DH79">
        <f>ROUND(ROUND(AG79,2)*CX79,2)</f>
        <v>0</v>
      </c>
      <c r="DI79">
        <f t="shared" si="9"/>
        <v>0</v>
      </c>
      <c r="DJ79">
        <f>DF79</f>
        <v>1103.19</v>
      </c>
      <c r="DK79">
        <v>0</v>
      </c>
      <c r="DL79" t="s">
        <v>3</v>
      </c>
      <c r="DM79">
        <v>0</v>
      </c>
      <c r="DN79" t="s">
        <v>3</v>
      </c>
      <c r="DO79">
        <v>0</v>
      </c>
    </row>
    <row r="80" spans="1:119" x14ac:dyDescent="0.2">
      <c r="A80">
        <f>ROW(Source!A48)</f>
        <v>48</v>
      </c>
      <c r="B80">
        <v>145016711</v>
      </c>
      <c r="C80">
        <v>145016888</v>
      </c>
      <c r="D80">
        <v>140792570</v>
      </c>
      <c r="E80">
        <v>1</v>
      </c>
      <c r="F80">
        <v>1</v>
      </c>
      <c r="G80">
        <v>1</v>
      </c>
      <c r="H80">
        <v>3</v>
      </c>
      <c r="I80" t="s">
        <v>137</v>
      </c>
      <c r="J80" t="s">
        <v>139</v>
      </c>
      <c r="K80" t="s">
        <v>138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W80">
        <v>1</v>
      </c>
      <c r="X80">
        <v>-509681559</v>
      </c>
      <c r="Y80">
        <f>AT80</f>
        <v>-0.56999999999999995</v>
      </c>
      <c r="AA80">
        <v>100576</v>
      </c>
      <c r="AB80">
        <v>0</v>
      </c>
      <c r="AC80">
        <v>0</v>
      </c>
      <c r="AD80">
        <v>0</v>
      </c>
      <c r="AE80">
        <v>11200</v>
      </c>
      <c r="AF80">
        <v>0</v>
      </c>
      <c r="AG80">
        <v>0</v>
      </c>
      <c r="AH80">
        <v>0</v>
      </c>
      <c r="AI80">
        <v>8.98</v>
      </c>
      <c r="AJ80">
        <v>1</v>
      </c>
      <c r="AK80">
        <v>1</v>
      </c>
      <c r="AL80">
        <v>1</v>
      </c>
      <c r="AM80">
        <v>4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-0.56999999999999995</v>
      </c>
      <c r="AU80" t="s">
        <v>3</v>
      </c>
      <c r="AV80">
        <v>0</v>
      </c>
      <c r="AW80">
        <v>2</v>
      </c>
      <c r="AX80">
        <v>145016902</v>
      </c>
      <c r="AY80">
        <v>1</v>
      </c>
      <c r="AZ80">
        <v>6144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ROUND(Y80*Source!I48,9)</f>
        <v>-0.71250000000000002</v>
      </c>
      <c r="CY80">
        <f>AA80</f>
        <v>100576</v>
      </c>
      <c r="CZ80">
        <f>AE80</f>
        <v>11200</v>
      </c>
      <c r="DA80">
        <f>AI80</f>
        <v>8.98</v>
      </c>
      <c r="DB80">
        <f>ROUND(ROUND(AT80*CZ80,2),2)</f>
        <v>-6384</v>
      </c>
      <c r="DC80">
        <f>ROUND(ROUND(AT80*AG80,2),2)</f>
        <v>0</v>
      </c>
      <c r="DD80" t="s">
        <v>3</v>
      </c>
      <c r="DE80" t="s">
        <v>3</v>
      </c>
      <c r="DF80">
        <f>ROUND(ROUND(AE80*AI80,2)*CX80,2)</f>
        <v>-71660.399999999994</v>
      </c>
      <c r="DG80">
        <f>ROUND(ROUND(AF80,2)*CX80,2)</f>
        <v>0</v>
      </c>
      <c r="DH80">
        <f>ROUND(ROUND(AG80,2)*CX80,2)</f>
        <v>0</v>
      </c>
      <c r="DI80">
        <f t="shared" si="9"/>
        <v>0</v>
      </c>
      <c r="DJ80">
        <f>DF80</f>
        <v>-71660.399999999994</v>
      </c>
      <c r="DK80">
        <v>0</v>
      </c>
      <c r="DL80" t="s">
        <v>3</v>
      </c>
      <c r="DM80">
        <v>0</v>
      </c>
      <c r="DN80" t="s">
        <v>3</v>
      </c>
      <c r="DO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145016778</v>
      </c>
      <c r="C1">
        <v>145016775</v>
      </c>
      <c r="D1">
        <v>134450423</v>
      </c>
      <c r="E1">
        <v>56</v>
      </c>
      <c r="F1">
        <v>1</v>
      </c>
      <c r="G1">
        <v>1</v>
      </c>
      <c r="H1">
        <v>1</v>
      </c>
      <c r="I1" t="s">
        <v>286</v>
      </c>
      <c r="J1" t="s">
        <v>3</v>
      </c>
      <c r="K1" t="s">
        <v>287</v>
      </c>
      <c r="L1">
        <v>1191</v>
      </c>
      <c r="N1">
        <v>1013</v>
      </c>
      <c r="O1" t="s">
        <v>288</v>
      </c>
      <c r="P1" t="s">
        <v>288</v>
      </c>
      <c r="Q1">
        <v>1</v>
      </c>
      <c r="X1">
        <v>14.38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14.38</v>
      </c>
      <c r="AH1">
        <v>2</v>
      </c>
      <c r="AI1">
        <v>145016776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145016779</v>
      </c>
      <c r="C2">
        <v>145016775</v>
      </c>
      <c r="D2">
        <v>134664083</v>
      </c>
      <c r="E2">
        <v>1</v>
      </c>
      <c r="F2">
        <v>1</v>
      </c>
      <c r="G2">
        <v>1</v>
      </c>
      <c r="H2">
        <v>2</v>
      </c>
      <c r="I2" t="s">
        <v>289</v>
      </c>
      <c r="J2" t="s">
        <v>290</v>
      </c>
      <c r="K2" t="s">
        <v>291</v>
      </c>
      <c r="L2">
        <v>1368</v>
      </c>
      <c r="N2">
        <v>1011</v>
      </c>
      <c r="O2" t="s">
        <v>292</v>
      </c>
      <c r="P2" t="s">
        <v>292</v>
      </c>
      <c r="Q2">
        <v>1</v>
      </c>
      <c r="X2">
        <v>6.22</v>
      </c>
      <c r="Y2">
        <v>0</v>
      </c>
      <c r="Z2">
        <v>6.66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6.22</v>
      </c>
      <c r="AH2">
        <v>2</v>
      </c>
      <c r="AI2">
        <v>145016777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145016789</v>
      </c>
      <c r="C3">
        <v>145016780</v>
      </c>
      <c r="D3">
        <v>140759982</v>
      </c>
      <c r="E3">
        <v>70</v>
      </c>
      <c r="F3">
        <v>1</v>
      </c>
      <c r="G3">
        <v>1</v>
      </c>
      <c r="H3">
        <v>1</v>
      </c>
      <c r="I3" t="s">
        <v>293</v>
      </c>
      <c r="J3" t="s">
        <v>3</v>
      </c>
      <c r="K3" t="s">
        <v>294</v>
      </c>
      <c r="L3">
        <v>1191</v>
      </c>
      <c r="N3">
        <v>1013</v>
      </c>
      <c r="O3" t="s">
        <v>288</v>
      </c>
      <c r="P3" t="s">
        <v>288</v>
      </c>
      <c r="Q3">
        <v>1</v>
      </c>
      <c r="X3">
        <v>24.3</v>
      </c>
      <c r="Y3">
        <v>0</v>
      </c>
      <c r="Z3">
        <v>0</v>
      </c>
      <c r="AA3">
        <v>0</v>
      </c>
      <c r="AB3">
        <v>8.64</v>
      </c>
      <c r="AC3">
        <v>0</v>
      </c>
      <c r="AD3">
        <v>1</v>
      </c>
      <c r="AE3">
        <v>1</v>
      </c>
      <c r="AF3" t="s">
        <v>32</v>
      </c>
      <c r="AG3">
        <v>19.440000000000001</v>
      </c>
      <c r="AH3">
        <v>2</v>
      </c>
      <c r="AI3">
        <v>145016781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145016790</v>
      </c>
      <c r="C4">
        <v>145016780</v>
      </c>
      <c r="D4">
        <v>140760225</v>
      </c>
      <c r="E4">
        <v>70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288</v>
      </c>
      <c r="P4" t="s">
        <v>288</v>
      </c>
      <c r="Q4">
        <v>1</v>
      </c>
      <c r="X4">
        <v>1.94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32</v>
      </c>
      <c r="AG4">
        <v>1.552</v>
      </c>
      <c r="AH4">
        <v>2</v>
      </c>
      <c r="AI4">
        <v>145016782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145016791</v>
      </c>
      <c r="C5">
        <v>145016780</v>
      </c>
      <c r="D5">
        <v>140922893</v>
      </c>
      <c r="E5">
        <v>1</v>
      </c>
      <c r="F5">
        <v>1</v>
      </c>
      <c r="G5">
        <v>1</v>
      </c>
      <c r="H5">
        <v>2</v>
      </c>
      <c r="I5" t="s">
        <v>297</v>
      </c>
      <c r="J5" t="s">
        <v>298</v>
      </c>
      <c r="K5" t="s">
        <v>299</v>
      </c>
      <c r="L5">
        <v>1367</v>
      </c>
      <c r="N5">
        <v>1011</v>
      </c>
      <c r="O5" t="s">
        <v>300</v>
      </c>
      <c r="P5" t="s">
        <v>300</v>
      </c>
      <c r="Q5">
        <v>1</v>
      </c>
      <c r="X5">
        <v>0.68</v>
      </c>
      <c r="Y5">
        <v>0</v>
      </c>
      <c r="Z5">
        <v>86.4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32</v>
      </c>
      <c r="AG5">
        <v>0.54400000000000004</v>
      </c>
      <c r="AH5">
        <v>2</v>
      </c>
      <c r="AI5">
        <v>145016783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145016792</v>
      </c>
      <c r="C6">
        <v>145016780</v>
      </c>
      <c r="D6">
        <v>140923105</v>
      </c>
      <c r="E6">
        <v>1</v>
      </c>
      <c r="F6">
        <v>1</v>
      </c>
      <c r="G6">
        <v>1</v>
      </c>
      <c r="H6">
        <v>2</v>
      </c>
      <c r="I6" t="s">
        <v>301</v>
      </c>
      <c r="J6" t="s">
        <v>302</v>
      </c>
      <c r="K6" t="s">
        <v>303</v>
      </c>
      <c r="L6">
        <v>1367</v>
      </c>
      <c r="N6">
        <v>1011</v>
      </c>
      <c r="O6" t="s">
        <v>300</v>
      </c>
      <c r="P6" t="s">
        <v>300</v>
      </c>
      <c r="Q6">
        <v>1</v>
      </c>
      <c r="X6">
        <v>1.26</v>
      </c>
      <c r="Y6">
        <v>0</v>
      </c>
      <c r="Z6">
        <v>89.99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32</v>
      </c>
      <c r="AG6">
        <v>1.008</v>
      </c>
      <c r="AH6">
        <v>2</v>
      </c>
      <c r="AI6">
        <v>145016784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145016793</v>
      </c>
      <c r="C7">
        <v>145016780</v>
      </c>
      <c r="D7">
        <v>140923250</v>
      </c>
      <c r="E7">
        <v>1</v>
      </c>
      <c r="F7">
        <v>1</v>
      </c>
      <c r="G7">
        <v>1</v>
      </c>
      <c r="H7">
        <v>2</v>
      </c>
      <c r="I7" t="s">
        <v>304</v>
      </c>
      <c r="J7" t="s">
        <v>305</v>
      </c>
      <c r="K7" t="s">
        <v>306</v>
      </c>
      <c r="L7">
        <v>1367</v>
      </c>
      <c r="N7">
        <v>1011</v>
      </c>
      <c r="O7" t="s">
        <v>300</v>
      </c>
      <c r="P7" t="s">
        <v>300</v>
      </c>
      <c r="Q7">
        <v>1</v>
      </c>
      <c r="X7">
        <v>2.29</v>
      </c>
      <c r="Y7">
        <v>0</v>
      </c>
      <c r="Z7">
        <v>7.77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32</v>
      </c>
      <c r="AG7">
        <v>1.8320000000000001</v>
      </c>
      <c r="AH7">
        <v>2</v>
      </c>
      <c r="AI7">
        <v>145016785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145016794</v>
      </c>
      <c r="C8">
        <v>145016780</v>
      </c>
      <c r="D8">
        <v>140772680</v>
      </c>
      <c r="E8">
        <v>1</v>
      </c>
      <c r="F8">
        <v>1</v>
      </c>
      <c r="G8">
        <v>1</v>
      </c>
      <c r="H8">
        <v>3</v>
      </c>
      <c r="I8" t="s">
        <v>307</v>
      </c>
      <c r="J8" t="s">
        <v>308</v>
      </c>
      <c r="K8" t="s">
        <v>309</v>
      </c>
      <c r="L8">
        <v>1339</v>
      </c>
      <c r="N8">
        <v>1007</v>
      </c>
      <c r="O8" t="s">
        <v>58</v>
      </c>
      <c r="P8" t="s">
        <v>58</v>
      </c>
      <c r="Q8">
        <v>1</v>
      </c>
      <c r="X8">
        <v>3.85</v>
      </c>
      <c r="Y8">
        <v>2.44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31</v>
      </c>
      <c r="AG8">
        <v>0</v>
      </c>
      <c r="AH8">
        <v>2</v>
      </c>
      <c r="AI8">
        <v>145016786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145016795</v>
      </c>
      <c r="C9">
        <v>145016780</v>
      </c>
      <c r="D9">
        <v>140761117</v>
      </c>
      <c r="E9">
        <v>70</v>
      </c>
      <c r="F9">
        <v>1</v>
      </c>
      <c r="G9">
        <v>1</v>
      </c>
      <c r="H9">
        <v>3</v>
      </c>
      <c r="I9" t="s">
        <v>310</v>
      </c>
      <c r="J9" t="s">
        <v>3</v>
      </c>
      <c r="K9" t="s">
        <v>311</v>
      </c>
      <c r="L9">
        <v>1339</v>
      </c>
      <c r="N9">
        <v>1007</v>
      </c>
      <c r="O9" t="s">
        <v>58</v>
      </c>
      <c r="P9" t="s">
        <v>58</v>
      </c>
      <c r="Q9">
        <v>1</v>
      </c>
      <c r="X9">
        <v>1.53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31</v>
      </c>
      <c r="AG9">
        <v>0</v>
      </c>
      <c r="AH9">
        <v>2</v>
      </c>
      <c r="AI9">
        <v>145016787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145016796</v>
      </c>
      <c r="C10">
        <v>145016780</v>
      </c>
      <c r="D10">
        <v>140798958</v>
      </c>
      <c r="E10">
        <v>1</v>
      </c>
      <c r="F10">
        <v>1</v>
      </c>
      <c r="G10">
        <v>1</v>
      </c>
      <c r="H10">
        <v>3</v>
      </c>
      <c r="I10" t="s">
        <v>312</v>
      </c>
      <c r="J10" t="s">
        <v>313</v>
      </c>
      <c r="K10" t="s">
        <v>314</v>
      </c>
      <c r="L10">
        <v>1327</v>
      </c>
      <c r="N10">
        <v>1005</v>
      </c>
      <c r="O10" t="s">
        <v>74</v>
      </c>
      <c r="P10" t="s">
        <v>74</v>
      </c>
      <c r="Q10">
        <v>1</v>
      </c>
      <c r="X10">
        <v>4.4000000000000004</v>
      </c>
      <c r="Y10">
        <v>6.2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31</v>
      </c>
      <c r="AG10">
        <v>0</v>
      </c>
      <c r="AH10">
        <v>2</v>
      </c>
      <c r="AI10">
        <v>145016788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145016803</v>
      </c>
      <c r="C11">
        <v>145016797</v>
      </c>
      <c r="D11">
        <v>140759982</v>
      </c>
      <c r="E11">
        <v>70</v>
      </c>
      <c r="F11">
        <v>1</v>
      </c>
      <c r="G11">
        <v>1</v>
      </c>
      <c r="H11">
        <v>1</v>
      </c>
      <c r="I11" t="s">
        <v>293</v>
      </c>
      <c r="J11" t="s">
        <v>3</v>
      </c>
      <c r="K11" t="s">
        <v>294</v>
      </c>
      <c r="L11">
        <v>1191</v>
      </c>
      <c r="N11">
        <v>1013</v>
      </c>
      <c r="O11" t="s">
        <v>288</v>
      </c>
      <c r="P11" t="s">
        <v>288</v>
      </c>
      <c r="Q11">
        <v>1</v>
      </c>
      <c r="X11">
        <v>1</v>
      </c>
      <c r="Y11">
        <v>0</v>
      </c>
      <c r="Z11">
        <v>0</v>
      </c>
      <c r="AA11">
        <v>0</v>
      </c>
      <c r="AB11">
        <v>8.64</v>
      </c>
      <c r="AC11">
        <v>0</v>
      </c>
      <c r="AD11">
        <v>1</v>
      </c>
      <c r="AE11">
        <v>1</v>
      </c>
      <c r="AF11" t="s">
        <v>43</v>
      </c>
      <c r="AG11">
        <v>28</v>
      </c>
      <c r="AH11">
        <v>2</v>
      </c>
      <c r="AI11">
        <v>145016798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145016804</v>
      </c>
      <c r="C12">
        <v>145016797</v>
      </c>
      <c r="D12">
        <v>140760225</v>
      </c>
      <c r="E12">
        <v>70</v>
      </c>
      <c r="F12">
        <v>1</v>
      </c>
      <c r="G12">
        <v>1</v>
      </c>
      <c r="H12">
        <v>1</v>
      </c>
      <c r="I12" t="s">
        <v>295</v>
      </c>
      <c r="J12" t="s">
        <v>3</v>
      </c>
      <c r="K12" t="s">
        <v>296</v>
      </c>
      <c r="L12">
        <v>1191</v>
      </c>
      <c r="N12">
        <v>1013</v>
      </c>
      <c r="O12" t="s">
        <v>288</v>
      </c>
      <c r="P12" t="s">
        <v>288</v>
      </c>
      <c r="Q12">
        <v>1</v>
      </c>
      <c r="X12">
        <v>0.03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43</v>
      </c>
      <c r="AG12">
        <v>0.84</v>
      </c>
      <c r="AH12">
        <v>2</v>
      </c>
      <c r="AI12">
        <v>145016799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145016805</v>
      </c>
      <c r="C13">
        <v>145016797</v>
      </c>
      <c r="D13">
        <v>140922893</v>
      </c>
      <c r="E13">
        <v>1</v>
      </c>
      <c r="F13">
        <v>1</v>
      </c>
      <c r="G13">
        <v>1</v>
      </c>
      <c r="H13">
        <v>2</v>
      </c>
      <c r="I13" t="s">
        <v>297</v>
      </c>
      <c r="J13" t="s">
        <v>298</v>
      </c>
      <c r="K13" t="s">
        <v>299</v>
      </c>
      <c r="L13">
        <v>1367</v>
      </c>
      <c r="N13">
        <v>1011</v>
      </c>
      <c r="O13" t="s">
        <v>300</v>
      </c>
      <c r="P13" t="s">
        <v>300</v>
      </c>
      <c r="Q13">
        <v>1</v>
      </c>
      <c r="X13">
        <v>0.01</v>
      </c>
      <c r="Y13">
        <v>0</v>
      </c>
      <c r="Z13">
        <v>86.4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43</v>
      </c>
      <c r="AG13">
        <v>0.28000000000000003</v>
      </c>
      <c r="AH13">
        <v>2</v>
      </c>
      <c r="AI13">
        <v>145016800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145016806</v>
      </c>
      <c r="C14">
        <v>145016797</v>
      </c>
      <c r="D14">
        <v>140923105</v>
      </c>
      <c r="E14">
        <v>1</v>
      </c>
      <c r="F14">
        <v>1</v>
      </c>
      <c r="G14">
        <v>1</v>
      </c>
      <c r="H14">
        <v>2</v>
      </c>
      <c r="I14" t="s">
        <v>301</v>
      </c>
      <c r="J14" t="s">
        <v>302</v>
      </c>
      <c r="K14" t="s">
        <v>303</v>
      </c>
      <c r="L14">
        <v>1367</v>
      </c>
      <c r="N14">
        <v>1011</v>
      </c>
      <c r="O14" t="s">
        <v>300</v>
      </c>
      <c r="P14" t="s">
        <v>300</v>
      </c>
      <c r="Q14">
        <v>1</v>
      </c>
      <c r="X14">
        <v>0.02</v>
      </c>
      <c r="Y14">
        <v>0</v>
      </c>
      <c r="Z14">
        <v>89.99</v>
      </c>
      <c r="AA14">
        <v>10.06</v>
      </c>
      <c r="AB14">
        <v>0</v>
      </c>
      <c r="AC14">
        <v>0</v>
      </c>
      <c r="AD14">
        <v>1</v>
      </c>
      <c r="AE14">
        <v>0</v>
      </c>
      <c r="AF14" t="s">
        <v>43</v>
      </c>
      <c r="AG14">
        <v>0.56000000000000005</v>
      </c>
      <c r="AH14">
        <v>2</v>
      </c>
      <c r="AI14">
        <v>145016801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145016807</v>
      </c>
      <c r="C15">
        <v>145016797</v>
      </c>
      <c r="D15">
        <v>140761117</v>
      </c>
      <c r="E15">
        <v>70</v>
      </c>
      <c r="F15">
        <v>1</v>
      </c>
      <c r="G15">
        <v>1</v>
      </c>
      <c r="H15">
        <v>3</v>
      </c>
      <c r="I15" t="s">
        <v>310</v>
      </c>
      <c r="J15" t="s">
        <v>3</v>
      </c>
      <c r="K15" t="s">
        <v>311</v>
      </c>
      <c r="L15">
        <v>1339</v>
      </c>
      <c r="N15">
        <v>1007</v>
      </c>
      <c r="O15" t="s">
        <v>58</v>
      </c>
      <c r="P15" t="s">
        <v>58</v>
      </c>
      <c r="Q15">
        <v>1</v>
      </c>
      <c r="X15">
        <v>0.10199999999999999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42</v>
      </c>
      <c r="AG15">
        <v>0</v>
      </c>
      <c r="AH15">
        <v>2</v>
      </c>
      <c r="AI15">
        <v>145016802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145016817</v>
      </c>
      <c r="C16">
        <v>145016808</v>
      </c>
      <c r="D16">
        <v>140759982</v>
      </c>
      <c r="E16">
        <v>70</v>
      </c>
      <c r="F16">
        <v>1</v>
      </c>
      <c r="G16">
        <v>1</v>
      </c>
      <c r="H16">
        <v>1</v>
      </c>
      <c r="I16" t="s">
        <v>293</v>
      </c>
      <c r="J16" t="s">
        <v>3</v>
      </c>
      <c r="K16" t="s">
        <v>294</v>
      </c>
      <c r="L16">
        <v>1191</v>
      </c>
      <c r="N16">
        <v>1013</v>
      </c>
      <c r="O16" t="s">
        <v>288</v>
      </c>
      <c r="P16" t="s">
        <v>288</v>
      </c>
      <c r="Q16">
        <v>1</v>
      </c>
      <c r="X16">
        <v>24.3</v>
      </c>
      <c r="Y16">
        <v>0</v>
      </c>
      <c r="Z16">
        <v>0</v>
      </c>
      <c r="AA16">
        <v>0</v>
      </c>
      <c r="AB16">
        <v>8.64</v>
      </c>
      <c r="AC16">
        <v>0</v>
      </c>
      <c r="AD16">
        <v>1</v>
      </c>
      <c r="AE16">
        <v>1</v>
      </c>
      <c r="AF16" t="s">
        <v>48</v>
      </c>
      <c r="AG16">
        <v>27.945</v>
      </c>
      <c r="AH16">
        <v>2</v>
      </c>
      <c r="AI16">
        <v>145016809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ROW(Source!A27)</f>
        <v>27</v>
      </c>
      <c r="B17">
        <v>145016818</v>
      </c>
      <c r="C17">
        <v>145016808</v>
      </c>
      <c r="D17">
        <v>140760225</v>
      </c>
      <c r="E17">
        <v>70</v>
      </c>
      <c r="F17">
        <v>1</v>
      </c>
      <c r="G17">
        <v>1</v>
      </c>
      <c r="H17">
        <v>1</v>
      </c>
      <c r="I17" t="s">
        <v>295</v>
      </c>
      <c r="J17" t="s">
        <v>3</v>
      </c>
      <c r="K17" t="s">
        <v>296</v>
      </c>
      <c r="L17">
        <v>1191</v>
      </c>
      <c r="N17">
        <v>1013</v>
      </c>
      <c r="O17" t="s">
        <v>288</v>
      </c>
      <c r="P17" t="s">
        <v>288</v>
      </c>
      <c r="Q17">
        <v>1</v>
      </c>
      <c r="X17">
        <v>1.94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47</v>
      </c>
      <c r="AG17">
        <v>2.4249999999999998</v>
      </c>
      <c r="AH17">
        <v>2</v>
      </c>
      <c r="AI17">
        <v>145016810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145016819</v>
      </c>
      <c r="C18">
        <v>145016808</v>
      </c>
      <c r="D18">
        <v>140922893</v>
      </c>
      <c r="E18">
        <v>1</v>
      </c>
      <c r="F18">
        <v>1</v>
      </c>
      <c r="G18">
        <v>1</v>
      </c>
      <c r="H18">
        <v>2</v>
      </c>
      <c r="I18" t="s">
        <v>297</v>
      </c>
      <c r="J18" t="s">
        <v>298</v>
      </c>
      <c r="K18" t="s">
        <v>299</v>
      </c>
      <c r="L18">
        <v>1367</v>
      </c>
      <c r="N18">
        <v>1011</v>
      </c>
      <c r="O18" t="s">
        <v>300</v>
      </c>
      <c r="P18" t="s">
        <v>300</v>
      </c>
      <c r="Q18">
        <v>1</v>
      </c>
      <c r="X18">
        <v>0.68</v>
      </c>
      <c r="Y18">
        <v>0</v>
      </c>
      <c r="Z18">
        <v>86.4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47</v>
      </c>
      <c r="AG18">
        <v>0.85000000000000009</v>
      </c>
      <c r="AH18">
        <v>2</v>
      </c>
      <c r="AI18">
        <v>145016811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145016820</v>
      </c>
      <c r="C19">
        <v>145016808</v>
      </c>
      <c r="D19">
        <v>140923105</v>
      </c>
      <c r="E19">
        <v>1</v>
      </c>
      <c r="F19">
        <v>1</v>
      </c>
      <c r="G19">
        <v>1</v>
      </c>
      <c r="H19">
        <v>2</v>
      </c>
      <c r="I19" t="s">
        <v>301</v>
      </c>
      <c r="J19" t="s">
        <v>302</v>
      </c>
      <c r="K19" t="s">
        <v>303</v>
      </c>
      <c r="L19">
        <v>1367</v>
      </c>
      <c r="N19">
        <v>1011</v>
      </c>
      <c r="O19" t="s">
        <v>300</v>
      </c>
      <c r="P19" t="s">
        <v>300</v>
      </c>
      <c r="Q19">
        <v>1</v>
      </c>
      <c r="X19">
        <v>1.26</v>
      </c>
      <c r="Y19">
        <v>0</v>
      </c>
      <c r="Z19">
        <v>89.99</v>
      </c>
      <c r="AA19">
        <v>10.06</v>
      </c>
      <c r="AB19">
        <v>0</v>
      </c>
      <c r="AC19">
        <v>0</v>
      </c>
      <c r="AD19">
        <v>1</v>
      </c>
      <c r="AE19">
        <v>0</v>
      </c>
      <c r="AF19" t="s">
        <v>47</v>
      </c>
      <c r="AG19">
        <v>1.575</v>
      </c>
      <c r="AH19">
        <v>2</v>
      </c>
      <c r="AI19">
        <v>145016812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145016821</v>
      </c>
      <c r="C20">
        <v>145016808</v>
      </c>
      <c r="D20">
        <v>140923250</v>
      </c>
      <c r="E20">
        <v>1</v>
      </c>
      <c r="F20">
        <v>1</v>
      </c>
      <c r="G20">
        <v>1</v>
      </c>
      <c r="H20">
        <v>2</v>
      </c>
      <c r="I20" t="s">
        <v>304</v>
      </c>
      <c r="J20" t="s">
        <v>305</v>
      </c>
      <c r="K20" t="s">
        <v>306</v>
      </c>
      <c r="L20">
        <v>1367</v>
      </c>
      <c r="N20">
        <v>1011</v>
      </c>
      <c r="O20" t="s">
        <v>300</v>
      </c>
      <c r="P20" t="s">
        <v>300</v>
      </c>
      <c r="Q20">
        <v>1</v>
      </c>
      <c r="X20">
        <v>2.29</v>
      </c>
      <c r="Y20">
        <v>0</v>
      </c>
      <c r="Z20">
        <v>7.77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47</v>
      </c>
      <c r="AG20">
        <v>2.8624999999999998</v>
      </c>
      <c r="AH20">
        <v>2</v>
      </c>
      <c r="AI20">
        <v>145016813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145016822</v>
      </c>
      <c r="C21">
        <v>145016808</v>
      </c>
      <c r="D21">
        <v>140772680</v>
      </c>
      <c r="E21">
        <v>1</v>
      </c>
      <c r="F21">
        <v>1</v>
      </c>
      <c r="G21">
        <v>1</v>
      </c>
      <c r="H21">
        <v>3</v>
      </c>
      <c r="I21" t="s">
        <v>307</v>
      </c>
      <c r="J21" t="s">
        <v>308</v>
      </c>
      <c r="K21" t="s">
        <v>309</v>
      </c>
      <c r="L21">
        <v>1339</v>
      </c>
      <c r="N21">
        <v>1007</v>
      </c>
      <c r="O21" t="s">
        <v>58</v>
      </c>
      <c r="P21" t="s">
        <v>58</v>
      </c>
      <c r="Q21">
        <v>1</v>
      </c>
      <c r="X21">
        <v>3.85</v>
      </c>
      <c r="Y21">
        <v>2.44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3.85</v>
      </c>
      <c r="AH21">
        <v>2</v>
      </c>
      <c r="AI21">
        <v>145016814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145016823</v>
      </c>
      <c r="C22">
        <v>145016808</v>
      </c>
      <c r="D22">
        <v>140761117</v>
      </c>
      <c r="E22">
        <v>70</v>
      </c>
      <c r="F22">
        <v>1</v>
      </c>
      <c r="G22">
        <v>1</v>
      </c>
      <c r="H22">
        <v>3</v>
      </c>
      <c r="I22" t="s">
        <v>310</v>
      </c>
      <c r="J22" t="s">
        <v>3</v>
      </c>
      <c r="K22" t="s">
        <v>311</v>
      </c>
      <c r="L22">
        <v>1339</v>
      </c>
      <c r="N22">
        <v>1007</v>
      </c>
      <c r="O22" t="s">
        <v>58</v>
      </c>
      <c r="P22" t="s">
        <v>58</v>
      </c>
      <c r="Q22">
        <v>1</v>
      </c>
      <c r="X22">
        <v>1.53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t="s">
        <v>3</v>
      </c>
      <c r="AG22">
        <v>1.53</v>
      </c>
      <c r="AH22">
        <v>2</v>
      </c>
      <c r="AI22">
        <v>145016815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ROW(Source!A27)</f>
        <v>27</v>
      </c>
      <c r="B23">
        <v>145016824</v>
      </c>
      <c r="C23">
        <v>145016808</v>
      </c>
      <c r="D23">
        <v>140798958</v>
      </c>
      <c r="E23">
        <v>1</v>
      </c>
      <c r="F23">
        <v>1</v>
      </c>
      <c r="G23">
        <v>1</v>
      </c>
      <c r="H23">
        <v>3</v>
      </c>
      <c r="I23" t="s">
        <v>312</v>
      </c>
      <c r="J23" t="s">
        <v>313</v>
      </c>
      <c r="K23" t="s">
        <v>314</v>
      </c>
      <c r="L23">
        <v>1327</v>
      </c>
      <c r="N23">
        <v>1005</v>
      </c>
      <c r="O23" t="s">
        <v>74</v>
      </c>
      <c r="P23" t="s">
        <v>74</v>
      </c>
      <c r="Q23">
        <v>1</v>
      </c>
      <c r="X23">
        <v>4.4000000000000004</v>
      </c>
      <c r="Y23">
        <v>6.2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4.4000000000000004</v>
      </c>
      <c r="AH23">
        <v>2</v>
      </c>
      <c r="AI23">
        <v>145016816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145016831</v>
      </c>
      <c r="C24">
        <v>145016825</v>
      </c>
      <c r="D24">
        <v>140759982</v>
      </c>
      <c r="E24">
        <v>70</v>
      </c>
      <c r="F24">
        <v>1</v>
      </c>
      <c r="G24">
        <v>1</v>
      </c>
      <c r="H24">
        <v>1</v>
      </c>
      <c r="I24" t="s">
        <v>293</v>
      </c>
      <c r="J24" t="s">
        <v>3</v>
      </c>
      <c r="K24" t="s">
        <v>294</v>
      </c>
      <c r="L24">
        <v>1191</v>
      </c>
      <c r="N24">
        <v>1013</v>
      </c>
      <c r="O24" t="s">
        <v>288</v>
      </c>
      <c r="P24" t="s">
        <v>288</v>
      </c>
      <c r="Q24">
        <v>1</v>
      </c>
      <c r="X24">
        <v>1</v>
      </c>
      <c r="Y24">
        <v>0</v>
      </c>
      <c r="Z24">
        <v>0</v>
      </c>
      <c r="AA24">
        <v>0</v>
      </c>
      <c r="AB24">
        <v>8.64</v>
      </c>
      <c r="AC24">
        <v>0</v>
      </c>
      <c r="AD24">
        <v>1</v>
      </c>
      <c r="AE24">
        <v>1</v>
      </c>
      <c r="AF24" t="s">
        <v>54</v>
      </c>
      <c r="AG24">
        <v>40.25</v>
      </c>
      <c r="AH24">
        <v>2</v>
      </c>
      <c r="AI24">
        <v>145016826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145016832</v>
      </c>
      <c r="C25">
        <v>145016825</v>
      </c>
      <c r="D25">
        <v>140760225</v>
      </c>
      <c r="E25">
        <v>70</v>
      </c>
      <c r="F25">
        <v>1</v>
      </c>
      <c r="G25">
        <v>1</v>
      </c>
      <c r="H25">
        <v>1</v>
      </c>
      <c r="I25" t="s">
        <v>295</v>
      </c>
      <c r="J25" t="s">
        <v>3</v>
      </c>
      <c r="K25" t="s">
        <v>296</v>
      </c>
      <c r="L25">
        <v>1191</v>
      </c>
      <c r="N25">
        <v>1013</v>
      </c>
      <c r="O25" t="s">
        <v>288</v>
      </c>
      <c r="P25" t="s">
        <v>288</v>
      </c>
      <c r="Q25">
        <v>1</v>
      </c>
      <c r="X25">
        <v>0.03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2</v>
      </c>
      <c r="AF25" t="s">
        <v>53</v>
      </c>
      <c r="AG25">
        <v>1.3125</v>
      </c>
      <c r="AH25">
        <v>2</v>
      </c>
      <c r="AI25">
        <v>145016827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145016833</v>
      </c>
      <c r="C26">
        <v>145016825</v>
      </c>
      <c r="D26">
        <v>140922893</v>
      </c>
      <c r="E26">
        <v>1</v>
      </c>
      <c r="F26">
        <v>1</v>
      </c>
      <c r="G26">
        <v>1</v>
      </c>
      <c r="H26">
        <v>2</v>
      </c>
      <c r="I26" t="s">
        <v>297</v>
      </c>
      <c r="J26" t="s">
        <v>298</v>
      </c>
      <c r="K26" t="s">
        <v>299</v>
      </c>
      <c r="L26">
        <v>1367</v>
      </c>
      <c r="N26">
        <v>1011</v>
      </c>
      <c r="O26" t="s">
        <v>300</v>
      </c>
      <c r="P26" t="s">
        <v>300</v>
      </c>
      <c r="Q26">
        <v>1</v>
      </c>
      <c r="X26">
        <v>0.01</v>
      </c>
      <c r="Y26">
        <v>0</v>
      </c>
      <c r="Z26">
        <v>86.4</v>
      </c>
      <c r="AA26">
        <v>13.5</v>
      </c>
      <c r="AB26">
        <v>0</v>
      </c>
      <c r="AC26">
        <v>0</v>
      </c>
      <c r="AD26">
        <v>1</v>
      </c>
      <c r="AE26">
        <v>0</v>
      </c>
      <c r="AF26" t="s">
        <v>53</v>
      </c>
      <c r="AG26">
        <v>0.4375</v>
      </c>
      <c r="AH26">
        <v>2</v>
      </c>
      <c r="AI26">
        <v>145016828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ROW(Source!A28)</f>
        <v>28</v>
      </c>
      <c r="B27">
        <v>145016834</v>
      </c>
      <c r="C27">
        <v>145016825</v>
      </c>
      <c r="D27">
        <v>140923105</v>
      </c>
      <c r="E27">
        <v>1</v>
      </c>
      <c r="F27">
        <v>1</v>
      </c>
      <c r="G27">
        <v>1</v>
      </c>
      <c r="H27">
        <v>2</v>
      </c>
      <c r="I27" t="s">
        <v>301</v>
      </c>
      <c r="J27" t="s">
        <v>302</v>
      </c>
      <c r="K27" t="s">
        <v>303</v>
      </c>
      <c r="L27">
        <v>1367</v>
      </c>
      <c r="N27">
        <v>1011</v>
      </c>
      <c r="O27" t="s">
        <v>300</v>
      </c>
      <c r="P27" t="s">
        <v>300</v>
      </c>
      <c r="Q27">
        <v>1</v>
      </c>
      <c r="X27">
        <v>0.02</v>
      </c>
      <c r="Y27">
        <v>0</v>
      </c>
      <c r="Z27">
        <v>89.99</v>
      </c>
      <c r="AA27">
        <v>10.06</v>
      </c>
      <c r="AB27">
        <v>0</v>
      </c>
      <c r="AC27">
        <v>0</v>
      </c>
      <c r="AD27">
        <v>1</v>
      </c>
      <c r="AE27">
        <v>0</v>
      </c>
      <c r="AF27" t="s">
        <v>53</v>
      </c>
      <c r="AG27">
        <v>0.875</v>
      </c>
      <c r="AH27">
        <v>2</v>
      </c>
      <c r="AI27">
        <v>145016829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145016835</v>
      </c>
      <c r="C28">
        <v>145016825</v>
      </c>
      <c r="D28">
        <v>140761117</v>
      </c>
      <c r="E28">
        <v>70</v>
      </c>
      <c r="F28">
        <v>1</v>
      </c>
      <c r="G28">
        <v>1</v>
      </c>
      <c r="H28">
        <v>3</v>
      </c>
      <c r="I28" t="s">
        <v>310</v>
      </c>
      <c r="J28" t="s">
        <v>3</v>
      </c>
      <c r="K28" t="s">
        <v>311</v>
      </c>
      <c r="L28">
        <v>1339</v>
      </c>
      <c r="N28">
        <v>1007</v>
      </c>
      <c r="O28" t="s">
        <v>58</v>
      </c>
      <c r="P28" t="s">
        <v>58</v>
      </c>
      <c r="Q28">
        <v>1</v>
      </c>
      <c r="X28">
        <v>0.10199999999999999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44</v>
      </c>
      <c r="AG28">
        <v>3.57</v>
      </c>
      <c r="AH28">
        <v>2</v>
      </c>
      <c r="AI28">
        <v>145016830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145025534</v>
      </c>
      <c r="C29">
        <v>145025527</v>
      </c>
      <c r="D29">
        <v>140755436</v>
      </c>
      <c r="E29">
        <v>70</v>
      </c>
      <c r="F29">
        <v>1</v>
      </c>
      <c r="G29">
        <v>1</v>
      </c>
      <c r="H29">
        <v>1</v>
      </c>
      <c r="I29" t="s">
        <v>315</v>
      </c>
      <c r="J29" t="s">
        <v>3</v>
      </c>
      <c r="K29" t="s">
        <v>316</v>
      </c>
      <c r="L29">
        <v>1191</v>
      </c>
      <c r="N29">
        <v>1013</v>
      </c>
      <c r="O29" t="s">
        <v>288</v>
      </c>
      <c r="P29" t="s">
        <v>288</v>
      </c>
      <c r="Q29">
        <v>1</v>
      </c>
      <c r="X29">
        <v>11.6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48</v>
      </c>
      <c r="AG29">
        <v>13.339999999999998</v>
      </c>
      <c r="AH29">
        <v>2</v>
      </c>
      <c r="AI29">
        <v>145025528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145025535</v>
      </c>
      <c r="C30">
        <v>145025527</v>
      </c>
      <c r="D30">
        <v>140755491</v>
      </c>
      <c r="E30">
        <v>70</v>
      </c>
      <c r="F30">
        <v>1</v>
      </c>
      <c r="G30">
        <v>1</v>
      </c>
      <c r="H30">
        <v>1</v>
      </c>
      <c r="I30" t="s">
        <v>295</v>
      </c>
      <c r="J30" t="s">
        <v>3</v>
      </c>
      <c r="K30" t="s">
        <v>296</v>
      </c>
      <c r="L30">
        <v>1191</v>
      </c>
      <c r="N30">
        <v>1013</v>
      </c>
      <c r="O30" t="s">
        <v>288</v>
      </c>
      <c r="P30" t="s">
        <v>288</v>
      </c>
      <c r="Q30">
        <v>1</v>
      </c>
      <c r="X30">
        <v>0.35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47</v>
      </c>
      <c r="AG30">
        <v>0.4375</v>
      </c>
      <c r="AH30">
        <v>2</v>
      </c>
      <c r="AI30">
        <v>145025529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145025536</v>
      </c>
      <c r="C31">
        <v>145025527</v>
      </c>
      <c r="D31">
        <v>140922951</v>
      </c>
      <c r="E31">
        <v>1</v>
      </c>
      <c r="F31">
        <v>1</v>
      </c>
      <c r="G31">
        <v>1</v>
      </c>
      <c r="H31">
        <v>2</v>
      </c>
      <c r="I31" t="s">
        <v>317</v>
      </c>
      <c r="J31" t="s">
        <v>318</v>
      </c>
      <c r="K31" t="s">
        <v>319</v>
      </c>
      <c r="L31">
        <v>1367</v>
      </c>
      <c r="N31">
        <v>1011</v>
      </c>
      <c r="O31" t="s">
        <v>300</v>
      </c>
      <c r="P31" t="s">
        <v>300</v>
      </c>
      <c r="Q31">
        <v>1</v>
      </c>
      <c r="X31">
        <v>0.15</v>
      </c>
      <c r="Y31">
        <v>0</v>
      </c>
      <c r="Z31">
        <v>115.4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47</v>
      </c>
      <c r="AG31">
        <v>0.1875</v>
      </c>
      <c r="AH31">
        <v>2</v>
      </c>
      <c r="AI31">
        <v>145025530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145025537</v>
      </c>
      <c r="C32">
        <v>145025527</v>
      </c>
      <c r="D32">
        <v>140923885</v>
      </c>
      <c r="E32">
        <v>1</v>
      </c>
      <c r="F32">
        <v>1</v>
      </c>
      <c r="G32">
        <v>1</v>
      </c>
      <c r="H32">
        <v>2</v>
      </c>
      <c r="I32" t="s">
        <v>320</v>
      </c>
      <c r="J32" t="s">
        <v>321</v>
      </c>
      <c r="K32" t="s">
        <v>322</v>
      </c>
      <c r="L32">
        <v>1367</v>
      </c>
      <c r="N32">
        <v>1011</v>
      </c>
      <c r="O32" t="s">
        <v>300</v>
      </c>
      <c r="P32" t="s">
        <v>300</v>
      </c>
      <c r="Q32">
        <v>1</v>
      </c>
      <c r="X32">
        <v>0.2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47</v>
      </c>
      <c r="AG32">
        <v>0.25</v>
      </c>
      <c r="AH32">
        <v>2</v>
      </c>
      <c r="AI32">
        <v>145025531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145025538</v>
      </c>
      <c r="C33">
        <v>145025527</v>
      </c>
      <c r="D33">
        <v>140792301</v>
      </c>
      <c r="E33">
        <v>1</v>
      </c>
      <c r="F33">
        <v>1</v>
      </c>
      <c r="G33">
        <v>1</v>
      </c>
      <c r="H33">
        <v>3</v>
      </c>
      <c r="I33" t="s">
        <v>323</v>
      </c>
      <c r="J33" t="s">
        <v>324</v>
      </c>
      <c r="K33" t="s">
        <v>325</v>
      </c>
      <c r="L33">
        <v>1348</v>
      </c>
      <c r="N33">
        <v>1009</v>
      </c>
      <c r="O33" t="s">
        <v>66</v>
      </c>
      <c r="P33" t="s">
        <v>66</v>
      </c>
      <c r="Q33">
        <v>1000</v>
      </c>
      <c r="X33">
        <v>2.8000000000000001E-2</v>
      </c>
      <c r="Y33">
        <v>10200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2.8000000000000001E-2</v>
      </c>
      <c r="AH33">
        <v>2</v>
      </c>
      <c r="AI33">
        <v>145025532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145025539</v>
      </c>
      <c r="C34">
        <v>145025527</v>
      </c>
      <c r="D34">
        <v>140762427</v>
      </c>
      <c r="E34">
        <v>70</v>
      </c>
      <c r="F34">
        <v>1</v>
      </c>
      <c r="G34">
        <v>1</v>
      </c>
      <c r="H34">
        <v>3</v>
      </c>
      <c r="I34" t="s">
        <v>326</v>
      </c>
      <c r="J34" t="s">
        <v>3</v>
      </c>
      <c r="K34" t="s">
        <v>327</v>
      </c>
      <c r="L34">
        <v>1348</v>
      </c>
      <c r="N34">
        <v>1009</v>
      </c>
      <c r="O34" t="s">
        <v>66</v>
      </c>
      <c r="P34" t="s">
        <v>66</v>
      </c>
      <c r="Q34">
        <v>1000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</v>
      </c>
      <c r="AH34">
        <v>2</v>
      </c>
      <c r="AI34">
        <v>145025533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ROW(Source!A32)</f>
        <v>32</v>
      </c>
      <c r="B35">
        <v>145025545</v>
      </c>
      <c r="C35">
        <v>145025541</v>
      </c>
      <c r="D35">
        <v>140755491</v>
      </c>
      <c r="E35">
        <v>70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288</v>
      </c>
      <c r="P35" t="s">
        <v>288</v>
      </c>
      <c r="Q35">
        <v>1</v>
      </c>
      <c r="X35">
        <v>0.2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0.2</v>
      </c>
      <c r="AH35">
        <v>2</v>
      </c>
      <c r="AI35">
        <v>145025542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ROW(Source!A32)</f>
        <v>32</v>
      </c>
      <c r="B36">
        <v>145025546</v>
      </c>
      <c r="C36">
        <v>145025541</v>
      </c>
      <c r="D36">
        <v>140923396</v>
      </c>
      <c r="E36">
        <v>1</v>
      </c>
      <c r="F36">
        <v>1</v>
      </c>
      <c r="G36">
        <v>1</v>
      </c>
      <c r="H36">
        <v>2</v>
      </c>
      <c r="I36" t="s">
        <v>328</v>
      </c>
      <c r="J36" t="s">
        <v>329</v>
      </c>
      <c r="K36" t="s">
        <v>330</v>
      </c>
      <c r="L36">
        <v>1367</v>
      </c>
      <c r="N36">
        <v>1011</v>
      </c>
      <c r="O36" t="s">
        <v>300</v>
      </c>
      <c r="P36" t="s">
        <v>300</v>
      </c>
      <c r="Q36">
        <v>1</v>
      </c>
      <c r="X36">
        <v>0.2</v>
      </c>
      <c r="Y36">
        <v>0</v>
      </c>
      <c r="Z36">
        <v>101.06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</v>
      </c>
      <c r="AH36">
        <v>2</v>
      </c>
      <c r="AI36">
        <v>145025543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ROW(Source!A32)</f>
        <v>32</v>
      </c>
      <c r="B37">
        <v>145025547</v>
      </c>
      <c r="C37">
        <v>145025541</v>
      </c>
      <c r="D37">
        <v>140775855</v>
      </c>
      <c r="E37">
        <v>1</v>
      </c>
      <c r="F37">
        <v>1</v>
      </c>
      <c r="G37">
        <v>1</v>
      </c>
      <c r="H37">
        <v>3</v>
      </c>
      <c r="I37" t="s">
        <v>331</v>
      </c>
      <c r="J37" t="s">
        <v>332</v>
      </c>
      <c r="K37" t="s">
        <v>333</v>
      </c>
      <c r="L37">
        <v>1371</v>
      </c>
      <c r="N37">
        <v>1013</v>
      </c>
      <c r="O37" t="s">
        <v>334</v>
      </c>
      <c r="P37" t="s">
        <v>334</v>
      </c>
      <c r="Q37">
        <v>1</v>
      </c>
      <c r="X37">
        <v>0.05</v>
      </c>
      <c r="Y37">
        <v>515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0.05</v>
      </c>
      <c r="AH37">
        <v>2</v>
      </c>
      <c r="AI37">
        <v>145025544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145025558</v>
      </c>
      <c r="C38">
        <v>145025548</v>
      </c>
      <c r="D38">
        <v>140755434</v>
      </c>
      <c r="E38">
        <v>70</v>
      </c>
      <c r="F38">
        <v>1</v>
      </c>
      <c r="G38">
        <v>1</v>
      </c>
      <c r="H38">
        <v>1</v>
      </c>
      <c r="I38" t="s">
        <v>293</v>
      </c>
      <c r="J38" t="s">
        <v>3</v>
      </c>
      <c r="K38" t="s">
        <v>294</v>
      </c>
      <c r="L38">
        <v>1191</v>
      </c>
      <c r="N38">
        <v>1013</v>
      </c>
      <c r="O38" t="s">
        <v>288</v>
      </c>
      <c r="P38" t="s">
        <v>288</v>
      </c>
      <c r="Q38">
        <v>1</v>
      </c>
      <c r="X38">
        <v>65.48</v>
      </c>
      <c r="Y38">
        <v>0</v>
      </c>
      <c r="Z38">
        <v>0</v>
      </c>
      <c r="AA38">
        <v>0</v>
      </c>
      <c r="AB38">
        <v>8.64</v>
      </c>
      <c r="AC38">
        <v>0</v>
      </c>
      <c r="AD38">
        <v>1</v>
      </c>
      <c r="AE38">
        <v>1</v>
      </c>
      <c r="AF38" t="s">
        <v>48</v>
      </c>
      <c r="AG38">
        <v>75.301999999999992</v>
      </c>
      <c r="AH38">
        <v>2</v>
      </c>
      <c r="AI38">
        <v>145025549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145025559</v>
      </c>
      <c r="C39">
        <v>145025548</v>
      </c>
      <c r="D39">
        <v>140755491</v>
      </c>
      <c r="E39">
        <v>70</v>
      </c>
      <c r="F39">
        <v>1</v>
      </c>
      <c r="G39">
        <v>1</v>
      </c>
      <c r="H39">
        <v>1</v>
      </c>
      <c r="I39" t="s">
        <v>295</v>
      </c>
      <c r="J39" t="s">
        <v>3</v>
      </c>
      <c r="K39" t="s">
        <v>296</v>
      </c>
      <c r="L39">
        <v>1191</v>
      </c>
      <c r="N39">
        <v>1013</v>
      </c>
      <c r="O39" t="s">
        <v>288</v>
      </c>
      <c r="P39" t="s">
        <v>288</v>
      </c>
      <c r="Q39">
        <v>1</v>
      </c>
      <c r="X39">
        <v>0.39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47</v>
      </c>
      <c r="AG39">
        <v>0.48750000000000004</v>
      </c>
      <c r="AH39">
        <v>2</v>
      </c>
      <c r="AI39">
        <v>145025550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145025560</v>
      </c>
      <c r="C40">
        <v>145025548</v>
      </c>
      <c r="D40">
        <v>140922951</v>
      </c>
      <c r="E40">
        <v>1</v>
      </c>
      <c r="F40">
        <v>1</v>
      </c>
      <c r="G40">
        <v>1</v>
      </c>
      <c r="H40">
        <v>2</v>
      </c>
      <c r="I40" t="s">
        <v>317</v>
      </c>
      <c r="J40" t="s">
        <v>318</v>
      </c>
      <c r="K40" t="s">
        <v>319</v>
      </c>
      <c r="L40">
        <v>1367</v>
      </c>
      <c r="N40">
        <v>1011</v>
      </c>
      <c r="O40" t="s">
        <v>300</v>
      </c>
      <c r="P40" t="s">
        <v>300</v>
      </c>
      <c r="Q40">
        <v>1</v>
      </c>
      <c r="X40">
        <v>0.16</v>
      </c>
      <c r="Y40">
        <v>0</v>
      </c>
      <c r="Z40">
        <v>115.4</v>
      </c>
      <c r="AA40">
        <v>13.5</v>
      </c>
      <c r="AB40">
        <v>0</v>
      </c>
      <c r="AC40">
        <v>0</v>
      </c>
      <c r="AD40">
        <v>1</v>
      </c>
      <c r="AE40">
        <v>0</v>
      </c>
      <c r="AF40" t="s">
        <v>47</v>
      </c>
      <c r="AG40">
        <v>0.2</v>
      </c>
      <c r="AH40">
        <v>2</v>
      </c>
      <c r="AI40">
        <v>145025551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ROW(Source!A33)</f>
        <v>33</v>
      </c>
      <c r="B41">
        <v>145025561</v>
      </c>
      <c r="C41">
        <v>145025548</v>
      </c>
      <c r="D41">
        <v>140923356</v>
      </c>
      <c r="E41">
        <v>1</v>
      </c>
      <c r="F41">
        <v>1</v>
      </c>
      <c r="G41">
        <v>1</v>
      </c>
      <c r="H41">
        <v>2</v>
      </c>
      <c r="I41" t="s">
        <v>335</v>
      </c>
      <c r="J41" t="s">
        <v>336</v>
      </c>
      <c r="K41" t="s">
        <v>337</v>
      </c>
      <c r="L41">
        <v>1367</v>
      </c>
      <c r="N41">
        <v>1011</v>
      </c>
      <c r="O41" t="s">
        <v>300</v>
      </c>
      <c r="P41" t="s">
        <v>300</v>
      </c>
      <c r="Q41">
        <v>1</v>
      </c>
      <c r="X41">
        <v>10.210000000000001</v>
      </c>
      <c r="Y41">
        <v>0</v>
      </c>
      <c r="Z41">
        <v>28.87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47</v>
      </c>
      <c r="AG41">
        <v>12.762500000000001</v>
      </c>
      <c r="AH41">
        <v>2</v>
      </c>
      <c r="AI41">
        <v>145025552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ROW(Source!A33)</f>
        <v>33</v>
      </c>
      <c r="B42">
        <v>145025562</v>
      </c>
      <c r="C42">
        <v>145025548</v>
      </c>
      <c r="D42">
        <v>140923885</v>
      </c>
      <c r="E42">
        <v>1</v>
      </c>
      <c r="F42">
        <v>1</v>
      </c>
      <c r="G42">
        <v>1</v>
      </c>
      <c r="H42">
        <v>2</v>
      </c>
      <c r="I42" t="s">
        <v>320</v>
      </c>
      <c r="J42" t="s">
        <v>321</v>
      </c>
      <c r="K42" t="s">
        <v>322</v>
      </c>
      <c r="L42">
        <v>1367</v>
      </c>
      <c r="N42">
        <v>1011</v>
      </c>
      <c r="O42" t="s">
        <v>300</v>
      </c>
      <c r="P42" t="s">
        <v>300</v>
      </c>
      <c r="Q42">
        <v>1</v>
      </c>
      <c r="X42">
        <v>0.23</v>
      </c>
      <c r="Y42">
        <v>0</v>
      </c>
      <c r="Z42">
        <v>65.709999999999994</v>
      </c>
      <c r="AA42">
        <v>11.6</v>
      </c>
      <c r="AB42">
        <v>0</v>
      </c>
      <c r="AC42">
        <v>0</v>
      </c>
      <c r="AD42">
        <v>1</v>
      </c>
      <c r="AE42">
        <v>0</v>
      </c>
      <c r="AF42" t="s">
        <v>47</v>
      </c>
      <c r="AG42">
        <v>0.28750000000000003</v>
      </c>
      <c r="AH42">
        <v>2</v>
      </c>
      <c r="AI42">
        <v>145025553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ROW(Source!A33)</f>
        <v>33</v>
      </c>
      <c r="B43">
        <v>145025563</v>
      </c>
      <c r="C43">
        <v>145025548</v>
      </c>
      <c r="D43">
        <v>140770679</v>
      </c>
      <c r="E43">
        <v>1</v>
      </c>
      <c r="F43">
        <v>1</v>
      </c>
      <c r="G43">
        <v>1</v>
      </c>
      <c r="H43">
        <v>3</v>
      </c>
      <c r="I43" t="s">
        <v>338</v>
      </c>
      <c r="J43" t="s">
        <v>339</v>
      </c>
      <c r="K43" t="s">
        <v>340</v>
      </c>
      <c r="L43">
        <v>1348</v>
      </c>
      <c r="N43">
        <v>1009</v>
      </c>
      <c r="O43" t="s">
        <v>66</v>
      </c>
      <c r="P43" t="s">
        <v>66</v>
      </c>
      <c r="Q43">
        <v>1000</v>
      </c>
      <c r="X43">
        <v>0.1</v>
      </c>
      <c r="Y43">
        <v>1160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91</v>
      </c>
      <c r="AG43">
        <v>0</v>
      </c>
      <c r="AH43">
        <v>2</v>
      </c>
      <c r="AI43">
        <v>145025554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ROW(Source!A33)</f>
        <v>33</v>
      </c>
      <c r="B44">
        <v>145025564</v>
      </c>
      <c r="C44">
        <v>145025548</v>
      </c>
      <c r="D44">
        <v>140770711</v>
      </c>
      <c r="E44">
        <v>1</v>
      </c>
      <c r="F44">
        <v>1</v>
      </c>
      <c r="G44">
        <v>1</v>
      </c>
      <c r="H44">
        <v>3</v>
      </c>
      <c r="I44" t="s">
        <v>341</v>
      </c>
      <c r="J44" t="s">
        <v>342</v>
      </c>
      <c r="K44" t="s">
        <v>343</v>
      </c>
      <c r="L44">
        <v>1348</v>
      </c>
      <c r="N44">
        <v>1009</v>
      </c>
      <c r="O44" t="s">
        <v>66</v>
      </c>
      <c r="P44" t="s">
        <v>66</v>
      </c>
      <c r="Q44">
        <v>1000</v>
      </c>
      <c r="X44">
        <v>0.31</v>
      </c>
      <c r="Y44">
        <v>1412.5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91</v>
      </c>
      <c r="AG44">
        <v>0</v>
      </c>
      <c r="AH44">
        <v>2</v>
      </c>
      <c r="AI44">
        <v>145025555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ROW(Source!A33)</f>
        <v>33</v>
      </c>
      <c r="B45">
        <v>145025565</v>
      </c>
      <c r="C45">
        <v>145025548</v>
      </c>
      <c r="D45">
        <v>140776771</v>
      </c>
      <c r="E45">
        <v>1</v>
      </c>
      <c r="F45">
        <v>1</v>
      </c>
      <c r="G45">
        <v>1</v>
      </c>
      <c r="H45">
        <v>3</v>
      </c>
      <c r="I45" t="s">
        <v>344</v>
      </c>
      <c r="J45" t="s">
        <v>345</v>
      </c>
      <c r="K45" t="s">
        <v>346</v>
      </c>
      <c r="L45">
        <v>1348</v>
      </c>
      <c r="N45">
        <v>1009</v>
      </c>
      <c r="O45" t="s">
        <v>66</v>
      </c>
      <c r="P45" t="s">
        <v>66</v>
      </c>
      <c r="Q45">
        <v>1000</v>
      </c>
      <c r="X45">
        <v>0.1</v>
      </c>
      <c r="Y45">
        <v>150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91</v>
      </c>
      <c r="AG45">
        <v>0</v>
      </c>
      <c r="AH45">
        <v>2</v>
      </c>
      <c r="AI45">
        <v>145025556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ROW(Source!A33)</f>
        <v>33</v>
      </c>
      <c r="B46">
        <v>145025566</v>
      </c>
      <c r="C46">
        <v>145025548</v>
      </c>
      <c r="D46">
        <v>140796533</v>
      </c>
      <c r="E46">
        <v>1</v>
      </c>
      <c r="F46">
        <v>1</v>
      </c>
      <c r="G46">
        <v>1</v>
      </c>
      <c r="H46">
        <v>3</v>
      </c>
      <c r="I46" t="s">
        <v>347</v>
      </c>
      <c r="J46" t="s">
        <v>348</v>
      </c>
      <c r="K46" t="s">
        <v>349</v>
      </c>
      <c r="L46">
        <v>1339</v>
      </c>
      <c r="N46">
        <v>1007</v>
      </c>
      <c r="O46" t="s">
        <v>58</v>
      </c>
      <c r="P46" t="s">
        <v>58</v>
      </c>
      <c r="Q46">
        <v>1</v>
      </c>
      <c r="X46">
        <v>0.87</v>
      </c>
      <c r="Y46">
        <v>1100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91</v>
      </c>
      <c r="AG46">
        <v>0</v>
      </c>
      <c r="AH46">
        <v>2</v>
      </c>
      <c r="AI46">
        <v>145025557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ROW(Source!A35)</f>
        <v>35</v>
      </c>
      <c r="B47">
        <v>145025576</v>
      </c>
      <c r="C47">
        <v>145025568</v>
      </c>
      <c r="D47">
        <v>140755441</v>
      </c>
      <c r="E47">
        <v>70</v>
      </c>
      <c r="F47">
        <v>1</v>
      </c>
      <c r="G47">
        <v>1</v>
      </c>
      <c r="H47">
        <v>1</v>
      </c>
      <c r="I47" t="s">
        <v>350</v>
      </c>
      <c r="J47" t="s">
        <v>3</v>
      </c>
      <c r="K47" t="s">
        <v>351</v>
      </c>
      <c r="L47">
        <v>1191</v>
      </c>
      <c r="N47">
        <v>1013</v>
      </c>
      <c r="O47" t="s">
        <v>288</v>
      </c>
      <c r="P47" t="s">
        <v>288</v>
      </c>
      <c r="Q47">
        <v>1</v>
      </c>
      <c r="X47">
        <v>8.81</v>
      </c>
      <c r="Y47">
        <v>0</v>
      </c>
      <c r="Z47">
        <v>0</v>
      </c>
      <c r="AA47">
        <v>0</v>
      </c>
      <c r="AB47">
        <v>9.4</v>
      </c>
      <c r="AC47">
        <v>0</v>
      </c>
      <c r="AD47">
        <v>1</v>
      </c>
      <c r="AE47">
        <v>1</v>
      </c>
      <c r="AF47" t="s">
        <v>48</v>
      </c>
      <c r="AG47">
        <v>10.131499999999999</v>
      </c>
      <c r="AH47">
        <v>2</v>
      </c>
      <c r="AI47">
        <v>145025569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ROW(Source!A35)</f>
        <v>35</v>
      </c>
      <c r="B48">
        <v>145025577</v>
      </c>
      <c r="C48">
        <v>145025568</v>
      </c>
      <c r="D48">
        <v>140755491</v>
      </c>
      <c r="E48">
        <v>70</v>
      </c>
      <c r="F48">
        <v>1</v>
      </c>
      <c r="G48">
        <v>1</v>
      </c>
      <c r="H48">
        <v>1</v>
      </c>
      <c r="I48" t="s">
        <v>295</v>
      </c>
      <c r="J48" t="s">
        <v>3</v>
      </c>
      <c r="K48" t="s">
        <v>296</v>
      </c>
      <c r="L48">
        <v>1191</v>
      </c>
      <c r="N48">
        <v>1013</v>
      </c>
      <c r="O48" t="s">
        <v>288</v>
      </c>
      <c r="P48" t="s">
        <v>288</v>
      </c>
      <c r="Q48">
        <v>1</v>
      </c>
      <c r="X48">
        <v>0.26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47</v>
      </c>
      <c r="AG48">
        <v>0.32500000000000001</v>
      </c>
      <c r="AH48">
        <v>2</v>
      </c>
      <c r="AI48">
        <v>145025570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ROW(Source!A35)</f>
        <v>35</v>
      </c>
      <c r="B49">
        <v>145025578</v>
      </c>
      <c r="C49">
        <v>145025568</v>
      </c>
      <c r="D49">
        <v>140922893</v>
      </c>
      <c r="E49">
        <v>1</v>
      </c>
      <c r="F49">
        <v>1</v>
      </c>
      <c r="G49">
        <v>1</v>
      </c>
      <c r="H49">
        <v>2</v>
      </c>
      <c r="I49" t="s">
        <v>297</v>
      </c>
      <c r="J49" t="s">
        <v>298</v>
      </c>
      <c r="K49" t="s">
        <v>299</v>
      </c>
      <c r="L49">
        <v>1367</v>
      </c>
      <c r="N49">
        <v>1011</v>
      </c>
      <c r="O49" t="s">
        <v>300</v>
      </c>
      <c r="P49" t="s">
        <v>300</v>
      </c>
      <c r="Q49">
        <v>1</v>
      </c>
      <c r="X49">
        <v>0.12</v>
      </c>
      <c r="Y49">
        <v>0</v>
      </c>
      <c r="Z49">
        <v>86.4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47</v>
      </c>
      <c r="AG49">
        <v>0.15</v>
      </c>
      <c r="AH49">
        <v>2</v>
      </c>
      <c r="AI49">
        <v>145025571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ROW(Source!A35)</f>
        <v>35</v>
      </c>
      <c r="B50">
        <v>145025579</v>
      </c>
      <c r="C50">
        <v>145025568</v>
      </c>
      <c r="D50">
        <v>140922951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1367</v>
      </c>
      <c r="N50">
        <v>1011</v>
      </c>
      <c r="O50" t="s">
        <v>300</v>
      </c>
      <c r="P50" t="s">
        <v>300</v>
      </c>
      <c r="Q50">
        <v>1</v>
      </c>
      <c r="X50">
        <v>0.05</v>
      </c>
      <c r="Y50">
        <v>0</v>
      </c>
      <c r="Z50">
        <v>115.4</v>
      </c>
      <c r="AA50">
        <v>13.5</v>
      </c>
      <c r="AB50">
        <v>0</v>
      </c>
      <c r="AC50">
        <v>0</v>
      </c>
      <c r="AD50">
        <v>1</v>
      </c>
      <c r="AE50">
        <v>0</v>
      </c>
      <c r="AF50" t="s">
        <v>47</v>
      </c>
      <c r="AG50">
        <v>6.25E-2</v>
      </c>
      <c r="AH50">
        <v>2</v>
      </c>
      <c r="AI50">
        <v>145025572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ROW(Source!A35)</f>
        <v>35</v>
      </c>
      <c r="B51">
        <v>145025580</v>
      </c>
      <c r="C51">
        <v>145025568</v>
      </c>
      <c r="D51">
        <v>140923885</v>
      </c>
      <c r="E51">
        <v>1</v>
      </c>
      <c r="F51">
        <v>1</v>
      </c>
      <c r="G51">
        <v>1</v>
      </c>
      <c r="H51">
        <v>2</v>
      </c>
      <c r="I51" t="s">
        <v>320</v>
      </c>
      <c r="J51" t="s">
        <v>321</v>
      </c>
      <c r="K51" t="s">
        <v>322</v>
      </c>
      <c r="L51">
        <v>1367</v>
      </c>
      <c r="N51">
        <v>1011</v>
      </c>
      <c r="O51" t="s">
        <v>300</v>
      </c>
      <c r="P51" t="s">
        <v>300</v>
      </c>
      <c r="Q51">
        <v>1</v>
      </c>
      <c r="X51">
        <v>0.09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47</v>
      </c>
      <c r="AG51">
        <v>0.11249999999999999</v>
      </c>
      <c r="AH51">
        <v>2</v>
      </c>
      <c r="AI51">
        <v>145025573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ROW(Source!A35)</f>
        <v>35</v>
      </c>
      <c r="B52">
        <v>145025581</v>
      </c>
      <c r="C52">
        <v>145025568</v>
      </c>
      <c r="D52">
        <v>140771011</v>
      </c>
      <c r="E52">
        <v>1</v>
      </c>
      <c r="F52">
        <v>1</v>
      </c>
      <c r="G52">
        <v>1</v>
      </c>
      <c r="H52">
        <v>3</v>
      </c>
      <c r="I52" t="s">
        <v>352</v>
      </c>
      <c r="J52" t="s">
        <v>353</v>
      </c>
      <c r="K52" t="s">
        <v>354</v>
      </c>
      <c r="L52">
        <v>1346</v>
      </c>
      <c r="N52">
        <v>1009</v>
      </c>
      <c r="O52" t="s">
        <v>94</v>
      </c>
      <c r="P52" t="s">
        <v>94</v>
      </c>
      <c r="Q52">
        <v>1</v>
      </c>
      <c r="X52">
        <v>23</v>
      </c>
      <c r="Y52">
        <v>6.09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23</v>
      </c>
      <c r="AH52">
        <v>2</v>
      </c>
      <c r="AI52">
        <v>145025574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ROW(Source!A35)</f>
        <v>35</v>
      </c>
      <c r="B53">
        <v>145025582</v>
      </c>
      <c r="C53">
        <v>145025568</v>
      </c>
      <c r="D53">
        <v>140762874</v>
      </c>
      <c r="E53">
        <v>70</v>
      </c>
      <c r="F53">
        <v>1</v>
      </c>
      <c r="G53">
        <v>1</v>
      </c>
      <c r="H53">
        <v>3</v>
      </c>
      <c r="I53" t="s">
        <v>355</v>
      </c>
      <c r="J53" t="s">
        <v>3</v>
      </c>
      <c r="K53" t="s">
        <v>356</v>
      </c>
      <c r="L53">
        <v>1327</v>
      </c>
      <c r="N53">
        <v>1005</v>
      </c>
      <c r="O53" t="s">
        <v>74</v>
      </c>
      <c r="P53" t="s">
        <v>74</v>
      </c>
      <c r="Q53">
        <v>1</v>
      </c>
      <c r="X53">
        <v>173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</v>
      </c>
      <c r="AG53">
        <v>173</v>
      </c>
      <c r="AH53">
        <v>2</v>
      </c>
      <c r="AI53">
        <v>145025575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145016842</v>
      </c>
      <c r="C54">
        <v>145016837</v>
      </c>
      <c r="D54">
        <v>140759985</v>
      </c>
      <c r="E54">
        <v>70</v>
      </c>
      <c r="F54">
        <v>1</v>
      </c>
      <c r="G54">
        <v>1</v>
      </c>
      <c r="H54">
        <v>1</v>
      </c>
      <c r="I54" t="s">
        <v>357</v>
      </c>
      <c r="J54" t="s">
        <v>3</v>
      </c>
      <c r="K54" t="s">
        <v>358</v>
      </c>
      <c r="L54">
        <v>1191</v>
      </c>
      <c r="N54">
        <v>1013</v>
      </c>
      <c r="O54" t="s">
        <v>288</v>
      </c>
      <c r="P54" t="s">
        <v>288</v>
      </c>
      <c r="Q54">
        <v>1</v>
      </c>
      <c r="X54">
        <v>2.8</v>
      </c>
      <c r="Y54">
        <v>0</v>
      </c>
      <c r="Z54">
        <v>0</v>
      </c>
      <c r="AA54">
        <v>0</v>
      </c>
      <c r="AB54">
        <v>8.74</v>
      </c>
      <c r="AC54">
        <v>0</v>
      </c>
      <c r="AD54">
        <v>1</v>
      </c>
      <c r="AE54">
        <v>1</v>
      </c>
      <c r="AF54" t="s">
        <v>48</v>
      </c>
      <c r="AG54">
        <v>3.2199999999999998</v>
      </c>
      <c r="AH54">
        <v>2</v>
      </c>
      <c r="AI54">
        <v>145016838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ROW(Source!A37)</f>
        <v>37</v>
      </c>
      <c r="B55">
        <v>145016843</v>
      </c>
      <c r="C55">
        <v>145016837</v>
      </c>
      <c r="D55">
        <v>140760225</v>
      </c>
      <c r="E55">
        <v>70</v>
      </c>
      <c r="F55">
        <v>1</v>
      </c>
      <c r="G55">
        <v>1</v>
      </c>
      <c r="H55">
        <v>1</v>
      </c>
      <c r="I55" t="s">
        <v>295</v>
      </c>
      <c r="J55" t="s">
        <v>3</v>
      </c>
      <c r="K55" t="s">
        <v>296</v>
      </c>
      <c r="L55">
        <v>1191</v>
      </c>
      <c r="N55">
        <v>1013</v>
      </c>
      <c r="O55" t="s">
        <v>288</v>
      </c>
      <c r="P55" t="s">
        <v>288</v>
      </c>
      <c r="Q55">
        <v>1</v>
      </c>
      <c r="X55">
        <v>0.04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47</v>
      </c>
      <c r="AG55">
        <v>0.05</v>
      </c>
      <c r="AH55">
        <v>2</v>
      </c>
      <c r="AI55">
        <v>145016839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ROW(Source!A37)</f>
        <v>37</v>
      </c>
      <c r="B56">
        <v>145016844</v>
      </c>
      <c r="C56">
        <v>145016837</v>
      </c>
      <c r="D56">
        <v>140923885</v>
      </c>
      <c r="E56">
        <v>1</v>
      </c>
      <c r="F56">
        <v>1</v>
      </c>
      <c r="G56">
        <v>1</v>
      </c>
      <c r="H56">
        <v>2</v>
      </c>
      <c r="I56" t="s">
        <v>320</v>
      </c>
      <c r="J56" t="s">
        <v>321</v>
      </c>
      <c r="K56" t="s">
        <v>322</v>
      </c>
      <c r="L56">
        <v>1367</v>
      </c>
      <c r="N56">
        <v>1011</v>
      </c>
      <c r="O56" t="s">
        <v>300</v>
      </c>
      <c r="P56" t="s">
        <v>300</v>
      </c>
      <c r="Q56">
        <v>1</v>
      </c>
      <c r="X56">
        <v>0.04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47</v>
      </c>
      <c r="AG56">
        <v>0.05</v>
      </c>
      <c r="AH56">
        <v>2</v>
      </c>
      <c r="AI56">
        <v>145016840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ROW(Source!A37)</f>
        <v>37</v>
      </c>
      <c r="B57">
        <v>145016845</v>
      </c>
      <c r="C57">
        <v>145016837</v>
      </c>
      <c r="D57">
        <v>140770862</v>
      </c>
      <c r="E57">
        <v>1</v>
      </c>
      <c r="F57">
        <v>1</v>
      </c>
      <c r="G57">
        <v>1</v>
      </c>
      <c r="H57">
        <v>3</v>
      </c>
      <c r="I57" t="s">
        <v>109</v>
      </c>
      <c r="J57" t="s">
        <v>111</v>
      </c>
      <c r="K57" t="s">
        <v>110</v>
      </c>
      <c r="L57">
        <v>1348</v>
      </c>
      <c r="N57">
        <v>1009</v>
      </c>
      <c r="O57" t="s">
        <v>66</v>
      </c>
      <c r="P57" t="s">
        <v>66</v>
      </c>
      <c r="Q57">
        <v>1000</v>
      </c>
      <c r="X57">
        <v>4.4999999999999998E-2</v>
      </c>
      <c r="Y57">
        <v>2000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4.4999999999999998E-2</v>
      </c>
      <c r="AH57">
        <v>2</v>
      </c>
      <c r="AI57">
        <v>145016841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ROW(Source!A40)</f>
        <v>40</v>
      </c>
      <c r="B58">
        <v>145016857</v>
      </c>
      <c r="C58">
        <v>145016848</v>
      </c>
      <c r="D58">
        <v>140760022</v>
      </c>
      <c r="E58">
        <v>70</v>
      </c>
      <c r="F58">
        <v>1</v>
      </c>
      <c r="G58">
        <v>1</v>
      </c>
      <c r="H58">
        <v>1</v>
      </c>
      <c r="I58" t="s">
        <v>350</v>
      </c>
      <c r="J58" t="s">
        <v>3</v>
      </c>
      <c r="K58" t="s">
        <v>351</v>
      </c>
      <c r="L58">
        <v>1191</v>
      </c>
      <c r="N58">
        <v>1013</v>
      </c>
      <c r="O58" t="s">
        <v>288</v>
      </c>
      <c r="P58" t="s">
        <v>288</v>
      </c>
      <c r="Q58">
        <v>1</v>
      </c>
      <c r="X58">
        <v>14.36</v>
      </c>
      <c r="Y58">
        <v>0</v>
      </c>
      <c r="Z58">
        <v>0</v>
      </c>
      <c r="AA58">
        <v>0</v>
      </c>
      <c r="AB58">
        <v>9.4</v>
      </c>
      <c r="AC58">
        <v>0</v>
      </c>
      <c r="AD58">
        <v>1</v>
      </c>
      <c r="AE58">
        <v>1</v>
      </c>
      <c r="AF58" t="s">
        <v>48</v>
      </c>
      <c r="AG58">
        <v>16.513999999999999</v>
      </c>
      <c r="AH58">
        <v>2</v>
      </c>
      <c r="AI58">
        <v>145016849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ROW(Source!A40)</f>
        <v>40</v>
      </c>
      <c r="B59">
        <v>145016858</v>
      </c>
      <c r="C59">
        <v>145016848</v>
      </c>
      <c r="D59">
        <v>140760225</v>
      </c>
      <c r="E59">
        <v>70</v>
      </c>
      <c r="F59">
        <v>1</v>
      </c>
      <c r="G59">
        <v>1</v>
      </c>
      <c r="H59">
        <v>1</v>
      </c>
      <c r="I59" t="s">
        <v>295</v>
      </c>
      <c r="J59" t="s">
        <v>3</v>
      </c>
      <c r="K59" t="s">
        <v>296</v>
      </c>
      <c r="L59">
        <v>1191</v>
      </c>
      <c r="N59">
        <v>1013</v>
      </c>
      <c r="O59" t="s">
        <v>288</v>
      </c>
      <c r="P59" t="s">
        <v>288</v>
      </c>
      <c r="Q59">
        <v>1</v>
      </c>
      <c r="X59">
        <v>0.28999999999999998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2</v>
      </c>
      <c r="AF59" t="s">
        <v>47</v>
      </c>
      <c r="AG59">
        <v>0.36249999999999999</v>
      </c>
      <c r="AH59">
        <v>2</v>
      </c>
      <c r="AI59">
        <v>145016850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ROW(Source!A40)</f>
        <v>40</v>
      </c>
      <c r="B60">
        <v>145016859</v>
      </c>
      <c r="C60">
        <v>145016848</v>
      </c>
      <c r="D60">
        <v>140922893</v>
      </c>
      <c r="E60">
        <v>1</v>
      </c>
      <c r="F60">
        <v>1</v>
      </c>
      <c r="G60">
        <v>1</v>
      </c>
      <c r="H60">
        <v>2</v>
      </c>
      <c r="I60" t="s">
        <v>297</v>
      </c>
      <c r="J60" t="s">
        <v>298</v>
      </c>
      <c r="K60" t="s">
        <v>299</v>
      </c>
      <c r="L60">
        <v>1367</v>
      </c>
      <c r="N60">
        <v>1011</v>
      </c>
      <c r="O60" t="s">
        <v>300</v>
      </c>
      <c r="P60" t="s">
        <v>300</v>
      </c>
      <c r="Q60">
        <v>1</v>
      </c>
      <c r="X60">
        <v>0.15</v>
      </c>
      <c r="Y60">
        <v>0</v>
      </c>
      <c r="Z60">
        <v>86.4</v>
      </c>
      <c r="AA60">
        <v>13.5</v>
      </c>
      <c r="AB60">
        <v>0</v>
      </c>
      <c r="AC60">
        <v>0</v>
      </c>
      <c r="AD60">
        <v>1</v>
      </c>
      <c r="AE60">
        <v>0</v>
      </c>
      <c r="AF60" t="s">
        <v>47</v>
      </c>
      <c r="AG60">
        <v>0.1875</v>
      </c>
      <c r="AH60">
        <v>2</v>
      </c>
      <c r="AI60">
        <v>145016851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ROW(Source!A40)</f>
        <v>40</v>
      </c>
      <c r="B61">
        <v>145016860</v>
      </c>
      <c r="C61">
        <v>145016848</v>
      </c>
      <c r="D61">
        <v>140922951</v>
      </c>
      <c r="E61">
        <v>1</v>
      </c>
      <c r="F61">
        <v>1</v>
      </c>
      <c r="G61">
        <v>1</v>
      </c>
      <c r="H61">
        <v>2</v>
      </c>
      <c r="I61" t="s">
        <v>317</v>
      </c>
      <c r="J61" t="s">
        <v>318</v>
      </c>
      <c r="K61" t="s">
        <v>319</v>
      </c>
      <c r="L61">
        <v>1367</v>
      </c>
      <c r="N61">
        <v>1011</v>
      </c>
      <c r="O61" t="s">
        <v>300</v>
      </c>
      <c r="P61" t="s">
        <v>300</v>
      </c>
      <c r="Q61">
        <v>1</v>
      </c>
      <c r="X61">
        <v>0.05</v>
      </c>
      <c r="Y61">
        <v>0</v>
      </c>
      <c r="Z61">
        <v>115.4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47</v>
      </c>
      <c r="AG61">
        <v>6.25E-2</v>
      </c>
      <c r="AH61">
        <v>2</v>
      </c>
      <c r="AI61">
        <v>145016852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ROW(Source!A40)</f>
        <v>40</v>
      </c>
      <c r="B62">
        <v>145016861</v>
      </c>
      <c r="C62">
        <v>145016848</v>
      </c>
      <c r="D62">
        <v>140923885</v>
      </c>
      <c r="E62">
        <v>1</v>
      </c>
      <c r="F62">
        <v>1</v>
      </c>
      <c r="G62">
        <v>1</v>
      </c>
      <c r="H62">
        <v>2</v>
      </c>
      <c r="I62" t="s">
        <v>320</v>
      </c>
      <c r="J62" t="s">
        <v>321</v>
      </c>
      <c r="K62" t="s">
        <v>322</v>
      </c>
      <c r="L62">
        <v>1367</v>
      </c>
      <c r="N62">
        <v>1011</v>
      </c>
      <c r="O62" t="s">
        <v>300</v>
      </c>
      <c r="P62" t="s">
        <v>300</v>
      </c>
      <c r="Q62">
        <v>1</v>
      </c>
      <c r="X62">
        <v>0.09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47</v>
      </c>
      <c r="AG62">
        <v>0.11249999999999999</v>
      </c>
      <c r="AH62">
        <v>2</v>
      </c>
      <c r="AI62">
        <v>145016853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ROW(Source!A40)</f>
        <v>40</v>
      </c>
      <c r="B63">
        <v>145016862</v>
      </c>
      <c r="C63">
        <v>145016848</v>
      </c>
      <c r="D63">
        <v>140771011</v>
      </c>
      <c r="E63">
        <v>1</v>
      </c>
      <c r="F63">
        <v>1</v>
      </c>
      <c r="G63">
        <v>1</v>
      </c>
      <c r="H63">
        <v>3</v>
      </c>
      <c r="I63" t="s">
        <v>352</v>
      </c>
      <c r="J63" t="s">
        <v>353</v>
      </c>
      <c r="K63" t="s">
        <v>354</v>
      </c>
      <c r="L63">
        <v>1346</v>
      </c>
      <c r="N63">
        <v>1009</v>
      </c>
      <c r="O63" t="s">
        <v>94</v>
      </c>
      <c r="P63" t="s">
        <v>94</v>
      </c>
      <c r="Q63">
        <v>1</v>
      </c>
      <c r="X63">
        <v>29.94</v>
      </c>
      <c r="Y63">
        <v>6.09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29.94</v>
      </c>
      <c r="AH63">
        <v>2</v>
      </c>
      <c r="AI63">
        <v>145016854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ROW(Source!A40)</f>
        <v>40</v>
      </c>
      <c r="B64">
        <v>145016863</v>
      </c>
      <c r="C64">
        <v>145016848</v>
      </c>
      <c r="D64">
        <v>140762867</v>
      </c>
      <c r="E64">
        <v>70</v>
      </c>
      <c r="F64">
        <v>1</v>
      </c>
      <c r="G64">
        <v>1</v>
      </c>
      <c r="H64">
        <v>3</v>
      </c>
      <c r="I64" t="s">
        <v>355</v>
      </c>
      <c r="J64" t="s">
        <v>3</v>
      </c>
      <c r="K64" t="s">
        <v>359</v>
      </c>
      <c r="L64">
        <v>1327</v>
      </c>
      <c r="N64">
        <v>1005</v>
      </c>
      <c r="O64" t="s">
        <v>74</v>
      </c>
      <c r="P64" t="s">
        <v>74</v>
      </c>
      <c r="Q64">
        <v>1</v>
      </c>
      <c r="X64">
        <v>114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t="s">
        <v>3</v>
      </c>
      <c r="AG64">
        <v>114</v>
      </c>
      <c r="AH64">
        <v>2</v>
      </c>
      <c r="AI64">
        <v>145016855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ROW(Source!A40)</f>
        <v>40</v>
      </c>
      <c r="B65">
        <v>145016864</v>
      </c>
      <c r="C65">
        <v>145016848</v>
      </c>
      <c r="D65">
        <v>140762867</v>
      </c>
      <c r="E65">
        <v>70</v>
      </c>
      <c r="F65">
        <v>1</v>
      </c>
      <c r="G65">
        <v>1</v>
      </c>
      <c r="H65">
        <v>3</v>
      </c>
      <c r="I65" t="s">
        <v>355</v>
      </c>
      <c r="J65" t="s">
        <v>3</v>
      </c>
      <c r="K65" t="s">
        <v>360</v>
      </c>
      <c r="L65">
        <v>1327</v>
      </c>
      <c r="N65">
        <v>1005</v>
      </c>
      <c r="O65" t="s">
        <v>74</v>
      </c>
      <c r="P65" t="s">
        <v>74</v>
      </c>
      <c r="Q65">
        <v>1</v>
      </c>
      <c r="X65">
        <v>116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3</v>
      </c>
      <c r="AG65">
        <v>116</v>
      </c>
      <c r="AH65">
        <v>2</v>
      </c>
      <c r="AI65">
        <v>145016856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ROW(Source!A43)</f>
        <v>43</v>
      </c>
      <c r="B66">
        <v>145016876</v>
      </c>
      <c r="C66">
        <v>145016867</v>
      </c>
      <c r="D66">
        <v>140760008</v>
      </c>
      <c r="E66">
        <v>70</v>
      </c>
      <c r="F66">
        <v>1</v>
      </c>
      <c r="G66">
        <v>1</v>
      </c>
      <c r="H66">
        <v>1</v>
      </c>
      <c r="I66" t="s">
        <v>361</v>
      </c>
      <c r="J66" t="s">
        <v>3</v>
      </c>
      <c r="K66" t="s">
        <v>362</v>
      </c>
      <c r="L66">
        <v>1191</v>
      </c>
      <c r="N66">
        <v>1013</v>
      </c>
      <c r="O66" t="s">
        <v>288</v>
      </c>
      <c r="P66" t="s">
        <v>288</v>
      </c>
      <c r="Q66">
        <v>1</v>
      </c>
      <c r="X66">
        <v>35.5</v>
      </c>
      <c r="Y66">
        <v>0</v>
      </c>
      <c r="Z66">
        <v>0</v>
      </c>
      <c r="AA66">
        <v>0</v>
      </c>
      <c r="AB66">
        <v>9.18</v>
      </c>
      <c r="AC66">
        <v>0</v>
      </c>
      <c r="AD66">
        <v>1</v>
      </c>
      <c r="AE66">
        <v>1</v>
      </c>
      <c r="AF66" t="s">
        <v>48</v>
      </c>
      <c r="AG66">
        <v>40.824999999999996</v>
      </c>
      <c r="AH66">
        <v>2</v>
      </c>
      <c r="AI66">
        <v>145016868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ROW(Source!A43)</f>
        <v>43</v>
      </c>
      <c r="B67">
        <v>145016877</v>
      </c>
      <c r="C67">
        <v>145016867</v>
      </c>
      <c r="D67">
        <v>140760225</v>
      </c>
      <c r="E67">
        <v>70</v>
      </c>
      <c r="F67">
        <v>1</v>
      </c>
      <c r="G67">
        <v>1</v>
      </c>
      <c r="H67">
        <v>1</v>
      </c>
      <c r="I67" t="s">
        <v>295</v>
      </c>
      <c r="J67" t="s">
        <v>3</v>
      </c>
      <c r="K67" t="s">
        <v>296</v>
      </c>
      <c r="L67">
        <v>1191</v>
      </c>
      <c r="N67">
        <v>1013</v>
      </c>
      <c r="O67" t="s">
        <v>288</v>
      </c>
      <c r="P67" t="s">
        <v>288</v>
      </c>
      <c r="Q67">
        <v>1</v>
      </c>
      <c r="X67">
        <v>0.86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47</v>
      </c>
      <c r="AG67">
        <v>1.075</v>
      </c>
      <c r="AH67">
        <v>2</v>
      </c>
      <c r="AI67">
        <v>145016869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ROW(Source!A43)</f>
        <v>43</v>
      </c>
      <c r="B68">
        <v>145016878</v>
      </c>
      <c r="C68">
        <v>145016867</v>
      </c>
      <c r="D68">
        <v>140922893</v>
      </c>
      <c r="E68">
        <v>1</v>
      </c>
      <c r="F68">
        <v>1</v>
      </c>
      <c r="G68">
        <v>1</v>
      </c>
      <c r="H68">
        <v>2</v>
      </c>
      <c r="I68" t="s">
        <v>297</v>
      </c>
      <c r="J68" t="s">
        <v>298</v>
      </c>
      <c r="K68" t="s">
        <v>299</v>
      </c>
      <c r="L68">
        <v>1367</v>
      </c>
      <c r="N68">
        <v>1011</v>
      </c>
      <c r="O68" t="s">
        <v>300</v>
      </c>
      <c r="P68" t="s">
        <v>300</v>
      </c>
      <c r="Q68">
        <v>1</v>
      </c>
      <c r="X68">
        <v>0.61</v>
      </c>
      <c r="Y68">
        <v>0</v>
      </c>
      <c r="Z68">
        <v>86.4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47</v>
      </c>
      <c r="AG68">
        <v>0.76249999999999996</v>
      </c>
      <c r="AH68">
        <v>2</v>
      </c>
      <c r="AI68">
        <v>145016870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ROW(Source!A43)</f>
        <v>43</v>
      </c>
      <c r="B69">
        <v>145016879</v>
      </c>
      <c r="C69">
        <v>145016867</v>
      </c>
      <c r="D69">
        <v>140922951</v>
      </c>
      <c r="E69">
        <v>1</v>
      </c>
      <c r="F69">
        <v>1</v>
      </c>
      <c r="G69">
        <v>1</v>
      </c>
      <c r="H69">
        <v>2</v>
      </c>
      <c r="I69" t="s">
        <v>317</v>
      </c>
      <c r="J69" t="s">
        <v>318</v>
      </c>
      <c r="K69" t="s">
        <v>319</v>
      </c>
      <c r="L69">
        <v>1367</v>
      </c>
      <c r="N69">
        <v>1011</v>
      </c>
      <c r="O69" t="s">
        <v>300</v>
      </c>
      <c r="P69" t="s">
        <v>300</v>
      </c>
      <c r="Q69">
        <v>1</v>
      </c>
      <c r="X69">
        <v>0.1</v>
      </c>
      <c r="Y69">
        <v>0</v>
      </c>
      <c r="Z69">
        <v>115.4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47</v>
      </c>
      <c r="AG69">
        <v>0.125</v>
      </c>
      <c r="AH69">
        <v>2</v>
      </c>
      <c r="AI69">
        <v>145016871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ROW(Source!A43)</f>
        <v>43</v>
      </c>
      <c r="B70">
        <v>145016880</v>
      </c>
      <c r="C70">
        <v>145016867</v>
      </c>
      <c r="D70">
        <v>140923885</v>
      </c>
      <c r="E70">
        <v>1</v>
      </c>
      <c r="F70">
        <v>1</v>
      </c>
      <c r="G70">
        <v>1</v>
      </c>
      <c r="H70">
        <v>2</v>
      </c>
      <c r="I70" t="s">
        <v>320</v>
      </c>
      <c r="J70" t="s">
        <v>321</v>
      </c>
      <c r="K70" t="s">
        <v>322</v>
      </c>
      <c r="L70">
        <v>1367</v>
      </c>
      <c r="N70">
        <v>1011</v>
      </c>
      <c r="O70" t="s">
        <v>300</v>
      </c>
      <c r="P70" t="s">
        <v>300</v>
      </c>
      <c r="Q70">
        <v>1</v>
      </c>
      <c r="X70">
        <v>0.15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47</v>
      </c>
      <c r="AG70">
        <v>0.1875</v>
      </c>
      <c r="AH70">
        <v>2</v>
      </c>
      <c r="AI70">
        <v>145016872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ROW(Source!A43)</f>
        <v>43</v>
      </c>
      <c r="B71">
        <v>145016881</v>
      </c>
      <c r="C71">
        <v>145016867</v>
      </c>
      <c r="D71">
        <v>140771011</v>
      </c>
      <c r="E71">
        <v>1</v>
      </c>
      <c r="F71">
        <v>1</v>
      </c>
      <c r="G71">
        <v>1</v>
      </c>
      <c r="H71">
        <v>3</v>
      </c>
      <c r="I71" t="s">
        <v>352</v>
      </c>
      <c r="J71" t="s">
        <v>353</v>
      </c>
      <c r="K71" t="s">
        <v>354</v>
      </c>
      <c r="L71">
        <v>1346</v>
      </c>
      <c r="N71">
        <v>1009</v>
      </c>
      <c r="O71" t="s">
        <v>94</v>
      </c>
      <c r="P71" t="s">
        <v>94</v>
      </c>
      <c r="Q71">
        <v>1</v>
      </c>
      <c r="X71">
        <v>32.49</v>
      </c>
      <c r="Y71">
        <v>6.09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32.49</v>
      </c>
      <c r="AH71">
        <v>2</v>
      </c>
      <c r="AI71">
        <v>145016873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ROW(Source!A43)</f>
        <v>43</v>
      </c>
      <c r="B72">
        <v>145016882</v>
      </c>
      <c r="C72">
        <v>145016867</v>
      </c>
      <c r="D72">
        <v>140778088</v>
      </c>
      <c r="E72">
        <v>1</v>
      </c>
      <c r="F72">
        <v>1</v>
      </c>
      <c r="G72">
        <v>1</v>
      </c>
      <c r="H72">
        <v>3</v>
      </c>
      <c r="I72" t="s">
        <v>126</v>
      </c>
      <c r="J72" t="s">
        <v>128</v>
      </c>
      <c r="K72" t="s">
        <v>127</v>
      </c>
      <c r="L72">
        <v>1339</v>
      </c>
      <c r="N72">
        <v>1007</v>
      </c>
      <c r="O72" t="s">
        <v>58</v>
      </c>
      <c r="P72" t="s">
        <v>58</v>
      </c>
      <c r="Q72">
        <v>1</v>
      </c>
      <c r="X72">
        <v>0.51</v>
      </c>
      <c r="Y72">
        <v>519.79999999999995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0.51</v>
      </c>
      <c r="AH72">
        <v>2</v>
      </c>
      <c r="AI72">
        <v>145016874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ROW(Source!A43)</f>
        <v>43</v>
      </c>
      <c r="B73">
        <v>145016883</v>
      </c>
      <c r="C73">
        <v>145016867</v>
      </c>
      <c r="D73">
        <v>140762867</v>
      </c>
      <c r="E73">
        <v>70</v>
      </c>
      <c r="F73">
        <v>1</v>
      </c>
      <c r="G73">
        <v>1</v>
      </c>
      <c r="H73">
        <v>3</v>
      </c>
      <c r="I73" t="s">
        <v>355</v>
      </c>
      <c r="J73" t="s">
        <v>3</v>
      </c>
      <c r="K73" t="s">
        <v>356</v>
      </c>
      <c r="L73">
        <v>1327</v>
      </c>
      <c r="N73">
        <v>1005</v>
      </c>
      <c r="O73" t="s">
        <v>74</v>
      </c>
      <c r="P73" t="s">
        <v>74</v>
      </c>
      <c r="Q73">
        <v>1</v>
      </c>
      <c r="X73">
        <v>252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3</v>
      </c>
      <c r="AG73">
        <v>252</v>
      </c>
      <c r="AH73">
        <v>2</v>
      </c>
      <c r="AI73">
        <v>145016875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ROW(Source!A48)</f>
        <v>48</v>
      </c>
      <c r="B74">
        <v>145016896</v>
      </c>
      <c r="C74">
        <v>145016888</v>
      </c>
      <c r="D74">
        <v>140759979</v>
      </c>
      <c r="E74">
        <v>70</v>
      </c>
      <c r="F74">
        <v>1</v>
      </c>
      <c r="G74">
        <v>1</v>
      </c>
      <c r="H74">
        <v>1</v>
      </c>
      <c r="I74" t="s">
        <v>363</v>
      </c>
      <c r="J74" t="s">
        <v>3</v>
      </c>
      <c r="K74" t="s">
        <v>364</v>
      </c>
      <c r="L74">
        <v>1191</v>
      </c>
      <c r="N74">
        <v>1013</v>
      </c>
      <c r="O74" t="s">
        <v>288</v>
      </c>
      <c r="P74" t="s">
        <v>288</v>
      </c>
      <c r="Q74">
        <v>1</v>
      </c>
      <c r="X74">
        <v>97.2</v>
      </c>
      <c r="Y74">
        <v>0</v>
      </c>
      <c r="Z74">
        <v>0</v>
      </c>
      <c r="AA74">
        <v>0</v>
      </c>
      <c r="AB74">
        <v>8.5299999999999994</v>
      </c>
      <c r="AC74">
        <v>0</v>
      </c>
      <c r="AD74">
        <v>1</v>
      </c>
      <c r="AE74">
        <v>1</v>
      </c>
      <c r="AF74" t="s">
        <v>48</v>
      </c>
      <c r="AG74">
        <v>111.78</v>
      </c>
      <c r="AH74">
        <v>2</v>
      </c>
      <c r="AI74">
        <v>145016889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ROW(Source!A48)</f>
        <v>48</v>
      </c>
      <c r="B75">
        <v>145016897</v>
      </c>
      <c r="C75">
        <v>145016888</v>
      </c>
      <c r="D75">
        <v>140760225</v>
      </c>
      <c r="E75">
        <v>70</v>
      </c>
      <c r="F75">
        <v>1</v>
      </c>
      <c r="G75">
        <v>1</v>
      </c>
      <c r="H75">
        <v>1</v>
      </c>
      <c r="I75" t="s">
        <v>295</v>
      </c>
      <c r="J75" t="s">
        <v>3</v>
      </c>
      <c r="K75" t="s">
        <v>296</v>
      </c>
      <c r="L75">
        <v>1191</v>
      </c>
      <c r="N75">
        <v>1013</v>
      </c>
      <c r="O75" t="s">
        <v>288</v>
      </c>
      <c r="P75" t="s">
        <v>288</v>
      </c>
      <c r="Q75">
        <v>1</v>
      </c>
      <c r="X75">
        <v>0.27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47</v>
      </c>
      <c r="AG75">
        <v>0.33750000000000002</v>
      </c>
      <c r="AH75">
        <v>2</v>
      </c>
      <c r="AI75">
        <v>145016890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ROW(Source!A48)</f>
        <v>48</v>
      </c>
      <c r="B76">
        <v>145016898</v>
      </c>
      <c r="C76">
        <v>145016888</v>
      </c>
      <c r="D76">
        <v>140922893</v>
      </c>
      <c r="E76">
        <v>1</v>
      </c>
      <c r="F76">
        <v>1</v>
      </c>
      <c r="G76">
        <v>1</v>
      </c>
      <c r="H76">
        <v>2</v>
      </c>
      <c r="I76" t="s">
        <v>297</v>
      </c>
      <c r="J76" t="s">
        <v>298</v>
      </c>
      <c r="K76" t="s">
        <v>299</v>
      </c>
      <c r="L76">
        <v>1367</v>
      </c>
      <c r="N76">
        <v>1011</v>
      </c>
      <c r="O76" t="s">
        <v>300</v>
      </c>
      <c r="P76" t="s">
        <v>300</v>
      </c>
      <c r="Q76">
        <v>1</v>
      </c>
      <c r="X76">
        <v>0.2</v>
      </c>
      <c r="Y76">
        <v>0</v>
      </c>
      <c r="Z76">
        <v>86.4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47</v>
      </c>
      <c r="AG76">
        <v>0.25</v>
      </c>
      <c r="AH76">
        <v>2</v>
      </c>
      <c r="AI76">
        <v>145016891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ROW(Source!A48)</f>
        <v>48</v>
      </c>
      <c r="B77">
        <v>145016899</v>
      </c>
      <c r="C77">
        <v>145016888</v>
      </c>
      <c r="D77">
        <v>140923885</v>
      </c>
      <c r="E77">
        <v>1</v>
      </c>
      <c r="F77">
        <v>1</v>
      </c>
      <c r="G77">
        <v>1</v>
      </c>
      <c r="H77">
        <v>2</v>
      </c>
      <c r="I77" t="s">
        <v>320</v>
      </c>
      <c r="J77" t="s">
        <v>321</v>
      </c>
      <c r="K77" t="s">
        <v>322</v>
      </c>
      <c r="L77">
        <v>1367</v>
      </c>
      <c r="N77">
        <v>1011</v>
      </c>
      <c r="O77" t="s">
        <v>300</v>
      </c>
      <c r="P77" t="s">
        <v>300</v>
      </c>
      <c r="Q77">
        <v>1</v>
      </c>
      <c r="X77">
        <v>7.0000000000000007E-2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47</v>
      </c>
      <c r="AG77">
        <v>8.7500000000000008E-2</v>
      </c>
      <c r="AH77">
        <v>2</v>
      </c>
      <c r="AI77">
        <v>145016892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ROW(Source!A48)</f>
        <v>48</v>
      </c>
      <c r="B78">
        <v>145016900</v>
      </c>
      <c r="C78">
        <v>145016888</v>
      </c>
      <c r="D78">
        <v>140775136</v>
      </c>
      <c r="E78">
        <v>1</v>
      </c>
      <c r="F78">
        <v>1</v>
      </c>
      <c r="G78">
        <v>1</v>
      </c>
      <c r="H78">
        <v>3</v>
      </c>
      <c r="I78" t="s">
        <v>365</v>
      </c>
      <c r="J78" t="s">
        <v>366</v>
      </c>
      <c r="K78" t="s">
        <v>367</v>
      </c>
      <c r="L78">
        <v>1348</v>
      </c>
      <c r="N78">
        <v>1009</v>
      </c>
      <c r="O78" t="s">
        <v>66</v>
      </c>
      <c r="P78" t="s">
        <v>66</v>
      </c>
      <c r="Q78">
        <v>1000</v>
      </c>
      <c r="X78">
        <v>4.0000000000000001E-3</v>
      </c>
      <c r="Y78">
        <v>8475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4.0000000000000001E-3</v>
      </c>
      <c r="AH78">
        <v>2</v>
      </c>
      <c r="AI78">
        <v>145016893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ROW(Source!A48)</f>
        <v>48</v>
      </c>
      <c r="B79">
        <v>145016901</v>
      </c>
      <c r="C79">
        <v>145016888</v>
      </c>
      <c r="D79">
        <v>140792325</v>
      </c>
      <c r="E79">
        <v>1</v>
      </c>
      <c r="F79">
        <v>1</v>
      </c>
      <c r="G79">
        <v>1</v>
      </c>
      <c r="H79">
        <v>3</v>
      </c>
      <c r="I79" t="s">
        <v>368</v>
      </c>
      <c r="J79" t="s">
        <v>369</v>
      </c>
      <c r="K79" t="s">
        <v>370</v>
      </c>
      <c r="L79">
        <v>1348</v>
      </c>
      <c r="N79">
        <v>1009</v>
      </c>
      <c r="O79" t="s">
        <v>66</v>
      </c>
      <c r="P79" t="s">
        <v>66</v>
      </c>
      <c r="Q79">
        <v>1000</v>
      </c>
      <c r="X79">
        <v>1.2E-2</v>
      </c>
      <c r="Y79">
        <v>8190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1.2E-2</v>
      </c>
      <c r="AH79">
        <v>2</v>
      </c>
      <c r="AI79">
        <v>145016894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ROW(Source!A48)</f>
        <v>48</v>
      </c>
      <c r="B80">
        <v>145016902</v>
      </c>
      <c r="C80">
        <v>145016888</v>
      </c>
      <c r="D80">
        <v>140792570</v>
      </c>
      <c r="E80">
        <v>1</v>
      </c>
      <c r="F80">
        <v>1</v>
      </c>
      <c r="G80">
        <v>1</v>
      </c>
      <c r="H80">
        <v>3</v>
      </c>
      <c r="I80" t="s">
        <v>137</v>
      </c>
      <c r="J80" t="s">
        <v>139</v>
      </c>
      <c r="K80" t="s">
        <v>138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X80">
        <v>0.56999999999999995</v>
      </c>
      <c r="Y80">
        <v>11200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0.56999999999999995</v>
      </c>
      <c r="AH80">
        <v>2</v>
      </c>
      <c r="AI80">
        <v>145016895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Смета 12 гр. по ФЕР</vt:lpstr>
      <vt:lpstr>Source</vt:lpstr>
      <vt:lpstr>SourceObSm</vt:lpstr>
      <vt:lpstr>SmtRes</vt:lpstr>
      <vt:lpstr>EtalonRes</vt:lpstr>
      <vt:lpstr>SrcKA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Касков Дмитрий Евгеньевич</dc:creator>
  <cp:lastModifiedBy>Касков Дмитрий Евгеньевич</cp:lastModifiedBy>
  <cp:lastPrinted>2024-04-01T07:01:17Z</cp:lastPrinted>
  <dcterms:created xsi:type="dcterms:W3CDTF">2024-04-01T06:43:47Z</dcterms:created>
  <dcterms:modified xsi:type="dcterms:W3CDTF">2024-06-18T12:17:05Z</dcterms:modified>
</cp:coreProperties>
</file>